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data" ContentType="application/vnd.openxmlformats-officedocument.model+data"/>
  <Default Extension="wdp" ContentType="image/vnd.ms-photo"/>
  <Default Extension="gif" ContentType="image/gif"/>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harts/chart1.xml" ContentType="application/vnd.openxmlformats-officedocument.drawingml.chart+xml"/>
  <Override PartName="/xl/drawings/drawing11.xml" ContentType="application/vnd.openxmlformats-officedocument.drawing+xml"/>
  <Override PartName="/xl/charts/chart2.xml" ContentType="application/vnd.openxmlformats-officedocument.drawingml.chart+xml"/>
  <Override PartName="/xl/drawings/drawing12.xml" ContentType="application/vnd.openxmlformats-officedocument.drawingml.chartshapes+xml"/>
  <Override PartName="/xl/drawings/drawing13.xml" ContentType="application/vnd.openxmlformats-officedocument.drawing+xml"/>
  <Override PartName="/xl/charts/chart3.xml" ContentType="application/vnd.openxmlformats-officedocument.drawingml.chart+xml"/>
  <Override PartName="/xl/drawings/drawing14.xml" ContentType="application/vnd.openxmlformats-officedocument.drawingml.chartshapes+xml"/>
  <Override PartName="/xl/drawings/drawing15.xml" ContentType="application/vnd.openxmlformats-officedocument.drawing+xml"/>
  <Override PartName="/xl/charts/chart4.xml" ContentType="application/vnd.openxmlformats-officedocument.drawingml.chart+xml"/>
  <Override PartName="/xl/drawings/drawing16.xml" ContentType="application/vnd.openxmlformats-officedocument.drawingml.chartshapes+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charts/chart5.xml" ContentType="application/vnd.openxmlformats-officedocument.drawingml.chart+xml"/>
  <Override PartName="/xl/drawings/drawing22.xml" ContentType="application/vnd.openxmlformats-officedocument.drawingml.chartshapes+xml"/>
  <Override PartName="/xl/drawings/drawing23.xml" ContentType="application/vnd.openxmlformats-officedocument.drawing+xml"/>
  <Override PartName="/xl/charts/chart6.xml" ContentType="application/vnd.openxmlformats-officedocument.drawingml.chart+xml"/>
  <Override PartName="/xl/drawings/drawing24.xml" ContentType="application/vnd.openxmlformats-officedocument.drawing+xml"/>
  <Override PartName="/xl/charts/chart7.xml" ContentType="application/vnd.openxmlformats-officedocument.drawingml.chart+xml"/>
  <Override PartName="/xl/drawings/drawing25.xml" ContentType="application/vnd.openxmlformats-officedocument.drawing+xml"/>
  <Override PartName="/xl/charts/chart8.xml" ContentType="application/vnd.openxmlformats-officedocument.drawingml.chart+xml"/>
  <Override PartName="/xl/drawings/drawing26.xml" ContentType="application/vnd.openxmlformats-officedocument.drawingml.chartshapes+xml"/>
  <Override PartName="/xl/drawings/drawing27.xml" ContentType="application/vnd.openxmlformats-officedocument.drawing+xml"/>
  <Override PartName="/xl/charts/chart9.xml" ContentType="application/vnd.openxmlformats-officedocument.drawingml.chart+xml"/>
  <Override PartName="/xl/drawings/drawing28.xml" ContentType="application/vnd.openxmlformats-officedocument.drawingml.chartshapes+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charts/chart10.xml" ContentType="application/vnd.openxmlformats-officedocument.drawingml.chart+xml"/>
  <Override PartName="/xl/drawings/drawing32.xml" ContentType="application/vnd.openxmlformats-officedocument.drawingml.chartshapes+xml"/>
  <Override PartName="/xl/drawings/drawing33.xml" ContentType="application/vnd.openxmlformats-officedocument.drawing+xml"/>
  <Override PartName="/xl/charts/chart11.xml" ContentType="application/vnd.openxmlformats-officedocument.drawingml.chart+xml"/>
  <Override PartName="/xl/drawings/drawing34.xml" ContentType="application/vnd.openxmlformats-officedocument.drawing+xml"/>
  <Override PartName="/xl/charts/chart12.xml" ContentType="application/vnd.openxmlformats-officedocument.drawingml.chart+xml"/>
  <Override PartName="/xl/drawings/drawing35.xml" ContentType="application/vnd.openxmlformats-officedocument.drawing+xml"/>
  <Override PartName="/xl/charts/chart13.xml" ContentType="application/vnd.openxmlformats-officedocument.drawingml.chart+xml"/>
  <Override PartName="/xl/drawings/drawing36.xml" ContentType="application/vnd.openxmlformats-officedocument.drawing+xml"/>
  <Override PartName="/xl/charts/chart14.xml" ContentType="application/vnd.openxmlformats-officedocument.drawingml.chart+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charts/chart15.xml" ContentType="application/vnd.openxmlformats-officedocument.drawingml.chart+xml"/>
  <Override PartName="/xl/drawings/drawing40.xml" ContentType="application/vnd.openxmlformats-officedocument.drawingml.chartshapes+xml"/>
  <Override PartName="/xl/drawings/drawing41.xml" ContentType="application/vnd.openxmlformats-officedocument.drawing+xml"/>
  <Override PartName="/xl/charts/chart16.xml" ContentType="application/vnd.openxmlformats-officedocument.drawingml.chart+xml"/>
  <Override PartName="/xl/drawings/drawing42.xml" ContentType="application/vnd.openxmlformats-officedocument.drawing+xml"/>
  <Override PartName="/xl/charts/chart17.xml" ContentType="application/vnd.openxmlformats-officedocument.drawingml.chart+xml"/>
  <Override PartName="/xl/drawings/drawing43.xml" ContentType="application/vnd.openxmlformats-officedocument.drawingml.chartshapes+xml"/>
  <Override PartName="/xl/drawings/drawing44.xml" ContentType="application/vnd.openxmlformats-officedocument.drawing+xml"/>
  <Override PartName="/xl/charts/chart18.xml" ContentType="application/vnd.openxmlformats-officedocument.drawingml.chart+xml"/>
  <Override PartName="/xl/drawings/drawing45.xml" ContentType="application/vnd.openxmlformats-officedocument.drawing+xml"/>
  <Override PartName="/xl/charts/chart19.xml" ContentType="application/vnd.openxmlformats-officedocument.drawingml.chart+xml"/>
  <Override PartName="/xl/drawings/drawing46.xml" ContentType="application/vnd.openxmlformats-officedocument.drawing+xml"/>
  <Override PartName="/xl/charts/chart20.xml" ContentType="application/vnd.openxmlformats-officedocument.drawingml.chart+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charts/chart21.xml" ContentType="application/vnd.openxmlformats-officedocument.drawingml.chart+xml"/>
  <Override PartName="/xl/drawings/drawing50.xml" ContentType="application/vnd.openxmlformats-officedocument.drawing+xml"/>
  <Override PartName="/xl/charts/chart22.xml" ContentType="application/vnd.openxmlformats-officedocument.drawingml.chart+xml"/>
  <Override PartName="/xl/drawings/drawing51.xml" ContentType="application/vnd.openxmlformats-officedocument.drawingml.chartshapes+xml"/>
  <Override PartName="/xl/drawings/drawing52.xml" ContentType="application/vnd.openxmlformats-officedocument.drawing+xml"/>
  <Override PartName="/xl/charts/chart23.xml" ContentType="application/vnd.openxmlformats-officedocument.drawingml.chart+xml"/>
  <Override PartName="/xl/drawings/drawing53.xml" ContentType="application/vnd.openxmlformats-officedocument.drawingml.chartshapes+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charts/chart24.xml" ContentType="application/vnd.openxmlformats-officedocument.drawingml.chart+xml"/>
  <Override PartName="/xl/drawings/drawing58.xml" ContentType="application/vnd.openxmlformats-officedocument.drawing+xml"/>
  <Override PartName="/xl/charts/chart25.xml" ContentType="application/vnd.openxmlformats-officedocument.drawingml.chart+xml"/>
  <Override PartName="/xl/drawings/drawing59.xml" ContentType="application/vnd.openxmlformats-officedocument.drawingml.chartshapes+xml"/>
  <Override PartName="/xl/drawings/drawing60.xml" ContentType="application/vnd.openxmlformats-officedocument.drawing+xml"/>
  <Override PartName="/xl/charts/chart26.xml" ContentType="application/vnd.openxmlformats-officedocument.drawingml.chart+xml"/>
  <Override PartName="/xl/drawings/drawing61.xml" ContentType="application/vnd.openxmlformats-officedocument.drawingml.chartshapes+xml"/>
  <Override PartName="/xl/drawings/drawing62.xml" ContentType="application/vnd.openxmlformats-officedocument.drawing+xml"/>
  <Override PartName="/xl/charts/chart27.xml" ContentType="application/vnd.openxmlformats-officedocument.drawingml.chart+xml"/>
  <Override PartName="/xl/drawings/drawing63.xml" ContentType="application/vnd.openxmlformats-officedocument.drawingml.chartshapes+xml"/>
  <Override PartName="/xl/drawings/drawing64.xml" ContentType="application/vnd.openxmlformats-officedocument.drawing+xml"/>
  <Override PartName="/xl/charts/chart28.xml" ContentType="application/vnd.openxmlformats-officedocument.drawingml.chart+xml"/>
  <Override PartName="/xl/drawings/drawing65.xml" ContentType="application/vnd.openxmlformats-officedocument.drawingml.chartshapes+xml"/>
  <Override PartName="/xl/drawings/drawing66.xml" ContentType="application/vnd.openxmlformats-officedocument.drawing+xml"/>
  <Override PartName="/xl/charts/chart29.xml" ContentType="application/vnd.openxmlformats-officedocument.drawingml.chart+xml"/>
  <Override PartName="/xl/charts/style1.xml" ContentType="application/vnd.ms-office.chartstyle+xml"/>
  <Override PartName="/xl/charts/colors1.xml" ContentType="application/vnd.ms-office.chartcolorstyle+xml"/>
  <Override PartName="/xl/drawings/drawing67.xml" ContentType="application/vnd.openxmlformats-officedocument.drawingml.chartshapes+xml"/>
  <Override PartName="/xl/drawings/drawing68.xml" ContentType="application/vnd.openxmlformats-officedocument.drawing+xml"/>
  <Override PartName="/xl/charts/chart30.xml" ContentType="application/vnd.openxmlformats-officedocument.drawingml.chart+xml"/>
  <Override PartName="/xl/drawings/drawing69.xml" ContentType="application/vnd.openxmlformats-officedocument.drawing+xml"/>
  <Override PartName="/xl/charts/chart31.xml" ContentType="application/vnd.openxmlformats-officedocument.drawingml.chart+xml"/>
  <Override PartName="/xl/drawings/drawing70.xml" ContentType="application/vnd.openxmlformats-officedocument.drawingml.chartshapes+xml"/>
  <Override PartName="/xl/drawings/drawing71.xml" ContentType="application/vnd.openxmlformats-officedocument.drawing+xml"/>
  <Override PartName="/xl/charts/chart32.xml" ContentType="application/vnd.openxmlformats-officedocument.drawingml.chart+xml"/>
  <Override PartName="/xl/drawings/drawing72.xml" ContentType="application/vnd.openxmlformats-officedocument.drawingml.chartshapes+xml"/>
  <Override PartName="/xl/drawings/drawing73.xml" ContentType="application/vnd.openxmlformats-officedocument.drawing+xml"/>
  <Override PartName="/xl/charts/chart33.xml" ContentType="application/vnd.openxmlformats-officedocument.drawingml.chart+xml"/>
  <Override PartName="/xl/charts/chart34.xml" ContentType="application/vnd.openxmlformats-officedocument.drawingml.chart+xml"/>
  <Override PartName="/xl/drawings/drawing74.xml" ContentType="application/vnd.openxmlformats-officedocument.drawing+xml"/>
  <Override PartName="/xl/charts/chart35.xml" ContentType="application/vnd.openxmlformats-officedocument.drawingml.chart+xml"/>
  <Override PartName="/xl/drawings/drawing75.xml" ContentType="application/vnd.openxmlformats-officedocument.drawingml.chartshapes+xml"/>
  <Override PartName="/xl/charts/chart36.xml" ContentType="application/vnd.openxmlformats-officedocument.drawingml.chart+xml"/>
  <Override PartName="/xl/drawings/drawing76.xml" ContentType="application/vnd.openxmlformats-officedocument.drawing+xml"/>
  <Override PartName="/xl/charts/chart37.xml" ContentType="application/vnd.openxmlformats-officedocument.drawingml.chart+xml"/>
  <Override PartName="/xl/drawings/drawing77.xml" ContentType="application/vnd.openxmlformats-officedocument.drawingml.chartshapes+xml"/>
  <Override PartName="/xl/charts/chart38.xml" ContentType="application/vnd.openxmlformats-officedocument.drawingml.chart+xml"/>
  <Override PartName="/xl/drawings/drawing78.xml" ContentType="application/vnd.openxmlformats-officedocument.drawing+xml"/>
  <Override PartName="/xl/drawings/drawing79.xml" ContentType="application/vnd.openxmlformats-officedocument.drawing+xml"/>
  <Override PartName="/xl/drawings/drawing80.xml" ContentType="application/vnd.openxmlformats-officedocument.drawing+xml"/>
  <Override PartName="/xl/drawings/drawing81.xml" ContentType="application/vnd.openxmlformats-officedocument.drawing+xml"/>
  <Override PartName="/xl/drawings/drawing82.xml" ContentType="application/vnd.openxmlformats-officedocument.drawing+xml"/>
  <Override PartName="/xl/charts/chart39.xml" ContentType="application/vnd.openxmlformats-officedocument.drawingml.chart+xml"/>
  <Override PartName="/xl/drawings/drawing83.xml" ContentType="application/vnd.openxmlformats-officedocument.drawingml.chartshapes+xml"/>
  <Override PartName="/xl/drawings/drawing84.xml" ContentType="application/vnd.openxmlformats-officedocument.drawing+xml"/>
  <Override PartName="/xl/charts/chart40.xml" ContentType="application/vnd.openxmlformats-officedocument.drawingml.chart+xml"/>
  <Override PartName="/xl/drawings/drawing85.xml" ContentType="application/vnd.openxmlformats-officedocument.drawingml.chartshapes+xml"/>
  <Override PartName="/xl/drawings/drawing86.xml" ContentType="application/vnd.openxmlformats-officedocument.drawing+xml"/>
  <Override PartName="/xl/charts/chart41.xml" ContentType="application/vnd.openxmlformats-officedocument.drawingml.chart+xml"/>
  <Override PartName="/xl/drawings/drawing87.xml" ContentType="application/vnd.openxmlformats-officedocument.drawingml.chartshapes+xml"/>
  <Override PartName="/xl/drawings/drawing88.xml" ContentType="application/vnd.openxmlformats-officedocument.drawing+xml"/>
  <Override PartName="/xl/charts/chart42.xml" ContentType="application/vnd.openxmlformats-officedocument.drawingml.chart+xml"/>
  <Override PartName="/xl/drawings/drawing89.xml" ContentType="application/vnd.openxmlformats-officedocument.drawingml.chartshapes+xml"/>
  <Override PartName="/xl/drawings/drawing90.xml" ContentType="application/vnd.openxmlformats-officedocument.drawing+xml"/>
  <Override PartName="/xl/drawings/drawing91.xml" ContentType="application/vnd.openxmlformats-officedocument.drawing+xml"/>
  <Override PartName="/xl/drawings/drawing92.xml" ContentType="application/vnd.openxmlformats-officedocument.drawing+xml"/>
  <Override PartName="/xl/drawings/drawing93.xml" ContentType="application/vnd.openxmlformats-officedocument.drawing+xml"/>
  <Override PartName="/xl/drawings/drawing94.xml" ContentType="application/vnd.openxmlformats-officedocument.drawing+xml"/>
  <Override PartName="/xl/charts/chart43.xml" ContentType="application/vnd.openxmlformats-officedocument.drawingml.chart+xml"/>
  <Override PartName="/xl/drawings/drawing95.xml" ContentType="application/vnd.openxmlformats-officedocument.drawingml.chartshapes+xml"/>
  <Override PartName="/xl/drawings/drawing96.xml" ContentType="application/vnd.openxmlformats-officedocument.drawing+xml"/>
  <Override PartName="/xl/charts/chart44.xml" ContentType="application/vnd.openxmlformats-officedocument.drawingml.chart+xml"/>
  <Override PartName="/xl/drawings/drawing97.xml" ContentType="application/vnd.openxmlformats-officedocument.drawingml.chartshapes+xml"/>
  <Override PartName="/xl/drawings/drawing98.xml" ContentType="application/vnd.openxmlformats-officedocument.drawing+xml"/>
  <Override PartName="/xl/charts/chart45.xml" ContentType="application/vnd.openxmlformats-officedocument.drawingml.chart+xml"/>
  <Override PartName="/xl/drawings/drawing99.xml" ContentType="application/vnd.openxmlformats-officedocument.drawing+xml"/>
  <Override PartName="/xl/charts/chart46.xml" ContentType="application/vnd.openxmlformats-officedocument.drawingml.chart+xml"/>
  <Override PartName="/xl/drawings/drawing100.xml" ContentType="application/vnd.openxmlformats-officedocument.drawing+xml"/>
  <Override PartName="/xl/drawings/drawing101.xml" ContentType="application/vnd.openxmlformats-officedocument.drawing+xml"/>
  <Override PartName="/xl/charts/chart47.xml" ContentType="application/vnd.openxmlformats-officedocument.drawingml.chart+xml"/>
  <Override PartName="/xl/drawings/drawing102.xml" ContentType="application/vnd.openxmlformats-officedocument.drawingml.chartshapes+xml"/>
  <Override PartName="/xl/drawings/drawing103.xml" ContentType="application/vnd.openxmlformats-officedocument.drawing+xml"/>
  <Override PartName="/xl/charts/chart48.xml" ContentType="application/vnd.openxmlformats-officedocument.drawingml.chart+xml"/>
  <Override PartName="/xl/drawings/drawing104.xml" ContentType="application/vnd.openxmlformats-officedocument.drawingml.chartshapes+xml"/>
  <Override PartName="/xl/drawings/drawing105.xml" ContentType="application/vnd.openxmlformats-officedocument.drawing+xml"/>
  <Override PartName="/xl/charts/chart49.xml" ContentType="application/vnd.openxmlformats-officedocument.drawingml.chart+xml"/>
  <Override PartName="/xl/drawings/drawing106.xml" ContentType="application/vnd.openxmlformats-officedocument.drawingml.chartshapes+xml"/>
  <Override PartName="/xl/drawings/drawing107.xml" ContentType="application/vnd.openxmlformats-officedocument.drawing+xml"/>
  <Override PartName="/xl/charts/chart50.xml" ContentType="application/vnd.openxmlformats-officedocument.drawingml.chart+xml"/>
  <Override PartName="/xl/drawings/drawing108.xml" ContentType="application/vnd.openxmlformats-officedocument.drawingml.chartshapes+xml"/>
  <Override PartName="/xl/drawings/drawing109.xml" ContentType="application/vnd.openxmlformats-officedocument.drawing+xml"/>
  <Override PartName="/xl/charts/chart51.xml" ContentType="application/vnd.openxmlformats-officedocument.drawingml.chart+xml"/>
  <Override PartName="/xl/charts/style2.xml" ContentType="application/vnd.ms-office.chartstyle+xml"/>
  <Override PartName="/xl/charts/colors2.xml" ContentType="application/vnd.ms-office.chartcolorstyle+xml"/>
  <Override PartName="/xl/drawings/drawing110.xml" ContentType="application/vnd.openxmlformats-officedocument.drawing+xml"/>
  <Override PartName="/xl/charts/chart52.xml" ContentType="application/vnd.openxmlformats-officedocument.drawingml.chart+xml"/>
  <Override PartName="/xl/drawings/drawing111.xml" ContentType="application/vnd.openxmlformats-officedocument.drawing+xml"/>
  <Override PartName="/xl/charts/chart53.xml" ContentType="application/vnd.openxmlformats-officedocument.drawingml.chart+xml"/>
  <Override PartName="/xl/drawings/drawing112.xml" ContentType="application/vnd.openxmlformats-officedocument.drawingml.chartshapes+xml"/>
  <Override PartName="/xl/drawings/drawing113.xml" ContentType="application/vnd.openxmlformats-officedocument.drawing+xml"/>
  <Override PartName="/xl/charts/chart54.xml" ContentType="application/vnd.openxmlformats-officedocument.drawingml.chart+xml"/>
  <Override PartName="/xl/drawings/drawing114.xml" ContentType="application/vnd.openxmlformats-officedocument.drawingml.chartshapes+xml"/>
  <Override PartName="/xl/drawings/drawing115.xml" ContentType="application/vnd.openxmlformats-officedocument.drawing+xml"/>
  <Override PartName="/xl/charts/chart55.xml" ContentType="application/vnd.openxmlformats-officedocument.drawingml.chart+xml"/>
  <Override PartName="/xl/charts/style3.xml" ContentType="application/vnd.ms-office.chartstyle+xml"/>
  <Override PartName="/xl/charts/colors3.xml" ContentType="application/vnd.ms-office.chartcolorstyle+xml"/>
  <Override PartName="/xl/drawings/drawing116.xml" ContentType="application/vnd.openxmlformats-officedocument.drawingml.chartshapes+xml"/>
  <Override PartName="/xl/drawings/drawing117.xml" ContentType="application/vnd.openxmlformats-officedocument.drawing+xml"/>
  <Override PartName="/xl/charts/chart56.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18.xml" ContentType="application/vnd.openxmlformats-officedocument.drawing+xml"/>
  <Override PartName="/xl/drawings/drawing119.xml" ContentType="application/vnd.openxmlformats-officedocument.drawing+xml"/>
  <Override PartName="/xl/charts/chart57.xml" ContentType="application/vnd.openxmlformats-officedocument.drawingml.chart+xml"/>
  <Override PartName="/xl/drawings/drawing120.xml" ContentType="application/vnd.openxmlformats-officedocument.drawingml.chartshapes+xml"/>
  <Override PartName="/xl/drawings/drawing121.xml" ContentType="application/vnd.openxmlformats-officedocument.drawing+xml"/>
  <Override PartName="/xl/comments1.xml" ContentType="application/vnd.openxmlformats-officedocument.spreadsheetml.comments+xml"/>
  <Override PartName="/xl/charts/chart58.xml" ContentType="application/vnd.openxmlformats-officedocument.drawingml.chart+xml"/>
  <Override PartName="/xl/drawings/drawing122.xml" ContentType="application/vnd.openxmlformats-officedocument.drawingml.chartshapes+xml"/>
  <Override PartName="/xl/drawings/drawing123.xml" ContentType="application/vnd.openxmlformats-officedocument.drawing+xml"/>
  <Override PartName="/xl/comments2.xml" ContentType="application/vnd.openxmlformats-officedocument.spreadsheetml.comments+xml"/>
  <Override PartName="/xl/charts/chart59.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24.xml" ContentType="application/vnd.openxmlformats-officedocument.drawing+xml"/>
  <Override PartName="/xl/charts/chart60.xml" ContentType="application/vnd.openxmlformats-officedocument.drawingml.chart+xml"/>
  <Override PartName="/xl/drawings/drawing125.xml" ContentType="application/vnd.openxmlformats-officedocument.drawingml.chartshapes+xml"/>
  <Override PartName="/xl/drawings/drawing126.xml" ContentType="application/vnd.openxmlformats-officedocument.drawing+xml"/>
  <Override PartName="/xl/charts/chart61.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27.xml" ContentType="application/vnd.openxmlformats-officedocument.drawing+xml"/>
  <Override PartName="/xl/charts/chart62.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28.xml" ContentType="application/vnd.openxmlformats-officedocument.drawing+xml"/>
  <Override PartName="/xl/charts/chart63.xml" ContentType="application/vnd.openxmlformats-officedocument.drawingml.chart+xml"/>
  <Override PartName="/xl/drawings/drawing129.xml" ContentType="application/vnd.openxmlformats-officedocument.drawingml.chartshapes+xml"/>
  <Override PartName="/xl/drawings/drawing130.xml" ContentType="application/vnd.openxmlformats-officedocument.drawing+xml"/>
  <Override PartName="/xl/charts/chart64.xml" ContentType="application/vnd.openxmlformats-officedocument.drawingml.chart+xml"/>
  <Override PartName="/xl/drawings/drawing131.xml" ContentType="application/vnd.openxmlformats-officedocument.drawingml.chartshapes+xml"/>
  <Override PartName="/xl/drawings/drawing132.xml" ContentType="application/vnd.openxmlformats-officedocument.drawing+xml"/>
  <Override PartName="/xl/drawings/drawing133.xml" ContentType="application/vnd.openxmlformats-officedocument.drawing+xml"/>
  <Override PartName="/xl/charts/chart65.xml" ContentType="application/vnd.openxmlformats-officedocument.drawingml.chart+xml"/>
  <Override PartName="/xl/drawings/drawing134.xml" ContentType="application/vnd.openxmlformats-officedocument.drawingml.chartshapes+xml"/>
  <Override PartName="/xl/drawings/drawing135.xml" ContentType="application/vnd.openxmlformats-officedocument.drawing+xml"/>
  <Override PartName="/xl/charts/chart66.xml" ContentType="application/vnd.openxmlformats-officedocument.drawingml.chart+xml"/>
  <Override PartName="/xl/drawings/drawing136.xml" ContentType="application/vnd.openxmlformats-officedocument.drawingml.chartshapes+xml"/>
  <Override PartName="/xl/drawings/drawing137.xml" ContentType="application/vnd.openxmlformats-officedocument.drawing+xml"/>
  <Override PartName="/xl/drawings/drawing138.xml" ContentType="application/vnd.openxmlformats-officedocument.drawing+xml"/>
  <Override PartName="/xl/drawings/drawing139.xml" ContentType="application/vnd.openxmlformats-officedocument.drawing+xml"/>
  <Override PartName="/xl/drawings/drawing140.xml" ContentType="application/vnd.openxmlformats-officedocument.drawing+xml"/>
  <Override PartName="/xl/drawings/drawing141.xml" ContentType="application/vnd.openxmlformats-officedocument.drawing+xml"/>
  <Override PartName="/xl/charts/chart67.xml" ContentType="application/vnd.openxmlformats-officedocument.drawingml.chart+xml"/>
  <Override PartName="/xl/drawings/drawing142.xml" ContentType="application/vnd.openxmlformats-officedocument.drawing+xml"/>
  <Override PartName="/xl/charts/chart68.xml" ContentType="application/vnd.openxmlformats-officedocument.drawingml.chart+xml"/>
  <Override PartName="/xl/drawings/drawing143.xml" ContentType="application/vnd.openxmlformats-officedocument.drawing+xml"/>
  <Override PartName="/xl/drawings/drawing144.xml" ContentType="application/vnd.openxmlformats-officedocument.drawing+xml"/>
  <Override PartName="/xl/drawings/drawing145.xml" ContentType="application/vnd.openxmlformats-officedocument.drawing+xml"/>
  <Override PartName="/xl/drawings/drawing146.xml" ContentType="application/vnd.openxmlformats-officedocument.drawing+xml"/>
  <Override PartName="/xl/charts/chart69.xml" ContentType="application/vnd.openxmlformats-officedocument.drawingml.chart+xml"/>
  <Override PartName="/xl/drawings/drawing147.xml" ContentType="application/vnd.openxmlformats-officedocument.drawing+xml"/>
  <Override PartName="/xl/charts/chart70.xml" ContentType="application/vnd.openxmlformats-officedocument.drawingml.chart+xml"/>
  <Override PartName="/xl/drawings/drawing148.xml" ContentType="application/vnd.openxmlformats-officedocument.drawingml.chartshapes+xml"/>
  <Override PartName="/xl/drawings/drawing149.xml" ContentType="application/vnd.openxmlformats-officedocument.drawing+xml"/>
  <Override PartName="/xl/drawings/drawing150.xml" ContentType="application/vnd.openxmlformats-officedocument.drawing+xml"/>
  <Override PartName="/xl/drawings/drawing151.xml" ContentType="application/vnd.openxmlformats-officedocument.drawing+xml"/>
  <Override PartName="/xl/charts/chart71.xml" ContentType="application/vnd.openxmlformats-officedocument.drawingml.chart+xml"/>
  <Override PartName="/xl/drawings/drawing152.xml" ContentType="application/vnd.openxmlformats-officedocument.drawing+xml"/>
  <Override PartName="/xl/charts/chart72.xml" ContentType="application/vnd.openxmlformats-officedocument.drawingml.chart+xml"/>
  <Override PartName="/xl/drawings/drawing153.xml" ContentType="application/vnd.openxmlformats-officedocument.drawing+xml"/>
  <Override PartName="/xl/charts/chart73.xml" ContentType="application/vnd.openxmlformats-officedocument.drawingml.chart+xml"/>
  <Override PartName="/xl/drawings/drawing154.xml" ContentType="application/vnd.openxmlformats-officedocument.drawing+xml"/>
  <Override PartName="/xl/drawings/drawing155.xml" ContentType="application/vnd.openxmlformats-officedocument.drawing+xml"/>
  <Override PartName="/xl/drawings/drawing156.xml" ContentType="application/vnd.openxmlformats-officedocument.drawing+xml"/>
  <Override PartName="/xl/charts/chart74.xml" ContentType="application/vnd.openxmlformats-officedocument.drawingml.chart+xml"/>
  <Override PartName="/xl/drawings/drawing157.xml" ContentType="application/vnd.openxmlformats-officedocument.drawing+xml"/>
  <Override PartName="/xl/charts/chart75.xml" ContentType="application/vnd.openxmlformats-officedocument.drawingml.chart+xml"/>
  <Override PartName="/xl/drawings/drawing158.xml" ContentType="application/vnd.openxmlformats-officedocument.drawing+xml"/>
  <Override PartName="/xl/charts/chart76.xml" ContentType="application/vnd.openxmlformats-officedocument.drawingml.chart+xml"/>
  <Override PartName="/xl/drawings/drawing159.xml" ContentType="application/vnd.openxmlformats-officedocument.drawing+xml"/>
  <Override PartName="/xl/charts/chart77.xml" ContentType="application/vnd.openxmlformats-officedocument.drawingml.chart+xml"/>
  <Override PartName="/xl/drawings/drawing160.xml" ContentType="application/vnd.openxmlformats-officedocument.drawing+xml"/>
  <Override PartName="/xl/charts/chart78.xml" ContentType="application/vnd.openxmlformats-officedocument.drawingml.chart+xml"/>
  <Override PartName="/xl/drawings/drawing161.xml" ContentType="application/vnd.openxmlformats-officedocument.drawing+xml"/>
  <Override PartName="/xl/charts/chart79.xml" ContentType="application/vnd.openxmlformats-officedocument.drawingml.chart+xml"/>
  <Override PartName="/xl/drawings/drawing162.xml" ContentType="application/vnd.openxmlformats-officedocument.drawing+xml"/>
  <Override PartName="/xl/charts/chart80.xml" ContentType="application/vnd.openxmlformats-officedocument.drawingml.chart+xml"/>
  <Override PartName="/xl/drawings/drawing163.xml" ContentType="application/vnd.openxmlformats-officedocument.drawing+xml"/>
  <Override PartName="/xl/charts/chart81.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64.xml" ContentType="application/vnd.openxmlformats-officedocument.drawing+xml"/>
  <Override PartName="/xl/charts/chart82.xml" ContentType="application/vnd.openxmlformats-officedocument.drawingml.chart+xml"/>
  <Override PartName="/xl/drawings/drawing165.xml" ContentType="application/vnd.openxmlformats-officedocument.drawing+xml"/>
  <Override PartName="/xl/charts/chart83.xml" ContentType="application/vnd.openxmlformats-officedocument.drawingml.chart+xml"/>
  <Override PartName="/xl/drawings/drawing166.xml" ContentType="application/vnd.openxmlformats-officedocument.drawing+xml"/>
  <Override PartName="/xl/charts/chart84.xml" ContentType="application/vnd.openxmlformats-officedocument.drawingml.chart+xml"/>
  <Override PartName="/xl/drawings/drawing167.xml" ContentType="application/vnd.openxmlformats-officedocument.drawingml.chartshapes+xml"/>
  <Override PartName="/xl/drawings/drawing168.xml" ContentType="application/vnd.openxmlformats-officedocument.drawing+xml"/>
  <Override PartName="/xl/charts/chart85.xml" ContentType="application/vnd.openxmlformats-officedocument.drawingml.chart+xml"/>
  <Override PartName="/xl/drawings/drawing169.xml" ContentType="application/vnd.openxmlformats-officedocument.drawingml.chartshapes+xml"/>
  <Override PartName="/xl/drawings/drawing170.xml" ContentType="application/vnd.openxmlformats-officedocument.drawing+xml"/>
  <Override PartName="/xl/charts/chart86.xml" ContentType="application/vnd.openxmlformats-officedocument.drawingml.chart+xml"/>
  <Override PartName="/xl/drawings/drawing171.xml" ContentType="application/vnd.openxmlformats-officedocument.drawingml.chartshapes+xml"/>
  <Override PartName="/xl/drawings/drawing172.xml" ContentType="application/vnd.openxmlformats-officedocument.drawing+xml"/>
  <Override PartName="/xl/charts/chart87.xml" ContentType="application/vnd.openxmlformats-officedocument.drawingml.chart+xml"/>
  <Override PartName="/xl/drawings/drawing173.xml" ContentType="application/vnd.openxmlformats-officedocument.drawingml.chartshapes+xml"/>
  <Override PartName="/xl/drawings/drawing174.xml" ContentType="application/vnd.openxmlformats-officedocument.drawing+xml"/>
  <Override PartName="/xl/charts/chart88.xml" ContentType="application/vnd.openxmlformats-officedocument.drawingml.chart+xml"/>
  <Override PartName="/xl/drawings/drawing175.xml" ContentType="application/vnd.openxmlformats-officedocument.drawingml.chartshapes+xml"/>
  <Override PartName="/xl/drawings/drawing176.xml" ContentType="application/vnd.openxmlformats-officedocument.drawing+xml"/>
  <Override PartName="/xl/charts/chart89.xml" ContentType="application/vnd.openxmlformats-officedocument.drawingml.chart+xml"/>
  <Override PartName="/xl/drawings/drawing177.xml" ContentType="application/vnd.openxmlformats-officedocument.drawingml.chartshapes+xml"/>
  <Override PartName="/xl/drawings/drawing178.xml" ContentType="application/vnd.openxmlformats-officedocument.drawing+xml"/>
  <Override PartName="/xl/charts/chart90.xml" ContentType="application/vnd.openxmlformats-officedocument.drawingml.chart+xml"/>
  <Override PartName="/xl/drawings/drawing179.xml" ContentType="application/vnd.openxmlformats-officedocument.drawingml.chartshapes+xml"/>
  <Override PartName="/xl/drawings/drawing180.xml" ContentType="application/vnd.openxmlformats-officedocument.drawing+xml"/>
  <Override PartName="/xl/charts/chart91.xml" ContentType="application/vnd.openxmlformats-officedocument.drawingml.chart+xml"/>
  <Override PartName="/xl/drawings/drawing181.xml" ContentType="application/vnd.openxmlformats-officedocument.drawingml.chartshapes+xml"/>
  <Override PartName="/xl/drawings/drawing182.xml" ContentType="application/vnd.openxmlformats-officedocument.drawing+xml"/>
  <Override PartName="/xl/charts/chart92.xml" ContentType="application/vnd.openxmlformats-officedocument.drawingml.chart+xml"/>
  <Override PartName="/xl/drawings/drawing183.xml" ContentType="application/vnd.openxmlformats-officedocument.drawingml.chartshapes+xml"/>
  <Override PartName="/xl/drawings/drawing184.xml" ContentType="application/vnd.openxmlformats-officedocument.drawing+xml"/>
  <Override PartName="/xl/charts/chart93.xml" ContentType="application/vnd.openxmlformats-officedocument.drawingml.chart+xml"/>
  <Override PartName="/xl/drawings/drawing185.xml" ContentType="application/vnd.openxmlformats-officedocument.drawing+xml"/>
  <Override PartName="/xl/charts/chart94.xml" ContentType="application/vnd.openxmlformats-officedocument.drawingml.chart+xml"/>
  <Override PartName="/xl/drawings/drawing186.xml" ContentType="application/vnd.openxmlformats-officedocument.drawingml.chartshapes+xml"/>
  <Override PartName="/xl/drawings/drawing187.xml" ContentType="application/vnd.openxmlformats-officedocument.drawing+xml"/>
  <Override PartName="/xl/charts/chart95.xml" ContentType="application/vnd.openxmlformats-officedocument.drawingml.chart+xml"/>
  <Override PartName="/xl/drawings/drawing188.xml" ContentType="application/vnd.openxmlformats-officedocument.drawing+xml"/>
  <Override PartName="/xl/charts/chart96.xml" ContentType="application/vnd.openxmlformats-officedocument.drawingml.chart+xml"/>
  <Override PartName="/xl/drawings/drawing189.xml" ContentType="application/vnd.openxmlformats-officedocument.drawing+xml"/>
  <Override PartName="/xl/charts/chart97.xml" ContentType="application/vnd.openxmlformats-officedocument.drawingml.chart+xml"/>
  <Override PartName="/xl/drawings/drawing190.xml" ContentType="application/vnd.openxmlformats-officedocument.drawing+xml"/>
  <Override PartName="/xl/drawings/drawing191.xml" ContentType="application/vnd.openxmlformats-officedocument.drawing+xml"/>
  <Override PartName="/xl/charts/chart98.xml" ContentType="application/vnd.openxmlformats-officedocument.drawingml.chart+xml"/>
  <Override PartName="/xl/drawings/drawing192.xml" ContentType="application/vnd.openxmlformats-officedocument.drawingml.chartshapes+xml"/>
  <Override PartName="/xl/drawings/drawing193.xml" ContentType="application/vnd.openxmlformats-officedocument.drawing+xml"/>
  <Override PartName="/xl/charts/chart99.xml" ContentType="application/vnd.openxmlformats-officedocument.drawingml.chart+xml"/>
  <Override PartName="/xl/drawings/drawing194.xml" ContentType="application/vnd.openxmlformats-officedocument.drawing+xml"/>
  <Override PartName="/xl/charts/chart100.xml" ContentType="application/vnd.openxmlformats-officedocument.drawingml.chart+xml"/>
  <Override PartName="/xl/drawings/drawing195.xml" ContentType="application/vnd.openxmlformats-officedocument.drawingml.chartshapes+xml"/>
  <Override PartName="/xl/drawings/drawing196.xml" ContentType="application/vnd.openxmlformats-officedocument.drawing+xml"/>
  <Override PartName="/xl/drawings/drawing197.xml" ContentType="application/vnd.openxmlformats-officedocument.drawing+xml"/>
  <Override PartName="/xl/drawings/drawing198.xml" ContentType="application/vnd.openxmlformats-officedocument.drawing+xml"/>
  <Override PartName="/xl/charts/chart101.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99.xml" ContentType="application/vnd.openxmlformats-officedocument.drawing+xml"/>
  <Override PartName="/xl/charts/chart102.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00.xml" ContentType="application/vnd.openxmlformats-officedocument.drawing+xml"/>
  <Override PartName="/xl/charts/chart103.xml" ContentType="application/vnd.openxmlformats-officedocument.drawingml.chart+xml"/>
  <Override PartName="/xl/drawings/drawing201.xml" ContentType="application/vnd.openxmlformats-officedocument.drawingml.chartshapes+xml"/>
  <Override PartName="/xl/drawings/drawing202.xml" ContentType="application/vnd.openxmlformats-officedocument.drawing+xml"/>
  <Override PartName="/xl/charts/chart104.xml" ContentType="application/vnd.openxmlformats-officedocument.drawingml.chart+xml"/>
  <Override PartName="/xl/drawings/drawing203.xml" ContentType="application/vnd.openxmlformats-officedocument.drawingml.chartshapes+xml"/>
  <Override PartName="/xl/drawings/drawing204.xml" ContentType="application/vnd.openxmlformats-officedocument.drawing+xml"/>
  <Override PartName="/xl/charts/chart105.xml" ContentType="application/vnd.openxmlformats-officedocument.drawingml.chart+xml"/>
  <Override PartName="/xl/drawings/drawing205.xml" ContentType="application/vnd.openxmlformats-officedocument.drawingml.chartshapes+xml"/>
  <Override PartName="/xl/drawings/drawing206.xml" ContentType="application/vnd.openxmlformats-officedocument.drawing+xml"/>
  <Override PartName="/xl/charts/chart106.xml" ContentType="application/vnd.openxmlformats-officedocument.drawingml.chart+xml"/>
  <Override PartName="/xl/drawings/drawing207.xml" ContentType="application/vnd.openxmlformats-officedocument.drawingml.chartshapes+xml"/>
  <Override PartName="/xl/drawings/drawing208.xml" ContentType="application/vnd.openxmlformats-officedocument.drawing+xml"/>
  <Override PartName="/xl/drawings/drawing209.xml" ContentType="application/vnd.openxmlformats-officedocument.drawing+xml"/>
  <Override PartName="/xl/charts/chart107.xml" ContentType="application/vnd.openxmlformats-officedocument.drawingml.chart+xml"/>
  <Override PartName="/xl/drawings/drawing210.xml" ContentType="application/vnd.openxmlformats-officedocument.drawingml.chartshapes+xml"/>
  <Override PartName="/xl/drawings/drawing211.xml" ContentType="application/vnd.openxmlformats-officedocument.drawing+xml"/>
  <Override PartName="/xl/charts/chart108.xml" ContentType="application/vnd.openxmlformats-officedocument.drawingml.chart+xml"/>
  <Override PartName="/xl/drawings/drawing212.xml" ContentType="application/vnd.openxmlformats-officedocument.drawingml.chartshapes+xml"/>
  <Override PartName="/xl/drawings/drawing213.xml" ContentType="application/vnd.openxmlformats-officedocument.drawing+xml"/>
  <Override PartName="/xl/charts/chart109.xml" ContentType="application/vnd.openxmlformats-officedocument.drawingml.chart+xml"/>
  <Override PartName="/xl/drawings/drawing214.xml" ContentType="application/vnd.openxmlformats-officedocument.drawingml.chartshapes+xml"/>
  <Override PartName="/xl/charts/chart110.xml" ContentType="application/vnd.openxmlformats-officedocument.drawingml.chart+xml"/>
  <Override PartName="/xl/charts/chart111.xml" ContentType="application/vnd.openxmlformats-officedocument.drawingml.chart+xml"/>
  <Override PartName="/xl/drawings/drawing215.xml" ContentType="application/vnd.openxmlformats-officedocument.drawing+xml"/>
  <Override PartName="/xl/drawings/drawing216.xml" ContentType="application/vnd.openxmlformats-officedocument.drawing+xml"/>
  <Override PartName="/xl/drawings/drawing217.xml" ContentType="application/vnd.openxmlformats-officedocument.drawing+xml"/>
  <Override PartName="/xl/charts/chart112.xml" ContentType="application/vnd.openxmlformats-officedocument.drawingml.chart+xml"/>
  <Override PartName="/xl/drawings/drawing218.xml" ContentType="application/vnd.openxmlformats-officedocument.drawingml.chartshapes+xml"/>
  <Override PartName="/xl/charts/chart113.xml" ContentType="application/vnd.openxmlformats-officedocument.drawingml.chart+xml"/>
  <Override PartName="/xl/charts/chart114.xml" ContentType="application/vnd.openxmlformats-officedocument.drawingml.chart+xml"/>
  <Override PartName="/xl/drawings/drawing219.xml" ContentType="application/vnd.openxmlformats-officedocument.drawing+xml"/>
  <Override PartName="/xl/drawings/drawing220.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Srvarch01\sig\02. Estadisticas\02. Informes y Metas SDSS\2015\11.  Informe Noviembre 2015\03. Indicadores e Informes noviembre 2015\Para Publicar\"/>
    </mc:Choice>
  </mc:AlternateContent>
  <bookViews>
    <workbookView xWindow="-45" yWindow="-45" windowWidth="12750" windowHeight="9660" tabRatio="727"/>
  </bookViews>
  <sheets>
    <sheet name="Present. " sheetId="373" r:id="rId1"/>
    <sheet name="Contenido" sheetId="453" r:id="rId2"/>
    <sheet name="I.1. Ley 87-01 (2)" sheetId="372" r:id="rId3"/>
    <sheet name="I.2. Org. SDSS" sheetId="376" r:id="rId4"/>
    <sheet name="I.3. Reg. y Seg." sheetId="313" r:id="rId5"/>
    <sheet name="I.4. Seg. y Ben." sheetId="314" r:id="rId6"/>
    <sheet name="II.SDSS" sheetId="298" r:id="rId7"/>
    <sheet name="II.1. SDSS.Definición" sheetId="329" r:id="rId8"/>
    <sheet name="II.2.Analisis SDSS" sheetId="404" r:id="rId9"/>
    <sheet name="II.3. Empl x sector " sheetId="335" r:id="rId10"/>
    <sheet name=" II.4.Empr x No. de empl" sheetId="336" r:id="rId11"/>
    <sheet name="II.5 Salario prom." sheetId="337" r:id="rId12"/>
    <sheet name="II.6.Empl xsexoy edad" sheetId="426" r:id="rId13"/>
    <sheet name="III.1.SFS" sheetId="327" r:id="rId14"/>
    <sheet name="III.1.1a. Def. Afil. SFS1" sheetId="317" r:id="rId15"/>
    <sheet name="III.1.1b.Def. de Afili. SFS2  " sheetId="330" r:id="rId16"/>
    <sheet name="III.1.2.Analisis SFS" sheetId="405" r:id="rId17"/>
    <sheet name="III.1.3.Afil.SFSPob.Nac." sheetId="333" r:id="rId18"/>
    <sheet name="III.1.4.Afil. SFS" sheetId="287" r:id="rId19"/>
    <sheet name="III.1.5.Cob.Afil. SFS " sheetId="332" r:id="rId20"/>
    <sheet name="III.1.6.Afil. SFS x sexo" sheetId="427" r:id="rId21"/>
    <sheet name="III.1.7.Proy. afil.Vs pobl." sheetId="334" r:id="rId22"/>
    <sheet name="III.2. SFS.RC" sheetId="299" r:id="rId23"/>
    <sheet name="III.2.1.Afil. SFS.RC " sheetId="322" r:id="rId24"/>
    <sheet name="III.2.2. Afil. SFS RC Anual " sheetId="402" r:id="rId25"/>
    <sheet name="III.2.3. Afil. SFS RC Mensual" sheetId="432" r:id="rId26"/>
    <sheet name="III.2.4.Cob.Afil. SFS RC Anual" sheetId="338" r:id="rId27"/>
    <sheet name=" III.2.5.Cob.Afil.SFSRC Mens" sheetId="341" r:id="rId28"/>
    <sheet name="III.2.6.Afil. SFS RC X sex.tipo" sheetId="434" r:id="rId29"/>
    <sheet name="III.3.SFS.RS" sheetId="294" r:id="rId30"/>
    <sheet name="III.3.1.Analis.Afil. SFS.RS1  " sheetId="323" r:id="rId31"/>
    <sheet name="III.3.2. Afil anual SFS RS " sheetId="342" r:id="rId32"/>
    <sheet name=" III.3.3.Afil.mensual SFS RS " sheetId="433" r:id="rId33"/>
    <sheet name="III.3.4.Cob.Afil anual SFS RS" sheetId="431" r:id="rId34"/>
    <sheet name="III.3.5.Cob.Afil.mens.SFS RS " sheetId="345" r:id="rId35"/>
    <sheet name="III.3.6.Afil.SFSRSsex tipo " sheetId="435" r:id="rId36"/>
    <sheet name="III.3.7. Afil. SFS RS Vs pob." sheetId="61" r:id="rId37"/>
    <sheet name="III.4.Afil.RET" sheetId="295" r:id="rId38"/>
    <sheet name="III.4.1.Afil.RET1" sheetId="324" r:id="rId39"/>
    <sheet name=" III.4.2.Afil. SFSP Anual." sheetId="377" r:id="rId40"/>
    <sheet name=" III.4.3.Afil. SFSP Mensual" sheetId="348" r:id="rId41"/>
    <sheet name=" III.4.4.Cob.Afil. SFSP Mensual" sheetId="349" r:id="rId42"/>
    <sheet name="III.5.SVDS" sheetId="297" r:id="rId43"/>
    <sheet name="III.5.1.Definición Afil. SVDS" sheetId="350" r:id="rId44"/>
    <sheet name="III.5.2.Analisis Afil. SVDS" sheetId="406" r:id="rId45"/>
    <sheet name="III.5.3.Afil. SVDS" sheetId="407" r:id="rId46"/>
    <sheet name="III.5.4.Afil. SVDS mensual" sheetId="375" r:id="rId47"/>
    <sheet name="III.5.5.Afil. cotiz." sheetId="374" r:id="rId48"/>
    <sheet name="III.5.6.Cotiz. x rango de edad" sheetId="272" r:id="rId49"/>
    <sheet name="III.5.7.Cotiz x sal. min. cot." sheetId="273" r:id="rId50"/>
    <sheet name="III.5.8.Cotiz.x AFP y fondos" sheetId="274" r:id="rId51"/>
    <sheet name="III.5.9.PEA_Pensiones_Género" sheetId="379" r:id="rId52"/>
    <sheet name="III.5.10.Cot.Afil X Sexo" sheetId="380" r:id="rId53"/>
    <sheet name="III.5.11.Traspasos anual" sheetId="381" r:id="rId54"/>
    <sheet name="III.5.12.Trasp. recibidos" sheetId="382" r:id="rId55"/>
    <sheet name="III.5.13.Trasp. cedidos" sheetId="383" r:id="rId56"/>
    <sheet name="III.5.14.Trasp. netos" sheetId="384" r:id="rId57"/>
    <sheet name="III.5.15.Afil. SVDSxprov." sheetId="446" r:id="rId58"/>
    <sheet name="III.6.SRL" sheetId="300" r:id="rId59"/>
    <sheet name="III.6.1.Definición Afil. SRL" sheetId="356" r:id="rId60"/>
    <sheet name="III.6.2.Afil. SRL.RC1 " sheetId="355" r:id="rId61"/>
    <sheet name="III.6.3.Afil. SRL" sheetId="385" r:id="rId62"/>
    <sheet name="III.6.4.Afil. SRL x sexoy edad" sheetId="386" r:id="rId63"/>
    <sheet name="III.6.5.Afil. ARL x riesgo" sheetId="387" r:id="rId64"/>
    <sheet name="III.6.6.ID. Accidentabilidad" sheetId="389" r:id="rId65"/>
    <sheet name="IV. ING._ EGR" sheetId="361" r:id="rId66"/>
    <sheet name="IV.1a.Definición Ing.Gastos)" sheetId="363" r:id="rId67"/>
    <sheet name="IV.1b.Definición Ing.Gastos" sheetId="371" r:id="rId68"/>
    <sheet name="IV.1.2. Analisis Ing.Egr" sheetId="408" r:id="rId69"/>
    <sheet name="IV.1.3. Ingr y egr SDSS" sheetId="449" r:id="rId70"/>
    <sheet name="IV.1.4. Recaudo x sector" sheetId="400" r:id="rId71"/>
    <sheet name="IV.1.5 Rec. x origen" sheetId="401" r:id="rId72"/>
    <sheet name="IV.1.6 Aport.Gob.SS" sheetId="445" r:id="rId73"/>
    <sheet name="IV.2.1 AnálisisIng.Egr.Seg" sheetId="441" r:id="rId74"/>
    <sheet name="IV.2.2. Pagos SFS A" sheetId="391" r:id="rId75"/>
    <sheet name="IV.2.3.Pagos_SFS M" sheetId="54" r:id="rId76"/>
    <sheet name="IV.2.4.Pagos x ARS" sheetId="450" r:id="rId77"/>
    <sheet name="IV.2.5.Pagos x ARS" sheetId="451" r:id="rId78"/>
    <sheet name="IV.2.6.INV_SFS x Entidad" sheetId="179" r:id="rId79"/>
    <sheet name="IV.2.7.INV_SFS x cuentas" sheetId="177" r:id="rId80"/>
    <sheet name="IV.2.8.Aport. GOB. y Pagos RS" sheetId="72" r:id="rId81"/>
    <sheet name="IV.2.9.Saldos RS mensual" sheetId="74" r:id="rId82"/>
    <sheet name="IV.2.10 Pagos.SFS Pens." sheetId="447" r:id="rId83"/>
    <sheet name="IV.2.11.Pagos.SFS Pens.Mens." sheetId="448" r:id="rId84"/>
    <sheet name="IV.3.1.AnálisisIng.Eg.SVDS" sheetId="442" r:id="rId85"/>
    <sheet name="IV.3.2.Pagos_ SVDS" sheetId="276" r:id="rId86"/>
    <sheet name="IV.3.3.Pagos anuales x cuentas" sheetId="29" r:id="rId87"/>
    <sheet name="IV.3.4.Pago Entidades" sheetId="444" r:id="rId88"/>
    <sheet name="IV.3.5.Patrim. fp anual" sheetId="283" r:id="rId89"/>
    <sheet name="IV.3.6.Cartera de inv fp" sheetId="392" r:id="rId90"/>
    <sheet name="IV.3.7. Comp. Cartera" sheetId="393" r:id="rId91"/>
    <sheet name="IV.3.8. Rent. nom. de los FP" sheetId="394" r:id="rId92"/>
    <sheet name="IV.3.9.Rentab.Real" sheetId="395" r:id="rId93"/>
    <sheet name="IV.4.1. Analisis " sheetId="443" r:id="rId94"/>
    <sheet name="IV.4.2.Pagos ARL A" sheetId="78" r:id="rId95"/>
    <sheet name="IV.4.3.Pagos_ARL M" sheetId="79" r:id="rId96"/>
    <sheet name="V.BENEFICIOS" sheetId="362" r:id="rId97"/>
    <sheet name="V.1a SFS_EI" sheetId="296" r:id="rId98"/>
    <sheet name="V.1b. Def. EI" sheetId="326" r:id="rId99"/>
    <sheet name="V.1.2.AnalisEI" sheetId="411" r:id="rId100"/>
    <sheet name="V.1.3.Afil.EI" sheetId="425" r:id="rId101"/>
    <sheet name="V.1.4.Afil.EI" sheetId="412" r:id="rId102"/>
    <sheet name="V.2.SUBSIDIO_SFS" sheetId="364" r:id="rId103"/>
    <sheet name="V.2.1.SUBSIDIO_SFS Def." sheetId="437" r:id="rId104"/>
    <sheet name="V.2.2.Análisis" sheetId="438" r:id="rId105"/>
    <sheet name=" V.2.3.Benef. subsid " sheetId="397" r:id="rId106"/>
    <sheet name="V.2.4. Monto subsid." sheetId="396" r:id="rId107"/>
    <sheet name="V.3.PENSIONES_SVDS" sheetId="365" r:id="rId108"/>
    <sheet name="V.3.1. Def-Análisis pens." sheetId="440" r:id="rId109"/>
    <sheet name="V.3.2 Pensiones por año" sheetId="282" r:id="rId110"/>
    <sheet name="V.3.3.Pens.Disc. AFP" sheetId="308" r:id="rId111"/>
    <sheet name="V.3.4.Pensiones Sob.Disc" sheetId="307" r:id="rId112"/>
    <sheet name="V.4.SOLIC_BEN_ARL" sheetId="366" r:id="rId113"/>
    <sheet name="V.4.1.Def-Analisis   " sheetId="415" r:id="rId114"/>
    <sheet name="V.4.2.NA. Reportes ARL" sheetId="215" r:id="rId115"/>
    <sheet name="V.4.3. NA.Cant. accid x región" sheetId="217" r:id="rId116"/>
    <sheet name="V.4.4.NA.Cant. accid x Prov" sheetId="452" r:id="rId117"/>
    <sheet name="V.4.5.NA.Cant. accid x Proced." sheetId="219" r:id="rId118"/>
    <sheet name="V.4.6. NA.Cant. accid x sector" sheetId="222" r:id="rId119"/>
    <sheet name="V.4.7. Accid x sexo" sheetId="224" r:id="rId120"/>
    <sheet name="V.4.8. Accid x rango de edad" sheetId="226" r:id="rId121"/>
    <sheet name="V.4.9.Accid x Escolaridad" sheetId="228" r:id="rId122"/>
    <sheet name="V.4.10.Accid x sector " sheetId="223" r:id="rId123"/>
    <sheet name="V.4.11.Accid x sexo" sheetId="225" r:id="rId124"/>
    <sheet name="V.4.12.Accid x edad" sheetId="227" r:id="rId125"/>
    <sheet name="V.4.13.EC. Accid. Lab" sheetId="230" r:id="rId126"/>
    <sheet name="V.4.14.EC. Accid. Lab." sheetId="229" r:id="rId127"/>
    <sheet name="V.4.15.EC. Accid. Lab x tipo" sheetId="231" r:id="rId128"/>
    <sheet name="V.4.16. EC. Accid. Lab x Lesión" sheetId="232" r:id="rId129"/>
    <sheet name="V.4.17. Accid.Lab suceso" sheetId="233" r:id="rId130"/>
    <sheet name="V.4.18. EC. x Agente daño" sheetId="235" r:id="rId131"/>
    <sheet name="V.4.19. EC. x  lugar de accid." sheetId="236" r:id="rId132"/>
    <sheet name="V.4.20.EC. Accid incapac." sheetId="238" r:id="rId133"/>
    <sheet name="V.4.21. EC. Enferm. Prof (R)" sheetId="239" r:id="rId134"/>
    <sheet name="V.4.22.EC. Accid Lab.(R)" sheetId="240" r:id="rId135"/>
    <sheet name="V.4.23. Accid. Aprobxtipo" sheetId="214" r:id="rId136"/>
    <sheet name="V.4.24. Accid. Aprob xLesión " sheetId="241" r:id="rId137"/>
    <sheet name="V.4.25.Accid.Aprob Según suc." sheetId="242" r:id="rId138"/>
    <sheet name="VI.1.Analisis CMNR" sheetId="420" r:id="rId139"/>
    <sheet name="VI.2.Status" sheetId="422" r:id="rId140"/>
    <sheet name="VI.3.Apelaciones1" sheetId="423" r:id="rId141"/>
    <sheet name="VI.4. Entidad Receptora Origen" sheetId="424" r:id="rId142"/>
    <sheet name="VII.CBSS" sheetId="455" r:id="rId143"/>
    <sheet name="VII.1. Analisis CBSS" sheetId="457" r:id="rId144"/>
    <sheet name="VII.2.CBSS Tram." sheetId="466" r:id="rId145"/>
    <sheet name="VII.3.CBSS-Benef" sheetId="465" r:id="rId146"/>
    <sheet name="VII.4.CBSS-Tramit." sheetId="459" r:id="rId147"/>
    <sheet name="VII.5.CBSS-Rel.Concl. " sheetId="462" r:id="rId148"/>
    <sheet name="VII.6.CBSS-Cert." sheetId="461" r:id="rId149"/>
    <sheet name="VII.7.CBSS.Sex" sheetId="456" r:id="rId150"/>
    <sheet name="VIII.ENFT_BC" sheetId="368" r:id="rId151"/>
    <sheet name="VIII.1 Ocup. formal" sheetId="398" r:id="rId152"/>
    <sheet name="VIII.2 Pob. econ." sheetId="399" r:id="rId153"/>
    <sheet name="IX.1.a SDSS Definiciones" sheetId="246" r:id="rId154"/>
    <sheet name="IX.1.b  SDSS Definiciones " sheetId="245" r:id="rId155"/>
    <sheet name="IX.1.c SDSS Definiciones" sheetId="247" r:id="rId156"/>
    <sheet name="IX.1.d SDSS Definiciones" sheetId="248" r:id="rId157"/>
    <sheet name="IX.2a.Logros " sheetId="316" r:id="rId158"/>
    <sheet name="IX.2b. Logros1" sheetId="315" r:id="rId159"/>
  </sheets>
  <externalReferences>
    <externalReference r:id="rId160"/>
    <externalReference r:id="rId161"/>
    <externalReference r:id="rId162"/>
  </externalReferences>
  <definedNames>
    <definedName name="_xlnm._FilterDatabase" localSheetId="28" hidden="1">'III.2.6.Afil. SFS RC X sex.tipo'!$A$3:$G$36</definedName>
    <definedName name="_xlnm._FilterDatabase" localSheetId="35" hidden="1">'III.3.6.Afil.SFSRSsex tipo '!$A$3:$F$36</definedName>
    <definedName name="_xlnm._FilterDatabase" localSheetId="76" hidden="1">'IV.2.4.Pagos x ARS'!$B$3:$L$58</definedName>
    <definedName name="_Toc257211943" localSheetId="152">'VIII.2 Pob. econ.'!#REF!</definedName>
    <definedName name="_xlcn.WorksheetConnection_III.5.15.Afil.SVDSxprov.A3F601" hidden="1">'III.5.15.Afil. SVDSxprov.'!$A$2:$F$35</definedName>
    <definedName name="Afil" localSheetId="2">'[1]7.7.6'!#REF!</definedName>
    <definedName name="Afil" localSheetId="8">'[1]7.7.6'!#REF!</definedName>
    <definedName name="Afil" localSheetId="12">'[1]7.7.6'!#REF!</definedName>
    <definedName name="Afil" localSheetId="16">'[1]7.7.6'!#REF!</definedName>
    <definedName name="Afil" localSheetId="20">'[1]7.7.6'!#REF!</definedName>
    <definedName name="Afil" localSheetId="28">'[1]7.7.6'!#REF!</definedName>
    <definedName name="Afil" localSheetId="35">'[1]7.7.6'!#REF!</definedName>
    <definedName name="Afil" localSheetId="44">'[1]7.7.6'!#REF!</definedName>
    <definedName name="Afil" localSheetId="68">'[1]7.7.6'!#REF!</definedName>
    <definedName name="Afil" localSheetId="69">'[1]7.7.6'!#REF!</definedName>
    <definedName name="Afil" localSheetId="67">'[1]7.7.6'!#REF!</definedName>
    <definedName name="Afil" localSheetId="83">'[1]7.7.6'!#REF!</definedName>
    <definedName name="Afil" localSheetId="103">'[1]7.7.6'!#REF!</definedName>
    <definedName name="Afil" localSheetId="143">'[1]7.7.6'!#REF!</definedName>
    <definedName name="Afil" localSheetId="144">'[1]7.7.6'!#REF!</definedName>
    <definedName name="Afil" localSheetId="145">'[1]7.7.6'!#REF!</definedName>
    <definedName name="Afil" localSheetId="146">'[1]7.7.6'!#REF!</definedName>
    <definedName name="Afil" localSheetId="147">'[1]7.7.6'!#REF!</definedName>
    <definedName name="Afil" localSheetId="148">'[1]7.7.6'!#REF!</definedName>
    <definedName name="Afil" localSheetId="149">'[1]7.7.6'!#REF!</definedName>
    <definedName name="Afil" localSheetId="142">'[1]7.7.6'!#REF!</definedName>
    <definedName name="Afil" localSheetId="150">'[1]7.7.6'!#REF!</definedName>
    <definedName name="Afil">'[1]7.7.6'!#REF!</definedName>
    <definedName name="Afiliacion2" localSheetId="69">'[1]7.7.6'!#REF!</definedName>
    <definedName name="Afiliacion2" localSheetId="83">'[1]7.7.6'!#REF!</definedName>
    <definedName name="Afiliacion2" localSheetId="103">'[1]7.7.6'!#REF!</definedName>
    <definedName name="Afiliacion2" localSheetId="143">'[1]7.7.6'!#REF!</definedName>
    <definedName name="Afiliacion2" localSheetId="144">'[1]7.7.6'!#REF!</definedName>
    <definedName name="Afiliacion2" localSheetId="145">'[1]7.7.6'!#REF!</definedName>
    <definedName name="Afiliacion2" localSheetId="146">'[1]7.7.6'!#REF!</definedName>
    <definedName name="Afiliacion2" localSheetId="147">'[1]7.7.6'!#REF!</definedName>
    <definedName name="Afiliacion2" localSheetId="148">'[1]7.7.6'!#REF!</definedName>
    <definedName name="Afiliacion2" localSheetId="149">'[1]7.7.6'!#REF!</definedName>
    <definedName name="Afiliacion2" localSheetId="142">'[1]7.7.6'!#REF!</definedName>
    <definedName name="Afiliacion2">'[1]7.7.6'!#REF!</definedName>
    <definedName name="Analisis" localSheetId="12">'[1]7.7.6'!#REF!</definedName>
    <definedName name="Analisis" localSheetId="20">'[1]7.7.6'!#REF!</definedName>
    <definedName name="Analisis" localSheetId="28">'[1]7.7.6'!#REF!</definedName>
    <definedName name="Analisis" localSheetId="35">'[1]7.7.6'!#REF!</definedName>
    <definedName name="Analisis" localSheetId="68">'[1]7.7.6'!#REF!</definedName>
    <definedName name="Analisis" localSheetId="69">'[1]7.7.6'!#REF!</definedName>
    <definedName name="Analisis" localSheetId="83">'[1]7.7.6'!#REF!</definedName>
    <definedName name="Analisis" localSheetId="103">'[1]7.7.6'!#REF!</definedName>
    <definedName name="Analisis" localSheetId="143">'[1]7.7.6'!#REF!</definedName>
    <definedName name="Analisis" localSheetId="144">'[1]7.7.6'!#REF!</definedName>
    <definedName name="Analisis" localSheetId="145">'[1]7.7.6'!#REF!</definedName>
    <definedName name="Analisis" localSheetId="146">'[1]7.7.6'!#REF!</definedName>
    <definedName name="Analisis" localSheetId="147">'[1]7.7.6'!#REF!</definedName>
    <definedName name="Analisis" localSheetId="148">'[1]7.7.6'!#REF!</definedName>
    <definedName name="Analisis" localSheetId="149">'[1]7.7.6'!#REF!</definedName>
    <definedName name="Analisis" localSheetId="142">'[1]7.7.6'!#REF!</definedName>
    <definedName name="Analisis">'[1]7.7.6'!#REF!</definedName>
    <definedName name="_xlnm.Print_Area" localSheetId="10">' II.4.Empr x No. de empl'!$A$1:$N$62</definedName>
    <definedName name="_xlnm.Print_Area" localSheetId="27">' III.2.5.Cob.Afil.SFSRC Mens'!$A$1:$R$51</definedName>
    <definedName name="_xlnm.Print_Area" localSheetId="32">' III.3.3.Afil.mensual SFS RS '!$A$1:$N$42</definedName>
    <definedName name="_xlnm.Print_Area" localSheetId="39">' III.4.2.Afil. SFSP Anual.'!$A$1:$K$41</definedName>
    <definedName name="_xlnm.Print_Area" localSheetId="40">' III.4.3.Afil. SFSP Mensual'!$A$1:$L$54</definedName>
    <definedName name="_xlnm.Print_Area" localSheetId="41">' III.4.4.Cob.Afil. SFSP Mensual'!$A$1:$M$54</definedName>
    <definedName name="_xlnm.Print_Area" localSheetId="105">' V.2.3.Benef. subsid '!$A$1:$M$37</definedName>
    <definedName name="_xlnm.Print_Area" localSheetId="1">Contenido!$A$1:$A$204</definedName>
    <definedName name="_xlnm.Print_Area" localSheetId="2">'I.1. Ley 87-01 (2)'!$A$1:$M$50</definedName>
    <definedName name="_xlnm.Print_Area" localSheetId="3">'I.2. Org. SDSS'!$A$1:$M$64</definedName>
    <definedName name="_xlnm.Print_Area" localSheetId="4">'I.3. Reg. y Seg.'!$A$1:$R$57</definedName>
    <definedName name="_xlnm.Print_Area" localSheetId="5">'I.4. Seg. y Ben.'!$A$1:$M$45</definedName>
    <definedName name="_xlnm.Print_Area" localSheetId="7">'II.1. SDSS.Definición'!$A$1:$N$46</definedName>
    <definedName name="_xlnm.Print_Area" localSheetId="8">'II.2.Analisis SDSS'!$A$1:$M$38</definedName>
    <definedName name="_xlnm.Print_Area" localSheetId="9">'II.3. Empl x sector '!$A$1:$N$37</definedName>
    <definedName name="_xlnm.Print_Area" localSheetId="11">'II.5 Salario prom.'!$A$1:$N$76</definedName>
    <definedName name="_xlnm.Print_Area" localSheetId="12">'II.6.Empl xsexoy edad'!$A$1:$N$68</definedName>
    <definedName name="_xlnm.Print_Area" localSheetId="6">II.SDSS!$A$1:$M$45</definedName>
    <definedName name="_xlnm.Print_Area" localSheetId="14">'III.1.1a. Def. Afil. SFS1'!$A$1:$M$43</definedName>
    <definedName name="_xlnm.Print_Area" localSheetId="15">'III.1.1b.Def. de Afili. SFS2  '!$A$1:$M$50</definedName>
    <definedName name="_xlnm.Print_Area" localSheetId="16">'III.1.2.Analisis SFS'!$A$1:$M$36</definedName>
    <definedName name="_xlnm.Print_Area" localSheetId="17">III.1.3.Afil.SFSPob.Nac.!$A$1:$P$46</definedName>
    <definedName name="_xlnm.Print_Area" localSheetId="18">'III.1.4.Afil. SFS'!$A$1:$Q$43</definedName>
    <definedName name="_xlnm.Print_Area" localSheetId="19">'III.1.5.Cob.Afil. SFS '!$A$1:$Q$43</definedName>
    <definedName name="_xlnm.Print_Area" localSheetId="20">'III.1.6.Afil. SFS x sexo'!$A$1:$P$42</definedName>
    <definedName name="_xlnm.Print_Area" localSheetId="21">'III.1.7.Proy. afil.Vs pobl.'!$A$1:$P$75</definedName>
    <definedName name="_xlnm.Print_Area" localSheetId="13">III.1.SFS!$A$1:$M$45</definedName>
    <definedName name="_xlnm.Print_Area" localSheetId="22">'III.2. SFS.RC'!$A$1:$K$45</definedName>
    <definedName name="_xlnm.Print_Area" localSheetId="23">'III.2.1.Afil. SFS.RC '!$A$1:$L$52</definedName>
    <definedName name="_xlnm.Print_Area" localSheetId="24">'III.2.2. Afil. SFS RC Anual '!$A$1:$P$42</definedName>
    <definedName name="_xlnm.Print_Area" localSheetId="25">'III.2.3. Afil. SFS RC Mensual'!$A$1:$R$45</definedName>
    <definedName name="_xlnm.Print_Area" localSheetId="26">'III.2.4.Cob.Afil. SFS RC Anual'!$A$1:$R$40</definedName>
    <definedName name="_xlnm.Print_Area" localSheetId="28">'III.2.6.Afil. SFS RC X sex.tipo'!$A$1:$P$61</definedName>
    <definedName name="_xlnm.Print_Area" localSheetId="30">'III.3.1.Analis.Afil. SFS.RS1  '!$A$1:$M$38</definedName>
    <definedName name="_xlnm.Print_Area" localSheetId="31">'III.3.2. Afil anual SFS RS '!$A$1:$N$55</definedName>
    <definedName name="_xlnm.Print_Area" localSheetId="33">'III.3.4.Cob.Afil anual SFS RS'!$A$1:$N$44</definedName>
    <definedName name="_xlnm.Print_Area" localSheetId="34">'III.3.5.Cob.Afil.mens.SFS RS '!$A$1:$N$49</definedName>
    <definedName name="_xlnm.Print_Area" localSheetId="35">'III.3.6.Afil.SFSRSsex tipo '!$A$1:$N$61</definedName>
    <definedName name="_xlnm.Print_Area" localSheetId="36">'III.3.7. Afil. SFS RS Vs pob.'!$A$1:$K$60</definedName>
    <definedName name="_xlnm.Print_Area" localSheetId="29">III.3.SFS.RS!$A$1:$M$39</definedName>
    <definedName name="_xlnm.Print_Area" localSheetId="38">III.4.1.Afil.RET1!$A$1:$L$32</definedName>
    <definedName name="_xlnm.Print_Area" localSheetId="37">III.4.Afil.RET!$A$1:$M$45</definedName>
    <definedName name="_xlnm.Print_Area" localSheetId="43">'III.5.1.Definición Afil. SVDS'!$A$1:$M$46</definedName>
    <definedName name="_xlnm.Print_Area" localSheetId="52">'III.5.10.Cot.Afil X Sexo'!$A$1:$O$59</definedName>
    <definedName name="_xlnm.Print_Area" localSheetId="53">'III.5.11.Traspasos anual'!$A$1:$Q$57</definedName>
    <definedName name="_xlnm.Print_Area" localSheetId="54">'III.5.12.Trasp. recibidos'!$A$1:$Q$53</definedName>
    <definedName name="_xlnm.Print_Area" localSheetId="55">'III.5.13.Trasp. cedidos'!$A$1:$Q$53</definedName>
    <definedName name="_xlnm.Print_Area" localSheetId="56">'III.5.14.Trasp. netos'!$A$1:$S$51</definedName>
    <definedName name="_xlnm.Print_Area" localSheetId="57">'III.5.15.Afil. SVDSxprov.'!$A$1:$K$42</definedName>
    <definedName name="_xlnm.Print_Area" localSheetId="44">'III.5.2.Analisis Afil. SVDS'!$A$1:$M$42</definedName>
    <definedName name="_xlnm.Print_Area" localSheetId="45">'III.5.3.Afil. SVDS'!$A$1:$N$50</definedName>
    <definedName name="_xlnm.Print_Area" localSheetId="46">'III.5.4.Afil. SVDS mensual'!$A$1:$N$56</definedName>
    <definedName name="_xlnm.Print_Area" localSheetId="47">'III.5.5.Afil. cotiz.'!$A$1:$O$55</definedName>
    <definedName name="_xlnm.Print_Area" localSheetId="48">'III.5.6.Cotiz. x rango de edad'!$A$1:$L$39</definedName>
    <definedName name="_xlnm.Print_Area" localSheetId="49">'III.5.7.Cotiz x sal. min. cot.'!$A$1:$L$38</definedName>
    <definedName name="_xlnm.Print_Area" localSheetId="50">'III.5.8.Cotiz.x AFP y fondos'!$A$1:$L$44</definedName>
    <definedName name="_xlnm.Print_Area" localSheetId="51">III.5.9.PEA_Pensiones_Género!$A$1:$N$49</definedName>
    <definedName name="_xlnm.Print_Area" localSheetId="42">III.5.SVDS!$A$1:$P$53</definedName>
    <definedName name="_xlnm.Print_Area" localSheetId="59">'III.6.1.Definición Afil. SRL'!$A$1:$M$49</definedName>
    <definedName name="_xlnm.Print_Area" localSheetId="60">'III.6.2.Afil. SRL.RC1 '!$A$1:$K$30</definedName>
    <definedName name="_xlnm.Print_Area" localSheetId="61">'III.6.3.Afil. SRL'!$A$1:$P$55</definedName>
    <definedName name="_xlnm.Print_Area" localSheetId="62">'III.6.4.Afil. SRL x sexoy edad'!$A$1:$M$90</definedName>
    <definedName name="_xlnm.Print_Area" localSheetId="63">'III.6.5.Afil. ARL x riesgo'!$A$1:$N$55</definedName>
    <definedName name="_xlnm.Print_Area" localSheetId="64">'III.6.6.ID. Accidentabilidad'!$A$1:$J$58</definedName>
    <definedName name="_xlnm.Print_Area" localSheetId="58">III.6.SRL!$A$1:$L$34</definedName>
    <definedName name="_xlnm.Print_Area" localSheetId="65">'IV. ING._ EGR'!$A$1:$L$34</definedName>
    <definedName name="_xlnm.Print_Area" localSheetId="68">'IV.1.2. Analisis Ing.Egr'!$A$1:$L$37</definedName>
    <definedName name="_xlnm.Print_Area" localSheetId="69">'IV.1.3. Ingr y egr SDSS'!$A$1:$N$80</definedName>
    <definedName name="_xlnm.Print_Area" localSheetId="70">'IV.1.4. Recaudo x sector'!$A$1:$J$47</definedName>
    <definedName name="_xlnm.Print_Area" localSheetId="71">'IV.1.5 Rec. x origen'!$A$1:$K$50</definedName>
    <definedName name="_xlnm.Print_Area" localSheetId="72">'IV.1.6 Aport.Gob.SS'!$A$1:$K$50</definedName>
    <definedName name="_xlnm.Print_Area" localSheetId="66">'IV.1a.Definición Ing.Gastos)'!$A$1:$N$53</definedName>
    <definedName name="_xlnm.Print_Area" localSheetId="67">'IV.1b.Definición Ing.Gastos'!$A$1:$N$49</definedName>
    <definedName name="_xlnm.Print_Area" localSheetId="73">'IV.2.1 AnálisisIng.Egr.Seg'!$A$1:$L$46</definedName>
    <definedName name="_xlnm.Print_Area" localSheetId="82">'IV.2.10 Pagos.SFS Pens.'!$A$1:$J$52</definedName>
    <definedName name="_xlnm.Print_Area" localSheetId="83">'IV.2.11.Pagos.SFS Pens.Mens.'!$A$1:$M$57</definedName>
    <definedName name="_xlnm.Print_Area" localSheetId="74">'IV.2.2. Pagos SFS A'!$A$1:$M$57</definedName>
    <definedName name="_xlnm.Print_Area" localSheetId="75">'IV.2.3.Pagos_SFS M'!$A$1:$K$48</definedName>
    <definedName name="_xlnm.Print_Area" localSheetId="76">'IV.2.4.Pagos x ARS'!$A$1:$L$82</definedName>
    <definedName name="_xlnm.Print_Area" localSheetId="77">'IV.2.5.Pagos x ARS'!$A$1:$K$53</definedName>
    <definedName name="_xlnm.Print_Area" localSheetId="78">'IV.2.6.INV_SFS x Entidad'!$A$1:$J$49</definedName>
    <definedName name="_xlnm.Print_Area" localSheetId="79">'IV.2.7.INV_SFS x cuentas'!$A$1:$K$44</definedName>
    <definedName name="_xlnm.Print_Area" localSheetId="80">'IV.2.8.Aport. GOB. y Pagos RS'!$A$1:$L$63</definedName>
    <definedName name="_xlnm.Print_Area" localSheetId="81">'IV.2.9.Saldos RS mensual'!$A$1:$L$51</definedName>
    <definedName name="_xlnm.Print_Area" localSheetId="84">IV.3.1.AnálisisIng.Eg.SVDS!$A$1:$L$51</definedName>
    <definedName name="_xlnm.Print_Area" localSheetId="85">'IV.3.2.Pagos_ SVDS'!$A$1:$L$58</definedName>
    <definedName name="_xlnm.Print_Area" localSheetId="86">'IV.3.3.Pagos anuales x cuentas'!$A$1:$O$39</definedName>
    <definedName name="_xlnm.Print_Area" localSheetId="87">'IV.3.4.Pago Entidades'!$A$1:$K$61</definedName>
    <definedName name="_xlnm.Print_Area" localSheetId="88">'IV.3.5.Patrim. fp anual'!$A$1:$J$42</definedName>
    <definedName name="_xlnm.Print_Area" localSheetId="89">'IV.3.6.Cartera de inv fp'!$A$1:$J$54</definedName>
    <definedName name="_xlnm.Print_Area" localSheetId="90">'IV.3.7. Comp. Cartera'!$A$1:$H$54</definedName>
    <definedName name="_xlnm.Print_Area" localSheetId="91">'IV.3.8. Rent. nom. de los FP'!$A$1:$S$112</definedName>
    <definedName name="_xlnm.Print_Area" localSheetId="92">IV.3.9.Rentab.Real!$A$1:$Q$70</definedName>
    <definedName name="_xlnm.Print_Area" localSheetId="93">'IV.4.1. Analisis '!$A$1:$J$29</definedName>
    <definedName name="_xlnm.Print_Area" localSheetId="94">'IV.4.2.Pagos ARL A'!$A$1:$L$45</definedName>
    <definedName name="_xlnm.Print_Area" localSheetId="95">'IV.4.3.Pagos_ARL M'!$A$1:$L$45</definedName>
    <definedName name="_xlnm.Print_Area" localSheetId="153">'IX.1.a SDSS Definiciones'!$A$1:$P$4</definedName>
    <definedName name="_xlnm.Print_Area" localSheetId="154">'IX.1.b  SDSS Definiciones '!$A$1:$P$4</definedName>
    <definedName name="_xlnm.Print_Area" localSheetId="155">'IX.1.c SDSS Definiciones'!$A$1:$P$5</definedName>
    <definedName name="_xlnm.Print_Area" localSheetId="156">'IX.1.d SDSS Definiciones'!$A$1:$P$4</definedName>
    <definedName name="_xlnm.Print_Area" localSheetId="157">'IX.2a.Logros '!$A$1:$M$45</definedName>
    <definedName name="_xlnm.Print_Area" localSheetId="158">'IX.2b. Logros1'!$A$1:$M$45</definedName>
    <definedName name="_xlnm.Print_Area" localSheetId="0">'Present. '!$A$1:$M$102</definedName>
    <definedName name="_xlnm.Print_Area" localSheetId="99">V.1.2.AnalisEI!$A$1:$K$32</definedName>
    <definedName name="_xlnm.Print_Area" localSheetId="100">V.1.3.Afil.EI!$A$1:$K$57</definedName>
    <definedName name="_xlnm.Print_Area" localSheetId="101">V.1.4.Afil.EI!$A$1:$I$43</definedName>
    <definedName name="_xlnm.Print_Area" localSheetId="97">'V.1a SFS_EI'!$A$1:$N$38</definedName>
    <definedName name="_xlnm.Print_Area" localSheetId="98">'V.1b. Def. EI'!$A$1:$N$38</definedName>
    <definedName name="_xlnm.Print_Area" localSheetId="103">'V.2.1.SUBSIDIO_SFS Def.'!$A$1:$O$43</definedName>
    <definedName name="_xlnm.Print_Area" localSheetId="104">V.2.2.Análisis!$A$1:$L$32</definedName>
    <definedName name="_xlnm.Print_Area" localSheetId="106">'V.2.4. Monto subsid.'!$A$1:$N$34</definedName>
    <definedName name="_xlnm.Print_Area" localSheetId="102">V.2.SUBSIDIO_SFS!$A$1:$P$42</definedName>
    <definedName name="_xlnm.Print_Area" localSheetId="108">'V.3.1. Def-Análisis pens.'!$A$1:$L$31</definedName>
    <definedName name="_xlnm.Print_Area" localSheetId="109">'V.3.2 Pensiones por año'!$A$1:$L$60</definedName>
    <definedName name="_xlnm.Print_Area" localSheetId="110">'V.3.3.Pens.Disc. AFP'!$A$1:$N$55</definedName>
    <definedName name="_xlnm.Print_Area" localSheetId="111">'V.3.4.Pensiones Sob.Disc'!$A$1:$I$34</definedName>
    <definedName name="_xlnm.Print_Area" localSheetId="107">V.3.PENSIONES_SVDS!$A$1:$L$38</definedName>
    <definedName name="_xlnm.Print_Area" localSheetId="113">'V.4.1.Def-Analisis   '!$A$1:$N$48</definedName>
    <definedName name="_xlnm.Print_Area" localSheetId="122">'V.4.10.Accid x sector '!$A$1:$L$46</definedName>
    <definedName name="_xlnm.Print_Area" localSheetId="123">'V.4.11.Accid x sexo'!$A$1:$L$43</definedName>
    <definedName name="_xlnm.Print_Area" localSheetId="124">'V.4.12.Accid x edad'!$A$1:$U$61</definedName>
    <definedName name="_xlnm.Print_Area" localSheetId="125">'V.4.13.EC. Accid. Lab'!$A$1:$J$43</definedName>
    <definedName name="_xlnm.Print_Area" localSheetId="126">'V.4.14.EC. Accid. Lab.'!$A$1:$L$44</definedName>
    <definedName name="_xlnm.Print_Area" localSheetId="127">'V.4.15.EC. Accid. Lab x tipo'!$A$1:$L$46</definedName>
    <definedName name="_xlnm.Print_Area" localSheetId="128">'V.4.16. EC. Accid. Lab x Lesión'!$A$1:$N$44</definedName>
    <definedName name="_xlnm.Print_Area" localSheetId="129">'V.4.17. Accid.Lab suceso'!$A$1:$N$44</definedName>
    <definedName name="_xlnm.Print_Area" localSheetId="130">'V.4.18. EC. x Agente daño'!$A$1:$N$44</definedName>
    <definedName name="_xlnm.Print_Area" localSheetId="131">'V.4.19. EC. x  lugar de accid.'!$A$1:$M$44</definedName>
    <definedName name="_xlnm.Print_Area" localSheetId="114">'V.4.2.NA. Reportes ARL'!$A$1:$J$45</definedName>
    <definedName name="_xlnm.Print_Area" localSheetId="132">'V.4.20.EC. Accid incapac.'!$A$1:$O$54</definedName>
    <definedName name="_xlnm.Print_Area" localSheetId="133">'V.4.21. EC. Enferm. Prof (R)'!$A$1:$L$44</definedName>
    <definedName name="_xlnm.Print_Area" localSheetId="134">'V.4.22.EC. Accid Lab.(R)'!$A$1:$L$44</definedName>
    <definedName name="_xlnm.Print_Area" localSheetId="135">'V.4.23. Accid. Aprobxtipo'!$A$1:$M$44</definedName>
    <definedName name="_xlnm.Print_Area" localSheetId="136">'V.4.24. Accid. Aprob xLesión '!$A$1:$L$44</definedName>
    <definedName name="_xlnm.Print_Area" localSheetId="137">'V.4.25.Accid.Aprob Según suc.'!$A$1:$N$44</definedName>
    <definedName name="_xlnm.Print_Area" localSheetId="115">'V.4.3. NA.Cant. accid x región'!$A$1:$T$59</definedName>
    <definedName name="_xlnm.Print_Area" localSheetId="116">'V.4.4.NA.Cant. accid x Prov'!$A$1:$P$65</definedName>
    <definedName name="_xlnm.Print_Area" localSheetId="117">'V.4.5.NA.Cant. accid x Proced.'!$A$1:$L$46</definedName>
    <definedName name="_xlnm.Print_Area" localSheetId="118">'V.4.6. NA.Cant. accid x sector'!$A$1:$L$46</definedName>
    <definedName name="_xlnm.Print_Area" localSheetId="119">'V.4.7. Accid x sexo'!$A$1:$J$44</definedName>
    <definedName name="_xlnm.Print_Area" localSheetId="120">'V.4.8. Accid x rango de edad'!$A$1:$N$60</definedName>
    <definedName name="_xlnm.Print_Area" localSheetId="121">'V.4.9.Accid x Escolaridad'!$A$1:$M$51</definedName>
    <definedName name="_xlnm.Print_Area" localSheetId="112">V.4.SOLIC_BEN_ARL!$A$1:$M$41</definedName>
    <definedName name="_xlnm.Print_Area" localSheetId="96">V.BENEFICIOS!$A$1:$L$34</definedName>
    <definedName name="_xlnm.Print_Area" localSheetId="138">'VI.1.Analisis CMNR'!$A$1:$L$33</definedName>
    <definedName name="_xlnm.Print_Area" localSheetId="139">VI.2.Status!$A$1:$N$51</definedName>
    <definedName name="_xlnm.Print_Area" localSheetId="140">VI.3.Apelaciones1!$A$1:$M$50</definedName>
    <definedName name="_xlnm.Print_Area" localSheetId="141">'VI.4. Entidad Receptora Origen'!$A$1:$L$37</definedName>
    <definedName name="_xlnm.Print_Area" localSheetId="143">'VII.1. Analisis CBSS'!$A$1:$L$35</definedName>
    <definedName name="_xlnm.Print_Area" localSheetId="144">'VII.2.CBSS Tram.'!$A$1:$N$59</definedName>
    <definedName name="_xlnm.Print_Area" localSheetId="145">'VII.3.CBSS-Benef'!$A$1:$M$57</definedName>
    <definedName name="_xlnm.Print_Area" localSheetId="146">'VII.4.CBSS-Tramit.'!$A$1:$N$45</definedName>
    <definedName name="_xlnm.Print_Area" localSheetId="147">'VII.5.CBSS-Rel.Concl. '!$A$1:$O$47</definedName>
    <definedName name="_xlnm.Print_Area" localSheetId="148">'VII.6.CBSS-Cert.'!$A$1:$N$52</definedName>
    <definedName name="_xlnm.Print_Area" localSheetId="149">VII.7.CBSS.Sex!$A$1:$N$47</definedName>
    <definedName name="_xlnm.Print_Area" localSheetId="142">VII.CBSS!$A$1:$H$26</definedName>
    <definedName name="_xlnm.Print_Area" localSheetId="151">'VIII.1 Ocup. formal'!$A$1:$P$46</definedName>
    <definedName name="_xlnm.Print_Area" localSheetId="152">'VIII.2 Pob. econ.'!$A$1:$L$52</definedName>
    <definedName name="_xlnm.Print_Area" localSheetId="150">VIII.ENFT_BC!$A$1:$H$26</definedName>
    <definedName name="Área_de_impresión1">'[1]7.7.6'!$A$1:$AQ$58</definedName>
    <definedName name="Área_de_impresión2" localSheetId="27">'[1]7.7.6'!#REF!</definedName>
    <definedName name="Área_de_impresión2" localSheetId="32">'[1]7.7.6'!#REF!</definedName>
    <definedName name="Área_de_impresión2" localSheetId="41">'[1]7.7.6'!#REF!</definedName>
    <definedName name="Área_de_impresión2" localSheetId="2">'[1]7.7.6'!#REF!</definedName>
    <definedName name="Área_de_impresión2" localSheetId="8">'[1]7.7.6'!#REF!</definedName>
    <definedName name="Área_de_impresión2" localSheetId="12">'[1]7.7.6'!#REF!</definedName>
    <definedName name="Área_de_impresión2" localSheetId="16">'[1]7.7.6'!#REF!</definedName>
    <definedName name="Área_de_impresión2" localSheetId="20">'[1]7.7.6'!#REF!</definedName>
    <definedName name="Área_de_impresión2" localSheetId="25">'[1]7.7.6'!#REF!</definedName>
    <definedName name="Área_de_impresión2" localSheetId="26">'[1]7.7.6'!#REF!</definedName>
    <definedName name="Área_de_impresión2" localSheetId="28">'[1]7.7.6'!#REF!</definedName>
    <definedName name="Área_de_impresión2" localSheetId="33">'[1]7.7.6'!#REF!</definedName>
    <definedName name="Área_de_impresión2" localSheetId="34">'[1]7.7.6'!#REF!</definedName>
    <definedName name="Área_de_impresión2" localSheetId="35">'[1]7.7.6'!#REF!</definedName>
    <definedName name="Área_de_impresión2" localSheetId="43">'[1]7.7.6'!#REF!</definedName>
    <definedName name="Área_de_impresión2" localSheetId="44">'[1]7.7.6'!#REF!</definedName>
    <definedName name="Área_de_impresión2" localSheetId="59">'[1]7.7.6'!#REF!</definedName>
    <definedName name="Área_de_impresión2" localSheetId="60">'[1]7.7.6'!#REF!</definedName>
    <definedName name="Área_de_impresión2" localSheetId="65">'[1]7.7.6'!#REF!</definedName>
    <definedName name="Área_de_impresión2" localSheetId="68">'[1]7.7.6'!#REF!</definedName>
    <definedName name="Área_de_impresión2" localSheetId="69">'[1]7.7.6'!#REF!</definedName>
    <definedName name="Área_de_impresión2" localSheetId="72">'[1]7.7.6'!#REF!</definedName>
    <definedName name="Área_de_impresión2" localSheetId="66">'[1]7.7.6'!#REF!</definedName>
    <definedName name="Área_de_impresión2" localSheetId="67">'[1]7.7.6'!#REF!</definedName>
    <definedName name="Área_de_impresión2" localSheetId="83">'[1]7.7.6'!#REF!</definedName>
    <definedName name="Área_de_impresión2" localSheetId="87">'[1]7.7.6'!#REF!</definedName>
    <definedName name="Área_de_impresión2" localSheetId="100">'[1]7.7.6'!#REF!</definedName>
    <definedName name="Área_de_impresión2" localSheetId="101">'[1]7.7.6'!#REF!</definedName>
    <definedName name="Área_de_impresión2" localSheetId="103">'[1]7.7.6'!#REF!</definedName>
    <definedName name="Área_de_impresión2" localSheetId="102">'[1]7.7.6'!#REF!</definedName>
    <definedName name="Área_de_impresión2" localSheetId="107">'[1]7.7.6'!#REF!</definedName>
    <definedName name="Área_de_impresión2" localSheetId="112">'[1]7.7.6'!#REF!</definedName>
    <definedName name="Área_de_impresión2" localSheetId="96">'[1]7.7.6'!#REF!</definedName>
    <definedName name="Área_de_impresión2" localSheetId="143">'[1]7.7.6'!#REF!</definedName>
    <definedName name="Área_de_impresión2" localSheetId="144">'[1]7.7.6'!#REF!</definedName>
    <definedName name="Área_de_impresión2" localSheetId="145">'[1]7.7.6'!#REF!</definedName>
    <definedName name="Área_de_impresión2" localSheetId="146">'[1]7.7.6'!#REF!</definedName>
    <definedName name="Área_de_impresión2" localSheetId="147">'[1]7.7.6'!#REF!</definedName>
    <definedName name="Área_de_impresión2" localSheetId="148">'[1]7.7.6'!#REF!</definedName>
    <definedName name="Área_de_impresión2" localSheetId="149">'[1]7.7.6'!#REF!</definedName>
    <definedName name="Área_de_impresión2" localSheetId="142">'[1]7.7.6'!#REF!</definedName>
    <definedName name="Área_de_impresión2" localSheetId="152">'[1]7.7.6'!#REF!</definedName>
    <definedName name="Área_de_impresión2" localSheetId="150">'[1]7.7.6'!#REF!</definedName>
    <definedName name="Área_de_impresión2">'[1]7.7.6'!#REF!</definedName>
    <definedName name="BEN" localSheetId="2">'[1]7.7.6'!#REF!</definedName>
    <definedName name="BEN" localSheetId="8">'[1]7.7.6'!#REF!</definedName>
    <definedName name="BEN" localSheetId="12">'[1]7.7.6'!#REF!</definedName>
    <definedName name="BEN" localSheetId="16">'[1]7.7.6'!#REF!</definedName>
    <definedName name="BEN" localSheetId="20">'[1]7.7.6'!#REF!</definedName>
    <definedName name="BEN" localSheetId="28">'[1]7.7.6'!#REF!</definedName>
    <definedName name="BEN" localSheetId="35">'[1]7.7.6'!#REF!</definedName>
    <definedName name="BEN" localSheetId="44">'[1]7.7.6'!#REF!</definedName>
    <definedName name="BEN" localSheetId="68">'[1]7.7.6'!#REF!</definedName>
    <definedName name="BEN" localSheetId="69">'[1]7.7.6'!#REF!</definedName>
    <definedName name="BEN" localSheetId="67">'[1]7.7.6'!#REF!</definedName>
    <definedName name="BEN" localSheetId="83">'[1]7.7.6'!#REF!</definedName>
    <definedName name="BEN" localSheetId="103">'[1]7.7.6'!#REF!</definedName>
    <definedName name="BEN" localSheetId="143">'[1]7.7.6'!#REF!</definedName>
    <definedName name="BEN" localSheetId="144">'[1]7.7.6'!#REF!</definedName>
    <definedName name="BEN" localSheetId="145">'[1]7.7.6'!#REF!</definedName>
    <definedName name="BEN" localSheetId="146">'[1]7.7.6'!#REF!</definedName>
    <definedName name="BEN" localSheetId="147">'[1]7.7.6'!#REF!</definedName>
    <definedName name="BEN" localSheetId="148">'[1]7.7.6'!#REF!</definedName>
    <definedName name="BEN" localSheetId="149">'[1]7.7.6'!#REF!</definedName>
    <definedName name="BEN" localSheetId="142">'[1]7.7.6'!#REF!</definedName>
    <definedName name="BEN" localSheetId="150">'[1]7.7.6'!#REF!</definedName>
    <definedName name="BEN">'[1]7.7.6'!#REF!</definedName>
    <definedName name="Beneficios" localSheetId="2">'[1]7.7.6'!#REF!</definedName>
    <definedName name="Beneficios" localSheetId="8">'[1]7.7.6'!#REF!</definedName>
    <definedName name="Beneficios" localSheetId="12">'[1]7.7.6'!#REF!</definedName>
    <definedName name="Beneficios" localSheetId="16">'[1]7.7.6'!#REF!</definedName>
    <definedName name="Beneficios" localSheetId="20">'[1]7.7.6'!#REF!</definedName>
    <definedName name="Beneficios" localSheetId="28">'[1]7.7.6'!#REF!</definedName>
    <definedName name="Beneficios" localSheetId="35">'[1]7.7.6'!#REF!</definedName>
    <definedName name="Beneficios" localSheetId="44">'[1]7.7.6'!#REF!</definedName>
    <definedName name="Beneficios" localSheetId="68">'[1]7.7.6'!#REF!</definedName>
    <definedName name="Beneficios" localSheetId="69">'[1]7.7.6'!#REF!</definedName>
    <definedName name="Beneficios" localSheetId="66">'[1]7.7.6'!#REF!</definedName>
    <definedName name="Beneficios" localSheetId="67">'[1]7.7.6'!#REF!</definedName>
    <definedName name="Beneficios" localSheetId="83">'[1]7.7.6'!#REF!</definedName>
    <definedName name="Beneficios" localSheetId="103">'[1]7.7.6'!#REF!</definedName>
    <definedName name="Beneficios" localSheetId="102">'[1]7.7.6'!#REF!</definedName>
    <definedName name="Beneficios" localSheetId="107">'[1]7.7.6'!#REF!</definedName>
    <definedName name="Beneficios" localSheetId="112">'[1]7.7.6'!#REF!</definedName>
    <definedName name="Beneficios" localSheetId="143">'[1]7.7.6'!#REF!</definedName>
    <definedName name="Beneficios" localSheetId="144">'[1]7.7.6'!#REF!</definedName>
    <definedName name="Beneficios" localSheetId="145">'[1]7.7.6'!#REF!</definedName>
    <definedName name="Beneficios" localSheetId="146">'[1]7.7.6'!#REF!</definedName>
    <definedName name="Beneficios" localSheetId="147">'[1]7.7.6'!#REF!</definedName>
    <definedName name="Beneficios" localSheetId="148">'[1]7.7.6'!#REF!</definedName>
    <definedName name="Beneficios" localSheetId="149">'[1]7.7.6'!#REF!</definedName>
    <definedName name="Beneficios" localSheetId="142">'[1]7.7.6'!#REF!</definedName>
    <definedName name="Beneficios" localSheetId="150">'[1]7.7.6'!#REF!</definedName>
    <definedName name="Beneficios">'[1]7.7.6'!#REF!</definedName>
    <definedName name="CCI">'[1]7.7.6'!$A$1:$R$57</definedName>
    <definedName name="CompCartraEntid" localSheetId="57">'[1]7.7.6'!#REF!</definedName>
    <definedName name="CompCartraEntid" localSheetId="69">'[1]7.7.6'!#REF!</definedName>
    <definedName name="CompCartraEntid" localSheetId="83">'[1]7.7.6'!#REF!</definedName>
    <definedName name="CompCartraEntid" localSheetId="116">'[1]7.7.6'!#REF!</definedName>
    <definedName name="CompCartraEntid" localSheetId="143">'[1]7.7.6'!#REF!</definedName>
    <definedName name="CompCartraEntid" localSheetId="144">'[1]7.7.6'!#REF!</definedName>
    <definedName name="CompCartraEntid" localSheetId="145">'[1]7.7.6'!#REF!</definedName>
    <definedName name="CompCartraEntid" localSheetId="146">'[1]7.7.6'!#REF!</definedName>
    <definedName name="CompCartraEntid" localSheetId="147">'[1]7.7.6'!#REF!</definedName>
    <definedName name="CompCartraEntid" localSheetId="148">'[1]7.7.6'!#REF!</definedName>
    <definedName name="CompCartraEntid" localSheetId="149">'[1]7.7.6'!#REF!</definedName>
    <definedName name="CompCartraEntid" localSheetId="142">'[1]7.7.6'!#REF!</definedName>
    <definedName name="CompCartraEntid">'[1]7.7.6'!#REF!</definedName>
    <definedName name="Compl">'[1]7.7.6'!$AA$1:$AJ$57</definedName>
    <definedName name="cualquiercosa" localSheetId="57">'[1]7.7.6'!#REF!</definedName>
    <definedName name="cualquiercosa" localSheetId="69">'[1]7.7.6'!#REF!</definedName>
    <definedName name="cualquiercosa" localSheetId="83">'[1]7.7.6'!#REF!</definedName>
    <definedName name="cualquiercosa" localSheetId="116">'[1]7.7.6'!#REF!</definedName>
    <definedName name="cualquiercosa" localSheetId="143">'[1]7.7.6'!#REF!</definedName>
    <definedName name="cualquiercosa" localSheetId="144">'[1]7.7.6'!#REF!</definedName>
    <definedName name="cualquiercosa" localSheetId="145">'[1]7.7.6'!#REF!</definedName>
    <definedName name="cualquiercosa" localSheetId="146">'[1]7.7.6'!#REF!</definedName>
    <definedName name="cualquiercosa" localSheetId="147">'[1]7.7.6'!#REF!</definedName>
    <definedName name="cualquiercosa" localSheetId="148">'[1]7.7.6'!#REF!</definedName>
    <definedName name="cualquiercosa" localSheetId="149">'[1]7.7.6'!#REF!</definedName>
    <definedName name="cualquiercosa" localSheetId="142">'[1]7.7.6'!#REF!</definedName>
    <definedName name="cualquiercosa">'[1]7.7.6'!#REF!</definedName>
    <definedName name="cualquiercosa3" localSheetId="57">'[1]7.7.6'!#REF!</definedName>
    <definedName name="cualquiercosa3" localSheetId="69">'[1]7.7.6'!#REF!</definedName>
    <definedName name="cualquiercosa3" localSheetId="83">'[1]7.7.6'!#REF!</definedName>
    <definedName name="cualquiercosa3" localSheetId="143">'[1]7.7.6'!#REF!</definedName>
    <definedName name="cualquiercosa3" localSheetId="144">'[1]7.7.6'!#REF!</definedName>
    <definedName name="cualquiercosa3" localSheetId="145">'[1]7.7.6'!#REF!</definedName>
    <definedName name="cualquiercosa3" localSheetId="146">'[1]7.7.6'!#REF!</definedName>
    <definedName name="cualquiercosa3" localSheetId="147">'[1]7.7.6'!#REF!</definedName>
    <definedName name="cualquiercosa3" localSheetId="148">'[1]7.7.6'!#REF!</definedName>
    <definedName name="cualquiercosa3" localSheetId="149">'[1]7.7.6'!#REF!</definedName>
    <definedName name="cualquiercosa3" localSheetId="142">'[1]7.7.6'!#REF!</definedName>
    <definedName name="cualquiercosa3">'[1]7.7.6'!#REF!</definedName>
    <definedName name="cualquiercosa5" localSheetId="57">'[1]7.7.6'!#REF!</definedName>
    <definedName name="cualquiercosa5" localSheetId="69">'[1]7.7.6'!#REF!</definedName>
    <definedName name="cualquiercosa5" localSheetId="83">'[1]7.7.6'!#REF!</definedName>
    <definedName name="cualquiercosa5" localSheetId="143">'[1]7.7.6'!#REF!</definedName>
    <definedName name="cualquiercosa5" localSheetId="144">'[1]7.7.6'!#REF!</definedName>
    <definedName name="cualquiercosa5" localSheetId="145">'[1]7.7.6'!#REF!</definedName>
    <definedName name="cualquiercosa5" localSheetId="146">'[1]7.7.6'!#REF!</definedName>
    <definedName name="cualquiercosa5" localSheetId="147">'[1]7.7.6'!#REF!</definedName>
    <definedName name="cualquiercosa5" localSheetId="148">'[1]7.7.6'!#REF!</definedName>
    <definedName name="cualquiercosa5" localSheetId="149">'[1]7.7.6'!#REF!</definedName>
    <definedName name="cualquiercosa5" localSheetId="142">'[1]7.7.6'!#REF!</definedName>
    <definedName name="cualquiercosa5">'[1]7.7.6'!#REF!</definedName>
    <definedName name="cualquiercosa6" localSheetId="57">'[1]7.7.6'!#REF!</definedName>
    <definedName name="cualquiercosa6" localSheetId="69">'[1]7.7.6'!#REF!</definedName>
    <definedName name="cualquiercosa6" localSheetId="83">'[1]7.7.6'!#REF!</definedName>
    <definedName name="cualquiercosa6" localSheetId="143">'[1]7.7.6'!#REF!</definedName>
    <definedName name="cualquiercosa6" localSheetId="144">'[1]7.7.6'!#REF!</definedName>
    <definedName name="cualquiercosa6" localSheetId="145">'[1]7.7.6'!#REF!</definedName>
    <definedName name="cualquiercosa6" localSheetId="146">'[1]7.7.6'!#REF!</definedName>
    <definedName name="cualquiercosa6" localSheetId="147">'[1]7.7.6'!#REF!</definedName>
    <definedName name="cualquiercosa6" localSheetId="148">'[1]7.7.6'!#REF!</definedName>
    <definedName name="cualquiercosa6" localSheetId="149">'[1]7.7.6'!#REF!</definedName>
    <definedName name="cualquiercosa6" localSheetId="142">'[1]7.7.6'!#REF!</definedName>
    <definedName name="cualquiercosa6">'[1]7.7.6'!#REF!</definedName>
    <definedName name="Egresos" localSheetId="32">'[1]7.7.6'!#REF!</definedName>
    <definedName name="Egresos" localSheetId="2">'[1]7.7.6'!#REF!</definedName>
    <definedName name="Egresos" localSheetId="8">'[1]7.7.6'!#REF!</definedName>
    <definedName name="Egresos" localSheetId="12">'[1]7.7.6'!#REF!</definedName>
    <definedName name="Egresos" localSheetId="16">'[1]7.7.6'!#REF!</definedName>
    <definedName name="Egresos" localSheetId="20">'[1]7.7.6'!#REF!</definedName>
    <definedName name="Egresos" localSheetId="25">'[1]7.7.6'!#REF!</definedName>
    <definedName name="Egresos" localSheetId="28">'[1]7.7.6'!#REF!</definedName>
    <definedName name="Egresos" localSheetId="33">'[1]7.7.6'!#REF!</definedName>
    <definedName name="Egresos" localSheetId="35">'[1]7.7.6'!#REF!</definedName>
    <definedName name="Egresos" localSheetId="44">'[1]7.7.6'!#REF!</definedName>
    <definedName name="Egresos" localSheetId="68">'[1]7.7.6'!#REF!</definedName>
    <definedName name="Egresos" localSheetId="69">'[1]7.7.6'!#REF!</definedName>
    <definedName name="Egresos" localSheetId="83">'[1]7.7.6'!#REF!</definedName>
    <definedName name="Egresos" localSheetId="103">'[1]7.7.6'!#REF!</definedName>
    <definedName name="Egresos" localSheetId="143">'[1]7.7.6'!#REF!</definedName>
    <definedName name="Egresos" localSheetId="144">'[1]7.7.6'!#REF!</definedName>
    <definedName name="Egresos" localSheetId="145">'[1]7.7.6'!#REF!</definedName>
    <definedName name="Egresos" localSheetId="146">'[1]7.7.6'!#REF!</definedName>
    <definedName name="Egresos" localSheetId="147">'[1]7.7.6'!#REF!</definedName>
    <definedName name="Egresos" localSheetId="148">'[1]7.7.6'!#REF!</definedName>
    <definedName name="Egresos" localSheetId="149">'[1]7.7.6'!#REF!</definedName>
    <definedName name="Egresos" localSheetId="142">'[1]7.7.6'!#REF!</definedName>
    <definedName name="Egresos">'[1]7.7.6'!#REF!</definedName>
    <definedName name="Exceso1" localSheetId="27">'[1]7.7.6'!#REF!</definedName>
    <definedName name="Exceso1" localSheetId="32">'[1]7.7.6'!#REF!</definedName>
    <definedName name="Exceso1" localSheetId="41">'[1]7.7.6'!#REF!</definedName>
    <definedName name="Exceso1" localSheetId="2">'[1]7.7.6'!#REF!</definedName>
    <definedName name="Exceso1" localSheetId="8">'[1]7.7.6'!#REF!</definedName>
    <definedName name="Exceso1" localSheetId="12">'[1]7.7.6'!#REF!</definedName>
    <definedName name="Exceso1" localSheetId="16">'[1]7.7.6'!#REF!</definedName>
    <definedName name="Exceso1" localSheetId="20">'[1]7.7.6'!#REF!</definedName>
    <definedName name="Exceso1" localSheetId="25">'[1]7.7.6'!#REF!</definedName>
    <definedName name="Exceso1" localSheetId="26">'[1]7.7.6'!#REF!</definedName>
    <definedName name="Exceso1" localSheetId="28">'[1]7.7.6'!#REF!</definedName>
    <definedName name="Exceso1" localSheetId="33">'[1]7.7.6'!#REF!</definedName>
    <definedName name="Exceso1" localSheetId="34">'[1]7.7.6'!#REF!</definedName>
    <definedName name="Exceso1" localSheetId="35">'[1]7.7.6'!#REF!</definedName>
    <definedName name="Exceso1" localSheetId="43">'[1]7.7.6'!#REF!</definedName>
    <definedName name="Exceso1" localSheetId="44">'[1]7.7.6'!#REF!</definedName>
    <definedName name="Exceso1" localSheetId="59">'[1]7.7.6'!#REF!</definedName>
    <definedName name="Exceso1" localSheetId="60">'[1]7.7.6'!#REF!</definedName>
    <definedName name="Exceso1" localSheetId="65">'[1]7.7.6'!#REF!</definedName>
    <definedName name="Exceso1" localSheetId="68">'[1]7.7.6'!#REF!</definedName>
    <definedName name="Exceso1" localSheetId="69">'[1]7.7.6'!#REF!</definedName>
    <definedName name="Exceso1" localSheetId="72">'[1]7.7.6'!#REF!</definedName>
    <definedName name="Exceso1" localSheetId="66">'[1]7.7.6'!#REF!</definedName>
    <definedName name="Exceso1" localSheetId="67">'[1]7.7.6'!#REF!</definedName>
    <definedName name="Exceso1" localSheetId="83">'[1]7.7.6'!#REF!</definedName>
    <definedName name="Exceso1" localSheetId="87">'[1]7.7.6'!#REF!</definedName>
    <definedName name="Exceso1" localSheetId="100">'[1]7.7.6'!#REF!</definedName>
    <definedName name="Exceso1" localSheetId="101">'[1]7.7.6'!#REF!</definedName>
    <definedName name="Exceso1" localSheetId="103">'[1]7.7.6'!#REF!</definedName>
    <definedName name="Exceso1" localSheetId="102">'[1]7.7.6'!#REF!</definedName>
    <definedName name="Exceso1" localSheetId="107">'[1]7.7.6'!#REF!</definedName>
    <definedName name="Exceso1" localSheetId="112">'[1]7.7.6'!#REF!</definedName>
    <definedName name="Exceso1" localSheetId="96">'[1]7.7.6'!#REF!</definedName>
    <definedName name="Exceso1" localSheetId="143">'[1]7.7.6'!#REF!</definedName>
    <definedName name="Exceso1" localSheetId="144">'[1]7.7.6'!#REF!</definedName>
    <definedName name="Exceso1" localSheetId="145">'[1]7.7.6'!#REF!</definedName>
    <definedName name="Exceso1" localSheetId="146">'[1]7.7.6'!#REF!</definedName>
    <definedName name="Exceso1" localSheetId="147">'[1]7.7.6'!#REF!</definedName>
    <definedName name="Exceso1" localSheetId="148">'[1]7.7.6'!#REF!</definedName>
    <definedName name="Exceso1" localSheetId="149">'[1]7.7.6'!#REF!</definedName>
    <definedName name="Exceso1" localSheetId="142">'[1]7.7.6'!#REF!</definedName>
    <definedName name="Exceso1" localSheetId="152">'[1]7.7.6'!#REF!</definedName>
    <definedName name="Exceso1" localSheetId="150">'[1]7.7.6'!#REF!</definedName>
    <definedName name="Exceso1">'[1]7.7.6'!#REF!</definedName>
    <definedName name="Exceso2" localSheetId="27">'[1]7.7.6'!#REF!</definedName>
    <definedName name="Exceso2" localSheetId="32">'[1]7.7.6'!#REF!</definedName>
    <definedName name="Exceso2" localSheetId="41">'[1]7.7.6'!#REF!</definedName>
    <definedName name="Exceso2" localSheetId="2">'[1]7.7.6'!#REF!</definedName>
    <definedName name="Exceso2" localSheetId="8">'[1]7.7.6'!#REF!</definedName>
    <definedName name="Exceso2" localSheetId="12">'[1]7.7.6'!#REF!</definedName>
    <definedName name="Exceso2" localSheetId="16">'[1]7.7.6'!#REF!</definedName>
    <definedName name="Exceso2" localSheetId="20">'[1]7.7.6'!#REF!</definedName>
    <definedName name="Exceso2" localSheetId="25">'[1]7.7.6'!#REF!</definedName>
    <definedName name="Exceso2" localSheetId="26">'[1]7.7.6'!#REF!</definedName>
    <definedName name="Exceso2" localSheetId="28">'[1]7.7.6'!#REF!</definedName>
    <definedName name="Exceso2" localSheetId="33">'[1]7.7.6'!#REF!</definedName>
    <definedName name="Exceso2" localSheetId="34">'[1]7.7.6'!#REF!</definedName>
    <definedName name="Exceso2" localSheetId="35">'[1]7.7.6'!#REF!</definedName>
    <definedName name="Exceso2" localSheetId="43">'[1]7.7.6'!#REF!</definedName>
    <definedName name="Exceso2" localSheetId="44">'[1]7.7.6'!#REF!</definedName>
    <definedName name="Exceso2" localSheetId="59">'[1]7.7.6'!#REF!</definedName>
    <definedName name="Exceso2" localSheetId="60">'[1]7.7.6'!#REF!</definedName>
    <definedName name="Exceso2" localSheetId="65">'[1]7.7.6'!#REF!</definedName>
    <definedName name="Exceso2" localSheetId="68">'[1]7.7.6'!#REF!</definedName>
    <definedName name="Exceso2" localSheetId="69">'[1]7.7.6'!#REF!</definedName>
    <definedName name="Exceso2" localSheetId="72">'[1]7.7.6'!#REF!</definedName>
    <definedName name="Exceso2" localSheetId="66">'[1]7.7.6'!#REF!</definedName>
    <definedName name="Exceso2" localSheetId="67">'[1]7.7.6'!#REF!</definedName>
    <definedName name="Exceso2" localSheetId="83">'[1]7.7.6'!#REF!</definedName>
    <definedName name="Exceso2" localSheetId="87">'[1]7.7.6'!#REF!</definedName>
    <definedName name="Exceso2" localSheetId="101">'[1]7.7.6'!#REF!</definedName>
    <definedName name="Exceso2" localSheetId="103">'[1]7.7.6'!#REF!</definedName>
    <definedName name="Exceso2" localSheetId="102">'[1]7.7.6'!#REF!</definedName>
    <definedName name="Exceso2" localSheetId="107">'[1]7.7.6'!#REF!</definedName>
    <definedName name="Exceso2" localSheetId="112">'[1]7.7.6'!#REF!</definedName>
    <definedName name="Exceso2" localSheetId="96">'[1]7.7.6'!#REF!</definedName>
    <definedName name="Exceso2" localSheetId="143">'[1]7.7.6'!#REF!</definedName>
    <definedName name="Exceso2" localSheetId="144">'[1]7.7.6'!#REF!</definedName>
    <definedName name="Exceso2" localSheetId="145">'[1]7.7.6'!#REF!</definedName>
    <definedName name="Exceso2" localSheetId="146">'[1]7.7.6'!#REF!</definedName>
    <definedName name="Exceso2" localSheetId="147">'[1]7.7.6'!#REF!</definedName>
    <definedName name="Exceso2" localSheetId="148">'[1]7.7.6'!#REF!</definedName>
    <definedName name="Exceso2" localSheetId="149">'[1]7.7.6'!#REF!</definedName>
    <definedName name="Exceso2" localSheetId="142">'[1]7.7.6'!#REF!</definedName>
    <definedName name="Exceso2" localSheetId="152">'[1]7.7.6'!#REF!</definedName>
    <definedName name="Exceso2" localSheetId="150">'[1]7.7.6'!#REF!</definedName>
    <definedName name="Exceso2">'[1]7.7.6'!#REF!</definedName>
    <definedName name="h">'[1]7.7.6'!$A$1:$AQ$58</definedName>
    <definedName name="Mapa2" localSheetId="1">'[1]7.7.6'!#REF!</definedName>
    <definedName name="Mapa2" localSheetId="69">'[1]7.7.6'!#REF!</definedName>
    <definedName name="Mapa2" localSheetId="143">'[1]7.7.6'!#REF!</definedName>
    <definedName name="Mapa2" localSheetId="144">'[1]7.7.6'!#REF!</definedName>
    <definedName name="Mapa2" localSheetId="145">'[1]7.7.6'!#REF!</definedName>
    <definedName name="Mapa2" localSheetId="146">'[1]7.7.6'!#REF!</definedName>
    <definedName name="Mapa2" localSheetId="147">'[1]7.7.6'!#REF!</definedName>
    <definedName name="Mapa2" localSheetId="148">'[1]7.7.6'!#REF!</definedName>
    <definedName name="Mapa2" localSheetId="149">'[1]7.7.6'!#REF!</definedName>
    <definedName name="Mapa2" localSheetId="142">'[1]7.7.6'!#REF!</definedName>
    <definedName name="Mapa2">'[1]7.7.6'!#REF!</definedName>
    <definedName name="ocho" localSheetId="32">'[1]7.7.6'!#REF!</definedName>
    <definedName name="ocho" localSheetId="2">'[1]7.7.6'!#REF!</definedName>
    <definedName name="ocho" localSheetId="8">'[1]7.7.6'!#REF!</definedName>
    <definedName name="ocho" localSheetId="12">'[1]7.7.6'!#REF!</definedName>
    <definedName name="ocho" localSheetId="16">'[1]7.7.6'!#REF!</definedName>
    <definedName name="ocho" localSheetId="20">'[1]7.7.6'!#REF!</definedName>
    <definedName name="ocho" localSheetId="25">'[1]7.7.6'!#REF!</definedName>
    <definedName name="ocho" localSheetId="28">'[1]7.7.6'!#REF!</definedName>
    <definedName name="ocho" localSheetId="33">'[1]7.7.6'!#REF!</definedName>
    <definedName name="ocho" localSheetId="35">'[1]7.7.6'!#REF!</definedName>
    <definedName name="ocho" localSheetId="44">'[1]7.7.6'!#REF!</definedName>
    <definedName name="ocho" localSheetId="68">'[1]7.7.6'!#REF!</definedName>
    <definedName name="ocho" localSheetId="69">'[1]7.7.6'!#REF!</definedName>
    <definedName name="ocho" localSheetId="67">'[1]7.7.6'!#REF!</definedName>
    <definedName name="ocho" localSheetId="83">'[1]7.7.6'!#REF!</definedName>
    <definedName name="ocho" localSheetId="103">'[1]7.7.6'!#REF!</definedName>
    <definedName name="ocho" localSheetId="143">'[1]7.7.6'!#REF!</definedName>
    <definedName name="ocho" localSheetId="144">'[1]7.7.6'!#REF!</definedName>
    <definedName name="ocho" localSheetId="145">'[1]7.7.6'!#REF!</definedName>
    <definedName name="ocho" localSheetId="146">'[1]7.7.6'!#REF!</definedName>
    <definedName name="ocho" localSheetId="147">'[1]7.7.6'!#REF!</definedName>
    <definedName name="ocho" localSheetId="148">'[1]7.7.6'!#REF!</definedName>
    <definedName name="ocho" localSheetId="149">'[1]7.7.6'!#REF!</definedName>
    <definedName name="ocho" localSheetId="142">'[1]7.7.6'!#REF!</definedName>
    <definedName name="ocho" localSheetId="150">'[1]7.7.6'!#REF!</definedName>
    <definedName name="ocho">'[1]7.7.6'!#REF!</definedName>
    <definedName name="Print1">'[1]7.7.6'!$A$1:$AQ$58</definedName>
    <definedName name="Print2" localSheetId="27">'[1]7.7.6'!#REF!</definedName>
    <definedName name="Print2" localSheetId="32">'[1]7.7.6'!#REF!</definedName>
    <definedName name="Print2" localSheetId="41">'[1]7.7.6'!#REF!</definedName>
    <definedName name="Print2" localSheetId="2">'[1]7.7.6'!#REF!</definedName>
    <definedName name="Print2" localSheetId="8">'[1]7.7.6'!#REF!</definedName>
    <definedName name="Print2" localSheetId="12">'[1]7.7.6'!#REF!</definedName>
    <definedName name="Print2" localSheetId="16">'[1]7.7.6'!#REF!</definedName>
    <definedName name="Print2" localSheetId="20">'[1]7.7.6'!#REF!</definedName>
    <definedName name="Print2" localSheetId="25">'[1]7.7.6'!#REF!</definedName>
    <definedName name="Print2" localSheetId="26">'[1]7.7.6'!#REF!</definedName>
    <definedName name="Print2" localSheetId="28">'[1]7.7.6'!#REF!</definedName>
    <definedName name="Print2" localSheetId="33">'[1]7.7.6'!#REF!</definedName>
    <definedName name="Print2" localSheetId="34">'[1]7.7.6'!#REF!</definedName>
    <definedName name="Print2" localSheetId="35">'[1]7.7.6'!#REF!</definedName>
    <definedName name="Print2" localSheetId="43">'[1]7.7.6'!#REF!</definedName>
    <definedName name="Print2" localSheetId="44">'[1]7.7.6'!#REF!</definedName>
    <definedName name="Print2" localSheetId="59">'[1]7.7.6'!#REF!</definedName>
    <definedName name="Print2" localSheetId="60">'[1]7.7.6'!#REF!</definedName>
    <definedName name="Print2" localSheetId="65">'[1]7.7.6'!#REF!</definedName>
    <definedName name="Print2" localSheetId="68">'[1]7.7.6'!#REF!</definedName>
    <definedName name="Print2" localSheetId="69">'[1]7.7.6'!#REF!</definedName>
    <definedName name="Print2" localSheetId="72">'[1]7.7.6'!#REF!</definedName>
    <definedName name="Print2" localSheetId="66">'[1]7.7.6'!#REF!</definedName>
    <definedName name="Print2" localSheetId="67">'[1]7.7.6'!#REF!</definedName>
    <definedName name="Print2" localSheetId="83">'[1]7.7.6'!#REF!</definedName>
    <definedName name="Print2" localSheetId="87">'[1]7.7.6'!#REF!</definedName>
    <definedName name="Print2" localSheetId="100">'[1]7.7.6'!#REF!</definedName>
    <definedName name="Print2" localSheetId="101">'[1]7.7.6'!#REF!</definedName>
    <definedName name="Print2" localSheetId="103">'[1]7.7.6'!#REF!</definedName>
    <definedName name="Print2" localSheetId="102">'[1]7.7.6'!#REF!</definedName>
    <definedName name="Print2" localSheetId="107">'[1]7.7.6'!#REF!</definedName>
    <definedName name="Print2" localSheetId="112">'[1]7.7.6'!#REF!</definedName>
    <definedName name="Print2" localSheetId="96">'[1]7.7.6'!#REF!</definedName>
    <definedName name="Print2" localSheetId="143">'[1]7.7.6'!#REF!</definedName>
    <definedName name="Print2" localSheetId="144">'[1]7.7.6'!#REF!</definedName>
    <definedName name="Print2" localSheetId="145">'[1]7.7.6'!#REF!</definedName>
    <definedName name="Print2" localSheetId="146">'[1]7.7.6'!#REF!</definedName>
    <definedName name="Print2" localSheetId="147">'[1]7.7.6'!#REF!</definedName>
    <definedName name="Print2" localSheetId="148">'[1]7.7.6'!#REF!</definedName>
    <definedName name="Print2" localSheetId="149">'[1]7.7.6'!#REF!</definedName>
    <definedName name="Print2" localSheetId="142">'[1]7.7.6'!#REF!</definedName>
    <definedName name="Print2" localSheetId="152">'[1]7.7.6'!#REF!</definedName>
    <definedName name="Print2" localSheetId="150">'[1]7.7.6'!#REF!</definedName>
    <definedName name="Print2">'[1]7.7.6'!#REF!</definedName>
    <definedName name="Print3" localSheetId="69">'[1]7.7.6'!#REF!</definedName>
    <definedName name="Print3" localSheetId="83">'[1]7.7.6'!#REF!</definedName>
    <definedName name="Print3" localSheetId="103">'[1]7.7.6'!#REF!</definedName>
    <definedName name="Print3" localSheetId="143">'[1]7.7.6'!#REF!</definedName>
    <definedName name="Print3" localSheetId="144">'[1]7.7.6'!#REF!</definedName>
    <definedName name="Print3" localSheetId="145">'[1]7.7.6'!#REF!</definedName>
    <definedName name="Print3" localSheetId="146">'[1]7.7.6'!#REF!</definedName>
    <definedName name="Print3" localSheetId="147">'[1]7.7.6'!#REF!</definedName>
    <definedName name="Print3" localSheetId="148">'[1]7.7.6'!#REF!</definedName>
    <definedName name="Print3" localSheetId="149">'[1]7.7.6'!#REF!</definedName>
    <definedName name="Print3" localSheetId="142">'[1]7.7.6'!#REF!</definedName>
    <definedName name="Print3">'[1]7.7.6'!#REF!</definedName>
    <definedName name="RepFSS">'[1]7.7.6'!$T$1:$Y$57</definedName>
    <definedName name="s">'[1]7.7.6'!$A$1:$AQ$58</definedName>
    <definedName name="srl" localSheetId="2">'[1]7.7.6'!#REF!</definedName>
    <definedName name="srl" localSheetId="8">'[1]7.7.6'!#REF!</definedName>
    <definedName name="srl" localSheetId="12">'[1]7.7.6'!#REF!</definedName>
    <definedName name="srl" localSheetId="16">'[1]7.7.6'!#REF!</definedName>
    <definedName name="srl" localSheetId="20">'[1]7.7.6'!#REF!</definedName>
    <definedName name="srl" localSheetId="28">'[1]7.7.6'!#REF!</definedName>
    <definedName name="srl" localSheetId="35">'[1]7.7.6'!#REF!</definedName>
    <definedName name="srl" localSheetId="44">'[1]7.7.6'!#REF!</definedName>
    <definedName name="srl" localSheetId="68">'[1]7.7.6'!#REF!</definedName>
    <definedName name="srl" localSheetId="69">'[1]7.7.6'!#REF!</definedName>
    <definedName name="srl" localSheetId="67">'[1]7.7.6'!#REF!</definedName>
    <definedName name="srl" localSheetId="83">'[1]7.7.6'!#REF!</definedName>
    <definedName name="srl" localSheetId="103">'[1]7.7.6'!#REF!</definedName>
    <definedName name="srl" localSheetId="143">'[1]7.7.6'!#REF!</definedName>
    <definedName name="srl" localSheetId="144">'[1]7.7.6'!#REF!</definedName>
    <definedName name="srl" localSheetId="145">'[1]7.7.6'!#REF!</definedName>
    <definedName name="srl" localSheetId="146">'[1]7.7.6'!#REF!</definedName>
    <definedName name="srl" localSheetId="147">'[1]7.7.6'!#REF!</definedName>
    <definedName name="srl" localSheetId="148">'[1]7.7.6'!#REF!</definedName>
    <definedName name="srl" localSheetId="149">'[1]7.7.6'!#REF!</definedName>
    <definedName name="srl" localSheetId="142">'[1]7.7.6'!#REF!</definedName>
    <definedName name="srl" localSheetId="150">'[1]7.7.6'!#REF!</definedName>
    <definedName name="srl">'[1]7.7.6'!#REF!</definedName>
    <definedName name="SVDS" localSheetId="2">'[1]7.7.6'!#REF!</definedName>
    <definedName name="SVDS" localSheetId="8">'[1]7.7.6'!#REF!</definedName>
    <definedName name="SVDS" localSheetId="12">'[1]7.7.6'!#REF!</definedName>
    <definedName name="SVDS" localSheetId="16">'[1]7.7.6'!#REF!</definedName>
    <definedName name="SVDS" localSheetId="20">'[1]7.7.6'!#REF!</definedName>
    <definedName name="SVDS" localSheetId="28">'[1]7.7.6'!#REF!</definedName>
    <definedName name="SVDS" localSheetId="35">'[1]7.7.6'!#REF!</definedName>
    <definedName name="SVDS" localSheetId="44">'[1]7.7.6'!#REF!</definedName>
    <definedName name="SVDS" localSheetId="68">'[1]7.7.6'!#REF!</definedName>
    <definedName name="SVDS" localSheetId="69">'[1]7.7.6'!#REF!</definedName>
    <definedName name="SVDS" localSheetId="67">'[1]7.7.6'!#REF!</definedName>
    <definedName name="SVDS" localSheetId="83">'[1]7.7.6'!#REF!</definedName>
    <definedName name="SVDS" localSheetId="103">'[1]7.7.6'!#REF!</definedName>
    <definedName name="SVDS" localSheetId="112">'[1]7.7.6'!#REF!</definedName>
    <definedName name="SVDS" localSheetId="143">'[1]7.7.6'!#REF!</definedName>
    <definedName name="SVDS" localSheetId="144">'[1]7.7.6'!#REF!</definedName>
    <definedName name="SVDS" localSheetId="145">'[1]7.7.6'!#REF!</definedName>
    <definedName name="SVDS" localSheetId="146">'[1]7.7.6'!#REF!</definedName>
    <definedName name="SVDS" localSheetId="147">'[1]7.7.6'!#REF!</definedName>
    <definedName name="SVDS" localSheetId="148">'[1]7.7.6'!#REF!</definedName>
    <definedName name="SVDS" localSheetId="149">'[1]7.7.6'!#REF!</definedName>
    <definedName name="SVDS" localSheetId="142">'[1]7.7.6'!#REF!</definedName>
    <definedName name="SVDS" localSheetId="150">'[1]7.7.6'!#REF!</definedName>
    <definedName name="SVDS">'[1]7.7.6'!#REF!</definedName>
    <definedName name="Totales">'[1]7.7.6'!$A$1:$AP$58</definedName>
  </definedNames>
  <calcPr calcId="152511"/>
  <extLst>
    <ext xmlns:x15="http://schemas.microsoft.com/office/spreadsheetml/2010/11/main" uri="{FCE2AD5D-F65C-4FA6-A056-5C36A1767C68}">
      <x15:dataModel>
        <x15:modelTables>
          <x15:modelTable id="Rango-f3fe59bc-c8f1-4bec-80e6-b344c09d9773" name="Rango" connection="WorksheetConnection_III.5.15.Afil. SVDSxprov.!$A$3:$F$60"/>
        </x15:modelTables>
      </x15:dataModel>
    </ext>
  </extLst>
</workbook>
</file>

<file path=xl/calcChain.xml><?xml version="1.0" encoding="utf-8"?>
<calcChain xmlns="http://schemas.openxmlformats.org/spreadsheetml/2006/main">
  <c r="C15" i="334" l="1"/>
  <c r="B16" i="283" l="1"/>
  <c r="G7" i="449"/>
  <c r="G8" i="449"/>
  <c r="G9" i="449"/>
  <c r="G10" i="449"/>
  <c r="G11" i="449"/>
  <c r="G12" i="449"/>
  <c r="G13" i="449"/>
  <c r="G14" i="449"/>
  <c r="G15" i="449"/>
  <c r="G16" i="449"/>
  <c r="G17" i="449"/>
  <c r="G6" i="449"/>
  <c r="K7" i="449"/>
  <c r="K18" i="449" s="1"/>
  <c r="K8" i="449"/>
  <c r="K9" i="449"/>
  <c r="K10" i="449"/>
  <c r="K11" i="449"/>
  <c r="K12" i="449"/>
  <c r="K13" i="449"/>
  <c r="K14" i="449"/>
  <c r="K15" i="449"/>
  <c r="K16" i="449"/>
  <c r="K17" i="449"/>
  <c r="K6" i="449"/>
  <c r="K5" i="449"/>
  <c r="C18" i="449"/>
  <c r="B16" i="379" l="1"/>
  <c r="E14" i="332"/>
  <c r="C10" i="240" l="1"/>
  <c r="B10" i="240"/>
  <c r="C10" i="239"/>
  <c r="B10" i="239"/>
  <c r="B10" i="238"/>
  <c r="H11" i="236"/>
  <c r="H10" i="236"/>
  <c r="H9" i="236"/>
  <c r="H8" i="236"/>
  <c r="H7" i="236"/>
  <c r="H6" i="236"/>
  <c r="H5" i="236"/>
  <c r="H4" i="236"/>
  <c r="H11" i="235" l="1"/>
  <c r="H10" i="235"/>
  <c r="H9" i="235"/>
  <c r="H7" i="235"/>
  <c r="H6" i="235"/>
  <c r="H5" i="235"/>
  <c r="F10" i="233"/>
  <c r="E10" i="233"/>
  <c r="D10" i="233"/>
  <c r="C10" i="233"/>
  <c r="B10" i="233"/>
  <c r="F10" i="232"/>
  <c r="E10" i="232"/>
  <c r="D10" i="232"/>
  <c r="C10" i="232"/>
  <c r="B10" i="232"/>
  <c r="D10" i="231"/>
  <c r="C10" i="231"/>
  <c r="B10" i="231"/>
  <c r="C10" i="229"/>
  <c r="B10" i="229"/>
  <c r="B10" i="230"/>
  <c r="N11" i="227"/>
  <c r="M11" i="227"/>
  <c r="L11" i="227"/>
  <c r="K11" i="227"/>
  <c r="J11" i="227"/>
  <c r="G14" i="223"/>
  <c r="E14" i="228"/>
  <c r="D14" i="228"/>
  <c r="C14" i="228"/>
  <c r="B14" i="228"/>
  <c r="G14" i="226"/>
  <c r="F14" i="226"/>
  <c r="E14" i="226"/>
  <c r="D14" i="226"/>
  <c r="C14" i="226"/>
  <c r="B14" i="226"/>
  <c r="C14" i="224"/>
  <c r="B14" i="224"/>
  <c r="C14" i="222"/>
  <c r="B14" i="222"/>
  <c r="C14" i="219"/>
  <c r="B14" i="219"/>
  <c r="M36" i="452" l="1"/>
  <c r="I14" i="217"/>
  <c r="H14" i="217"/>
  <c r="G14" i="217"/>
  <c r="F14" i="217"/>
  <c r="E14" i="217"/>
  <c r="D14" i="217"/>
  <c r="C14" i="217"/>
  <c r="B14" i="217"/>
  <c r="H17" i="79"/>
  <c r="C17" i="79" s="1"/>
  <c r="G17" i="79" l="1"/>
  <c r="E17" i="79"/>
  <c r="B11" i="447" l="1"/>
  <c r="B12" i="447"/>
  <c r="D6" i="74"/>
  <c r="D7" i="74"/>
  <c r="D8" i="74"/>
  <c r="D9" i="74"/>
  <c r="D10" i="74"/>
  <c r="D11" i="74"/>
  <c r="D12" i="74"/>
  <c r="D13" i="74"/>
  <c r="D14" i="74"/>
  <c r="D15" i="74"/>
  <c r="C5" i="72"/>
  <c r="C6" i="72"/>
  <c r="C7" i="72"/>
  <c r="C8" i="72"/>
  <c r="C9" i="72"/>
  <c r="C10" i="72"/>
  <c r="C11" i="72"/>
  <c r="C12" i="72"/>
  <c r="C13" i="72"/>
  <c r="C14" i="72"/>
  <c r="C15" i="72"/>
  <c r="C16" i="72"/>
  <c r="B5" i="72"/>
  <c r="B6" i="72"/>
  <c r="B7" i="72"/>
  <c r="B8" i="72"/>
  <c r="B9" i="72"/>
  <c r="B10" i="72"/>
  <c r="B11" i="72"/>
  <c r="B12" i="72"/>
  <c r="B13" i="72"/>
  <c r="B14" i="72"/>
  <c r="B15" i="72"/>
  <c r="B16" i="72"/>
  <c r="B3" i="177"/>
  <c r="H16" i="54"/>
  <c r="H15" i="54"/>
  <c r="H14" i="54"/>
  <c r="H13" i="54"/>
  <c r="H12" i="54"/>
  <c r="H11" i="54"/>
  <c r="H10" i="54"/>
  <c r="H9" i="54"/>
  <c r="H8" i="54"/>
  <c r="H7" i="54"/>
  <c r="H6" i="54"/>
  <c r="H5" i="54"/>
  <c r="H4" i="54"/>
  <c r="F16" i="54"/>
  <c r="B16" i="54"/>
  <c r="J3" i="391"/>
  <c r="F17" i="387"/>
  <c r="O15" i="383"/>
  <c r="M15" i="383"/>
  <c r="J15" i="383"/>
  <c r="I15" i="383"/>
  <c r="H15" i="383"/>
  <c r="G15" i="383"/>
  <c r="E15" i="383"/>
  <c r="N15" i="382"/>
  <c r="J15" i="382"/>
  <c r="I15" i="382"/>
  <c r="H15" i="382"/>
  <c r="G15" i="382"/>
  <c r="E15" i="382"/>
  <c r="C15" i="374"/>
  <c r="C5" i="349"/>
  <c r="C16" i="349"/>
  <c r="C17" i="349"/>
  <c r="C16" i="345"/>
  <c r="E14" i="345"/>
  <c r="E15" i="345"/>
  <c r="E16" i="345"/>
  <c r="C14" i="431"/>
  <c r="E15" i="433" l="1"/>
  <c r="D15" i="433"/>
  <c r="B13" i="393" l="1"/>
  <c r="B12" i="392"/>
  <c r="J25" i="451"/>
  <c r="B15" i="445"/>
  <c r="E15" i="445"/>
  <c r="D15" i="445"/>
  <c r="H12" i="235" l="1"/>
  <c r="J17" i="399" l="1"/>
  <c r="I17" i="399"/>
  <c r="O15" i="398"/>
  <c r="B11" i="225" l="1"/>
  <c r="K10" i="465"/>
  <c r="J10" i="465"/>
  <c r="C12" i="307" l="1"/>
  <c r="C4" i="307"/>
  <c r="H12" i="79" l="1"/>
  <c r="H13" i="79"/>
  <c r="H14" i="79"/>
  <c r="C14" i="79" s="1"/>
  <c r="H15" i="79"/>
  <c r="G15" i="79" s="1"/>
  <c r="H16" i="79"/>
  <c r="G16" i="79" s="1"/>
  <c r="G12" i="79"/>
  <c r="G13" i="79"/>
  <c r="E13" i="79"/>
  <c r="C12" i="79"/>
  <c r="C13" i="79"/>
  <c r="G12" i="446"/>
  <c r="G23" i="446"/>
  <c r="G26" i="446"/>
  <c r="G31" i="446"/>
  <c r="G11" i="446"/>
  <c r="G7" i="446"/>
  <c r="G9" i="446"/>
  <c r="G22" i="446"/>
  <c r="G14" i="446"/>
  <c r="G21" i="446"/>
  <c r="G24" i="446"/>
  <c r="G34" i="446"/>
  <c r="C36" i="446"/>
  <c r="D36" i="446"/>
  <c r="E36" i="446"/>
  <c r="F36" i="446"/>
  <c r="B36" i="446"/>
  <c r="O15" i="382"/>
  <c r="D16" i="375"/>
  <c r="G14" i="79" l="1"/>
  <c r="E14" i="79"/>
  <c r="E16" i="79"/>
  <c r="E15" i="79"/>
  <c r="C15" i="79"/>
  <c r="C16" i="79"/>
  <c r="C6" i="349"/>
  <c r="C7" i="349"/>
  <c r="C8" i="349"/>
  <c r="C9" i="349"/>
  <c r="C10" i="349"/>
  <c r="C11" i="349"/>
  <c r="C12" i="349"/>
  <c r="C13" i="349"/>
  <c r="C14" i="349"/>
  <c r="C15" i="349"/>
  <c r="E13" i="345"/>
  <c r="E5" i="433"/>
  <c r="E6" i="433"/>
  <c r="E7" i="433"/>
  <c r="E8" i="433"/>
  <c r="E9" i="433"/>
  <c r="E10" i="433"/>
  <c r="E11" i="433"/>
  <c r="E12" i="433"/>
  <c r="E13" i="433"/>
  <c r="E14" i="433"/>
  <c r="E16" i="433"/>
  <c r="D5" i="433"/>
  <c r="D6" i="433"/>
  <c r="D7" i="433"/>
  <c r="D8" i="433"/>
  <c r="D9" i="433"/>
  <c r="D10" i="433"/>
  <c r="D11" i="433"/>
  <c r="D12" i="433"/>
  <c r="D13" i="433"/>
  <c r="D14" i="433"/>
  <c r="D16" i="433"/>
  <c r="C8" i="341"/>
  <c r="C9" i="341"/>
  <c r="C10" i="341"/>
  <c r="C11" i="341"/>
  <c r="C12" i="341"/>
  <c r="G12" i="341" s="1"/>
  <c r="C13" i="341"/>
  <c r="G13" i="341" s="1"/>
  <c r="C14" i="341"/>
  <c r="G14" i="341" s="1"/>
  <c r="C16" i="341"/>
  <c r="C16" i="432"/>
  <c r="C7" i="432"/>
  <c r="C8" i="432"/>
  <c r="C9" i="432"/>
  <c r="C10" i="432"/>
  <c r="C11" i="432"/>
  <c r="C12" i="432"/>
  <c r="C13" i="432"/>
  <c r="G13" i="432" s="1"/>
  <c r="C14" i="432"/>
  <c r="G14" i="432" s="1"/>
  <c r="K7" i="466" l="1"/>
  <c r="J7" i="466"/>
  <c r="I7" i="466"/>
  <c r="H7" i="466"/>
  <c r="G7" i="466"/>
  <c r="F7" i="466"/>
  <c r="E7" i="466"/>
  <c r="D7" i="466"/>
  <c r="C7" i="466"/>
  <c r="B7" i="466"/>
  <c r="L5" i="466"/>
  <c r="L4" i="466"/>
  <c r="L6" i="466"/>
  <c r="C14" i="456"/>
  <c r="B14" i="456"/>
  <c r="L7" i="466" l="1"/>
  <c r="M6" i="466" s="1"/>
  <c r="M4" i="466" l="1"/>
  <c r="M5" i="466"/>
  <c r="I10" i="465"/>
  <c r="H10" i="465"/>
  <c r="G10" i="465"/>
  <c r="F10" i="465"/>
  <c r="E10" i="465"/>
  <c r="D10" i="465"/>
  <c r="C10" i="465"/>
  <c r="B10" i="465"/>
  <c r="L9" i="465"/>
  <c r="L8" i="465"/>
  <c r="L7" i="465"/>
  <c r="L6" i="465"/>
  <c r="L5" i="465"/>
  <c r="L4" i="465"/>
  <c r="C14" i="461"/>
  <c r="B14" i="461"/>
  <c r="E6" i="462"/>
  <c r="E7" i="462"/>
  <c r="E8" i="462"/>
  <c r="E9" i="462"/>
  <c r="E10" i="462"/>
  <c r="E11" i="462"/>
  <c r="E12" i="462"/>
  <c r="E13" i="462"/>
  <c r="E5" i="462"/>
  <c r="E4" i="462"/>
  <c r="B14" i="462"/>
  <c r="M7" i="466" l="1"/>
  <c r="L10" i="465"/>
  <c r="M7" i="465" s="1"/>
  <c r="C14" i="462"/>
  <c r="D14" i="462"/>
  <c r="D13" i="461"/>
  <c r="D12" i="461"/>
  <c r="D11" i="461"/>
  <c r="D10" i="461"/>
  <c r="D9" i="461"/>
  <c r="D8" i="461"/>
  <c r="D7" i="461"/>
  <c r="D6" i="461"/>
  <c r="D5" i="461"/>
  <c r="D4" i="461"/>
  <c r="C14" i="459"/>
  <c r="B14" i="459"/>
  <c r="M6" i="465" l="1"/>
  <c r="M4" i="465"/>
  <c r="M5" i="465"/>
  <c r="M9" i="465"/>
  <c r="M8" i="465"/>
  <c r="D14" i="461"/>
  <c r="E14" i="462"/>
  <c r="D6" i="459"/>
  <c r="D7" i="459"/>
  <c r="D8" i="459"/>
  <c r="D9" i="459"/>
  <c r="D10" i="459"/>
  <c r="D11" i="459"/>
  <c r="D12" i="459"/>
  <c r="D13" i="459"/>
  <c r="D4" i="459"/>
  <c r="D5" i="459"/>
  <c r="D6" i="456"/>
  <c r="D7" i="456"/>
  <c r="D8" i="456"/>
  <c r="D9" i="456"/>
  <c r="D10" i="456"/>
  <c r="D11" i="456"/>
  <c r="D12" i="456"/>
  <c r="D13" i="456"/>
  <c r="D5" i="456"/>
  <c r="D4" i="456"/>
  <c r="F12" i="456" l="1"/>
  <c r="E12" i="456"/>
  <c r="F10" i="456"/>
  <c r="E10" i="456"/>
  <c r="F9" i="456"/>
  <c r="E9" i="456"/>
  <c r="E13" i="456"/>
  <c r="F13" i="456"/>
  <c r="E11" i="456"/>
  <c r="F11" i="456"/>
  <c r="F8" i="456"/>
  <c r="E8" i="456"/>
  <c r="F7" i="456"/>
  <c r="E7" i="456"/>
  <c r="D14" i="456"/>
  <c r="E4" i="456"/>
  <c r="F4" i="456"/>
  <c r="E5" i="456"/>
  <c r="F5" i="456"/>
  <c r="E6" i="456"/>
  <c r="F6" i="456"/>
  <c r="M10" i="465"/>
  <c r="K4" i="444"/>
  <c r="F14" i="456" l="1"/>
  <c r="E14" i="456"/>
  <c r="D14" i="459"/>
  <c r="B17" i="276" l="1"/>
  <c r="E7" i="448"/>
  <c r="E8" i="448"/>
  <c r="E9" i="448"/>
  <c r="E10" i="448"/>
  <c r="E11" i="448"/>
  <c r="E19" i="448"/>
  <c r="D16" i="72"/>
  <c r="D5" i="445"/>
  <c r="B9" i="445"/>
  <c r="E14" i="222" l="1"/>
  <c r="F14" i="387" l="1"/>
  <c r="D14" i="375"/>
  <c r="E9" i="345"/>
  <c r="E10" i="345"/>
  <c r="E11" i="345"/>
  <c r="E12" i="345"/>
  <c r="D13" i="345"/>
  <c r="G8" i="341" l="1"/>
  <c r="G9" i="341"/>
  <c r="G10" i="341"/>
  <c r="G11" i="341"/>
  <c r="G8" i="432"/>
  <c r="G9" i="432"/>
  <c r="G10" i="432"/>
  <c r="G11" i="432"/>
  <c r="G12" i="432"/>
  <c r="F13" i="427"/>
  <c r="I10" i="424" l="1"/>
  <c r="G17" i="444" l="1"/>
  <c r="H17" i="444"/>
  <c r="O4" i="29"/>
  <c r="L12" i="29"/>
  <c r="K12" i="29"/>
  <c r="D12" i="29"/>
  <c r="E12" i="29"/>
  <c r="F12" i="29"/>
  <c r="G12" i="29"/>
  <c r="H12" i="29"/>
  <c r="I12" i="29"/>
  <c r="J12" i="29"/>
  <c r="M12" i="29"/>
  <c r="C12" i="29"/>
  <c r="B12" i="29"/>
  <c r="O11" i="29"/>
  <c r="O5" i="29"/>
  <c r="O6" i="29"/>
  <c r="O7" i="29"/>
  <c r="O8" i="29"/>
  <c r="O9" i="29"/>
  <c r="O10" i="29"/>
  <c r="O12" i="29" l="1"/>
  <c r="N12" i="29"/>
  <c r="D3" i="74" l="1"/>
  <c r="D4" i="74"/>
  <c r="J17" i="444" l="1"/>
  <c r="D10" i="239" l="1"/>
  <c r="N4" i="452"/>
  <c r="C36" i="452"/>
  <c r="D36" i="452"/>
  <c r="E36" i="452"/>
  <c r="F36" i="452"/>
  <c r="G36" i="452"/>
  <c r="H36" i="452"/>
  <c r="I36" i="452"/>
  <c r="J36" i="452"/>
  <c r="K36" i="452"/>
  <c r="L36" i="452"/>
  <c r="J5" i="396" l="1"/>
  <c r="J6" i="396"/>
  <c r="J4" i="396"/>
  <c r="I7" i="396" l="1"/>
  <c r="I7" i="397"/>
  <c r="D10" i="412" l="1"/>
  <c r="E13" i="387"/>
  <c r="D13" i="387"/>
  <c r="C13" i="387"/>
  <c r="B13" i="387"/>
  <c r="F13" i="387" l="1"/>
  <c r="B16" i="348" l="1"/>
  <c r="F6" i="61" l="1"/>
  <c r="F7" i="61"/>
  <c r="F8" i="61"/>
  <c r="F9" i="61"/>
  <c r="F10" i="61"/>
  <c r="F11" i="61"/>
  <c r="F12" i="61"/>
  <c r="F13" i="61"/>
  <c r="F14" i="61"/>
  <c r="F15" i="61"/>
  <c r="F5" i="61"/>
  <c r="C33" i="334" l="1"/>
  <c r="C16" i="334" l="1"/>
  <c r="C17" i="334" s="1"/>
  <c r="C18" i="334" s="1"/>
  <c r="C19" i="334" s="1"/>
  <c r="C20" i="334" s="1"/>
  <c r="C21" i="334" s="1"/>
  <c r="E6" i="385"/>
  <c r="E7" i="385"/>
  <c r="E8" i="385"/>
  <c r="E9" i="385"/>
  <c r="E10" i="385"/>
  <c r="E11" i="385"/>
  <c r="E5" i="385"/>
  <c r="E14" i="282" l="1"/>
  <c r="E5" i="282"/>
  <c r="O11" i="227" l="1"/>
  <c r="C5" i="283"/>
  <c r="C6" i="283"/>
  <c r="C7" i="283"/>
  <c r="E12" i="79" l="1"/>
  <c r="C15" i="283"/>
  <c r="B7" i="447"/>
  <c r="B7" i="179"/>
  <c r="G18" i="380"/>
  <c r="D11" i="375"/>
  <c r="D16" i="345" l="1"/>
  <c r="E4" i="345"/>
  <c r="E5" i="345"/>
  <c r="E6" i="345"/>
  <c r="E7" i="345"/>
  <c r="E8" i="345"/>
  <c r="D4" i="345"/>
  <c r="D5" i="345"/>
  <c r="D6" i="345"/>
  <c r="D7" i="345"/>
  <c r="D8" i="345"/>
  <c r="D9" i="345"/>
  <c r="D10" i="345"/>
  <c r="D11" i="345"/>
  <c r="E4" i="433"/>
  <c r="D4" i="433"/>
  <c r="F4" i="341"/>
  <c r="F5" i="341"/>
  <c r="F6" i="341"/>
  <c r="F7" i="341"/>
  <c r="F8" i="341"/>
  <c r="F9" i="341"/>
  <c r="F10" i="341"/>
  <c r="F11" i="341"/>
  <c r="F16" i="341"/>
  <c r="E6" i="282" l="1"/>
  <c r="E7" i="282"/>
  <c r="E8" i="282"/>
  <c r="E9" i="282"/>
  <c r="E10" i="282"/>
  <c r="E11" i="282"/>
  <c r="E12" i="282"/>
  <c r="E13" i="282"/>
  <c r="E15" i="282"/>
  <c r="E16" i="282"/>
  <c r="E17" i="282"/>
  <c r="D18" i="282"/>
  <c r="C18" i="282"/>
  <c r="B18" i="282"/>
  <c r="E18" i="282" l="1"/>
  <c r="C4" i="392" l="1"/>
  <c r="C11" i="392" l="1"/>
  <c r="C10" i="392"/>
  <c r="C9" i="392"/>
  <c r="C8" i="392"/>
  <c r="C7" i="392"/>
  <c r="C6" i="392"/>
  <c r="C5" i="392"/>
  <c r="C5" i="307"/>
  <c r="C6" i="307"/>
  <c r="C7" i="307"/>
  <c r="C8" i="307"/>
  <c r="C9" i="307"/>
  <c r="C10" i="307"/>
  <c r="C11" i="307"/>
  <c r="C12" i="392" l="1"/>
  <c r="A26" i="380" l="1"/>
  <c r="A27" i="380"/>
  <c r="A28" i="380"/>
  <c r="A29" i="380"/>
  <c r="A30" i="380"/>
  <c r="A31" i="380"/>
  <c r="A32" i="380"/>
  <c r="A33" i="380"/>
  <c r="A34" i="380"/>
  <c r="A35" i="380"/>
  <c r="A36" i="380"/>
  <c r="A37" i="380"/>
  <c r="A25" i="380"/>
  <c r="J4" i="274" l="1"/>
  <c r="I14" i="223"/>
  <c r="N33" i="452"/>
  <c r="N31" i="452"/>
  <c r="N16" i="452"/>
  <c r="N19" i="452"/>
  <c r="N10" i="452"/>
  <c r="N35" i="452"/>
  <c r="N13" i="452"/>
  <c r="B36" i="452"/>
  <c r="N8" i="452"/>
  <c r="N27" i="452"/>
  <c r="N5" i="452"/>
  <c r="N21" i="452"/>
  <c r="N11" i="452"/>
  <c r="N22" i="452"/>
  <c r="N26" i="452"/>
  <c r="N25" i="452"/>
  <c r="N9" i="452"/>
  <c r="N17" i="452"/>
  <c r="N34" i="452"/>
  <c r="N18" i="452"/>
  <c r="N20" i="452"/>
  <c r="N12" i="452"/>
  <c r="N7" i="452"/>
  <c r="N28" i="452"/>
  <c r="N23" i="452"/>
  <c r="N14" i="452"/>
  <c r="N15" i="452"/>
  <c r="N30" i="452"/>
  <c r="N29" i="452"/>
  <c r="N32" i="452"/>
  <c r="N24" i="452"/>
  <c r="N6" i="452"/>
  <c r="N36" i="452" l="1"/>
  <c r="O4" i="452" s="1"/>
  <c r="B15" i="215"/>
  <c r="O23" i="452" l="1"/>
  <c r="O5" i="452"/>
  <c r="O7" i="452"/>
  <c r="O10" i="452"/>
  <c r="O24" i="452"/>
  <c r="O35" i="452"/>
  <c r="O6" i="452"/>
  <c r="O28" i="452"/>
  <c r="O21" i="452"/>
  <c r="O33" i="452"/>
  <c r="O25" i="452"/>
  <c r="O17" i="452"/>
  <c r="O29" i="452"/>
  <c r="O11" i="452"/>
  <c r="O8" i="452"/>
  <c r="O20" i="452"/>
  <c r="O26" i="452"/>
  <c r="O30" i="452"/>
  <c r="O31" i="452"/>
  <c r="O19" i="452"/>
  <c r="O14" i="452"/>
  <c r="O15" i="452"/>
  <c r="O9" i="452"/>
  <c r="O27" i="452"/>
  <c r="O22" i="452"/>
  <c r="O16" i="452"/>
  <c r="O12" i="452"/>
  <c r="O32" i="452"/>
  <c r="O13" i="452"/>
  <c r="O34" i="452"/>
  <c r="O18" i="452"/>
  <c r="O36" i="452" l="1"/>
  <c r="B8" i="447" l="1"/>
  <c r="B9" i="447"/>
  <c r="B10" i="447"/>
  <c r="B13" i="447" l="1"/>
  <c r="C4" i="450"/>
  <c r="F15" i="445" l="1"/>
  <c r="K19" i="451"/>
  <c r="G58" i="450"/>
  <c r="L33" i="450"/>
  <c r="K33" i="450"/>
  <c r="J33" i="450"/>
  <c r="I33" i="450"/>
  <c r="H33" i="450"/>
  <c r="G33" i="450"/>
  <c r="F33" i="450"/>
  <c r="E33" i="450"/>
  <c r="D33" i="450"/>
  <c r="C32" i="450"/>
  <c r="C31" i="450"/>
  <c r="C30" i="450"/>
  <c r="C29" i="450"/>
  <c r="C28" i="450"/>
  <c r="C27" i="450"/>
  <c r="C26" i="450"/>
  <c r="C25" i="450"/>
  <c r="C24" i="450"/>
  <c r="C23" i="450"/>
  <c r="C22" i="450"/>
  <c r="C21" i="450"/>
  <c r="C20" i="450"/>
  <c r="C19" i="450"/>
  <c r="C18" i="450"/>
  <c r="C17" i="450"/>
  <c r="C16" i="450"/>
  <c r="C15" i="450"/>
  <c r="C14" i="450"/>
  <c r="C13" i="450"/>
  <c r="C12" i="450"/>
  <c r="C11" i="450"/>
  <c r="C10" i="450"/>
  <c r="C9" i="450"/>
  <c r="C8" i="450"/>
  <c r="C7" i="450"/>
  <c r="C6" i="450"/>
  <c r="C5" i="450"/>
  <c r="K9" i="451" l="1"/>
  <c r="K10" i="451"/>
  <c r="K11" i="451"/>
  <c r="K16" i="451"/>
  <c r="K17" i="451"/>
  <c r="K18" i="451"/>
  <c r="K20" i="451"/>
  <c r="K8" i="451"/>
  <c r="K4" i="451"/>
  <c r="K12" i="451"/>
  <c r="K21" i="451"/>
  <c r="K5" i="451"/>
  <c r="K13" i="451"/>
  <c r="K22" i="451"/>
  <c r="K6" i="451"/>
  <c r="K14" i="451"/>
  <c r="K23" i="451"/>
  <c r="K7" i="451"/>
  <c r="K15" i="451"/>
  <c r="K24" i="451"/>
  <c r="C33" i="450"/>
  <c r="K25" i="451" l="1"/>
  <c r="D8" i="380"/>
  <c r="B11" i="412" l="1"/>
  <c r="D4" i="412"/>
  <c r="E6" i="445" l="1"/>
  <c r="E7" i="445"/>
  <c r="E8" i="445"/>
  <c r="E9" i="445"/>
  <c r="E10" i="445"/>
  <c r="E11" i="445"/>
  <c r="E12" i="445"/>
  <c r="E13" i="445"/>
  <c r="E14" i="445"/>
  <c r="D6" i="445"/>
  <c r="D7" i="445"/>
  <c r="D8" i="445"/>
  <c r="D9" i="445"/>
  <c r="D10" i="445"/>
  <c r="D11" i="445"/>
  <c r="D12" i="445"/>
  <c r="D13" i="445"/>
  <c r="D14" i="445"/>
  <c r="L6" i="449"/>
  <c r="L7" i="449"/>
  <c r="L8" i="449"/>
  <c r="L9" i="449"/>
  <c r="L10" i="449"/>
  <c r="L11" i="449"/>
  <c r="L12" i="449"/>
  <c r="L13" i="449"/>
  <c r="L14" i="449"/>
  <c r="L15" i="449"/>
  <c r="L16" i="449"/>
  <c r="L17" i="449"/>
  <c r="B18" i="449"/>
  <c r="D5" i="412" l="1"/>
  <c r="D6" i="412"/>
  <c r="D7" i="412"/>
  <c r="D8" i="412"/>
  <c r="D9" i="412"/>
  <c r="C11" i="412"/>
  <c r="G5" i="449"/>
  <c r="G18" i="449" s="1"/>
  <c r="B4" i="72"/>
  <c r="B17" i="72" s="1"/>
  <c r="C4" i="72"/>
  <c r="B10" i="445"/>
  <c r="B11" i="445"/>
  <c r="B12" i="445"/>
  <c r="B13" i="445"/>
  <c r="B14" i="445"/>
  <c r="J18" i="449"/>
  <c r="I18" i="449"/>
  <c r="H18" i="449"/>
  <c r="F18" i="449"/>
  <c r="E18" i="449"/>
  <c r="D18" i="449"/>
  <c r="N17" i="449"/>
  <c r="N16" i="449"/>
  <c r="N15" i="449"/>
  <c r="N14" i="449"/>
  <c r="N13" i="449"/>
  <c r="N12" i="449"/>
  <c r="N11" i="449"/>
  <c r="N10" i="449"/>
  <c r="N9" i="449"/>
  <c r="N8" i="449"/>
  <c r="N7" i="449"/>
  <c r="N6" i="449"/>
  <c r="N5" i="449"/>
  <c r="L5" i="449"/>
  <c r="M12" i="449" l="1"/>
  <c r="M11" i="449"/>
  <c r="D11" i="412"/>
  <c r="M17" i="449"/>
  <c r="M6" i="449"/>
  <c r="M10" i="449"/>
  <c r="M9" i="449"/>
  <c r="M16" i="449"/>
  <c r="M8" i="449"/>
  <c r="M15" i="449"/>
  <c r="M7" i="449"/>
  <c r="M14" i="449"/>
  <c r="M13" i="449"/>
  <c r="D4" i="72"/>
  <c r="M5" i="449"/>
  <c r="D5" i="72"/>
  <c r="D6" i="72"/>
  <c r="C17" i="72"/>
  <c r="N18" i="449"/>
  <c r="L18" i="449"/>
  <c r="M18" i="449" l="1"/>
  <c r="B6" i="425" l="1"/>
  <c r="B7" i="425"/>
  <c r="B8" i="425"/>
  <c r="B9" i="425"/>
  <c r="B10" i="425"/>
  <c r="B11" i="425"/>
  <c r="B12" i="425"/>
  <c r="B13" i="425"/>
  <c r="B14" i="425"/>
  <c r="B5" i="425"/>
  <c r="B4" i="425"/>
  <c r="H11" i="79"/>
  <c r="C11" i="79" s="1"/>
  <c r="E5" i="445"/>
  <c r="F6" i="445"/>
  <c r="F7" i="445"/>
  <c r="F8" i="445"/>
  <c r="F9" i="445"/>
  <c r="F10" i="445"/>
  <c r="F11" i="445"/>
  <c r="F12" i="445"/>
  <c r="F13" i="445"/>
  <c r="F14" i="445"/>
  <c r="G11" i="79" l="1"/>
  <c r="E11" i="79"/>
  <c r="G16" i="432" l="1"/>
  <c r="G6" i="226" l="1"/>
  <c r="G4" i="226"/>
  <c r="C15" i="215"/>
  <c r="D16" i="400"/>
  <c r="D5" i="400" l="1"/>
  <c r="D6" i="400"/>
  <c r="D7" i="400"/>
  <c r="D8" i="400"/>
  <c r="D9" i="400"/>
  <c r="D10" i="400"/>
  <c r="D11" i="400"/>
  <c r="D12" i="400"/>
  <c r="D13" i="400"/>
  <c r="D14" i="400"/>
  <c r="D15" i="400"/>
  <c r="D4" i="400"/>
  <c r="B17" i="400"/>
  <c r="C5" i="434"/>
  <c r="F5" i="434" s="1"/>
  <c r="G5" i="434" s="1"/>
  <c r="C6" i="434"/>
  <c r="F6" i="434" s="1"/>
  <c r="G6" i="434" s="1"/>
  <c r="C7" i="434"/>
  <c r="F7" i="434" s="1"/>
  <c r="G7" i="434" s="1"/>
  <c r="C8" i="434"/>
  <c r="F8" i="434" s="1"/>
  <c r="G8" i="434" s="1"/>
  <c r="C9" i="434"/>
  <c r="F9" i="434" s="1"/>
  <c r="G9" i="434" s="1"/>
  <c r="C10" i="434"/>
  <c r="F10" i="434" s="1"/>
  <c r="G10" i="434" s="1"/>
  <c r="B11" i="434"/>
  <c r="C11" i="434"/>
  <c r="C12" i="434"/>
  <c r="F12" i="434" s="1"/>
  <c r="G12" i="434" s="1"/>
  <c r="C13" i="434"/>
  <c r="F13" i="434" s="1"/>
  <c r="G13" i="434" s="1"/>
  <c r="C14" i="434"/>
  <c r="F14" i="434" s="1"/>
  <c r="G14" i="434" s="1"/>
  <c r="C15" i="434"/>
  <c r="F15" i="434" s="1"/>
  <c r="G15" i="434" s="1"/>
  <c r="C16" i="434"/>
  <c r="F16" i="434"/>
  <c r="G16" i="434" s="1"/>
  <c r="C17" i="434"/>
  <c r="F17" i="434"/>
  <c r="G17" i="434" s="1"/>
  <c r="C18" i="434"/>
  <c r="F18" i="434"/>
  <c r="G18" i="434" s="1"/>
  <c r="C19" i="434"/>
  <c r="F19" i="434"/>
  <c r="G19" i="434" s="1"/>
  <c r="C20" i="434"/>
  <c r="F20" i="434"/>
  <c r="G20" i="434" s="1"/>
  <c r="C21" i="434"/>
  <c r="F21" i="434"/>
  <c r="G21" i="434" s="1"/>
  <c r="C22" i="434"/>
  <c r="F22" i="434"/>
  <c r="G22" i="434" s="1"/>
  <c r="C23" i="434"/>
  <c r="F23" i="434"/>
  <c r="G23" i="434" s="1"/>
  <c r="C24" i="434"/>
  <c r="G24" i="434" s="1"/>
  <c r="F24" i="434"/>
  <c r="C25" i="434"/>
  <c r="G25" i="434" s="1"/>
  <c r="F25" i="434"/>
  <c r="C26" i="434"/>
  <c r="G26" i="434" s="1"/>
  <c r="F26" i="434"/>
  <c r="F12" i="338"/>
  <c r="F16" i="432"/>
  <c r="D10" i="72" l="1"/>
  <c r="D9" i="72"/>
  <c r="D13" i="72"/>
  <c r="D8" i="72"/>
  <c r="D14" i="72"/>
  <c r="D12" i="72"/>
  <c r="D15" i="72"/>
  <c r="D7" i="72"/>
  <c r="F11" i="434"/>
  <c r="G11" i="434" s="1"/>
  <c r="D16" i="445"/>
  <c r="D11" i="72"/>
  <c r="H10" i="79"/>
  <c r="H9" i="79"/>
  <c r="B16" i="78"/>
  <c r="D16" i="78"/>
  <c r="F16" i="78"/>
  <c r="H15" i="78"/>
  <c r="H14" i="78"/>
  <c r="H13" i="78"/>
  <c r="H12" i="78"/>
  <c r="H11" i="78"/>
  <c r="H10" i="78"/>
  <c r="H9" i="78"/>
  <c r="H8" i="78"/>
  <c r="H7" i="78"/>
  <c r="H6" i="78"/>
  <c r="H5" i="78"/>
  <c r="D17" i="72" l="1"/>
  <c r="F10" i="214"/>
  <c r="H16" i="78"/>
  <c r="C12" i="444" l="1"/>
  <c r="C11" i="444"/>
  <c r="C17" i="444" l="1"/>
  <c r="B8" i="391"/>
  <c r="C8" i="391"/>
  <c r="D8" i="391"/>
  <c r="E8" i="391"/>
  <c r="F8" i="391"/>
  <c r="G8" i="391"/>
  <c r="H8" i="391"/>
  <c r="I8" i="391"/>
  <c r="J8" i="391"/>
  <c r="K3" i="391" l="1"/>
  <c r="K4" i="391"/>
  <c r="K5" i="391"/>
  <c r="K6" i="391"/>
  <c r="K7" i="391"/>
  <c r="F5" i="445"/>
  <c r="K8" i="391" l="1"/>
  <c r="F5" i="401" l="1"/>
  <c r="C17" i="400"/>
  <c r="F16" i="445" l="1"/>
  <c r="F9" i="387" l="1"/>
  <c r="F5" i="427" l="1"/>
  <c r="H5" i="427" s="1"/>
  <c r="E15" i="398" l="1"/>
  <c r="D5" i="238" l="1"/>
  <c r="D6" i="238"/>
  <c r="D7" i="238"/>
  <c r="D8" i="238"/>
  <c r="D9" i="238"/>
  <c r="D4" i="238"/>
  <c r="G12" i="236"/>
  <c r="F12" i="236"/>
  <c r="E12" i="236"/>
  <c r="E16" i="283" l="1"/>
  <c r="G58" i="399" l="1"/>
  <c r="H17" i="399"/>
  <c r="E17" i="399"/>
  <c r="B6" i="399"/>
  <c r="H5" i="399"/>
  <c r="E5" i="399"/>
  <c r="B5" i="399"/>
  <c r="H4" i="399"/>
  <c r="E4" i="399"/>
  <c r="N15" i="398"/>
  <c r="M15" i="398"/>
  <c r="L15" i="398"/>
  <c r="K15" i="398"/>
  <c r="J15" i="398"/>
  <c r="I15" i="398"/>
  <c r="H15" i="398"/>
  <c r="G15" i="398"/>
  <c r="F15" i="398"/>
  <c r="D15" i="398"/>
  <c r="C15" i="398"/>
  <c r="B15" i="398"/>
  <c r="J10" i="424"/>
  <c r="H10" i="424"/>
  <c r="G10" i="424"/>
  <c r="F10" i="424"/>
  <c r="E10" i="424"/>
  <c r="D10" i="424"/>
  <c r="C10" i="424"/>
  <c r="K9" i="424"/>
  <c r="K8" i="424"/>
  <c r="K7" i="424"/>
  <c r="K6" i="424"/>
  <c r="K5" i="424"/>
  <c r="K4" i="424"/>
  <c r="D13" i="423"/>
  <c r="C13" i="423"/>
  <c r="B13" i="423"/>
  <c r="E12" i="423"/>
  <c r="E11" i="423"/>
  <c r="E10" i="423"/>
  <c r="E9" i="423"/>
  <c r="E8" i="423"/>
  <c r="E7" i="423"/>
  <c r="E6" i="423"/>
  <c r="E5" i="423"/>
  <c r="C13" i="422"/>
  <c r="B13" i="422"/>
  <c r="D11" i="422"/>
  <c r="D10" i="422"/>
  <c r="D9" i="422"/>
  <c r="D8" i="422"/>
  <c r="D7" i="422"/>
  <c r="D6" i="422"/>
  <c r="D5" i="422"/>
  <c r="D4" i="422"/>
  <c r="G11" i="242"/>
  <c r="F11" i="242"/>
  <c r="E11" i="242"/>
  <c r="D11" i="242"/>
  <c r="C11" i="242"/>
  <c r="B11" i="242"/>
  <c r="H10" i="242"/>
  <c r="H9" i="242"/>
  <c r="J9" i="242" s="1"/>
  <c r="H8" i="242"/>
  <c r="H7" i="242"/>
  <c r="K7" i="242" s="1"/>
  <c r="H6" i="242"/>
  <c r="J6" i="242" s="1"/>
  <c r="H5" i="242"/>
  <c r="J5" i="242" s="1"/>
  <c r="H4" i="242"/>
  <c r="L4" i="242" s="1"/>
  <c r="E11" i="241"/>
  <c r="D11" i="241"/>
  <c r="C11" i="241"/>
  <c r="B11" i="241"/>
  <c r="F10" i="241"/>
  <c r="F9" i="241"/>
  <c r="H9" i="241" s="1"/>
  <c r="F8" i="241"/>
  <c r="J8" i="241" s="1"/>
  <c r="F7" i="241"/>
  <c r="F6" i="241"/>
  <c r="G6" i="241" s="1"/>
  <c r="F5" i="241"/>
  <c r="H5" i="241" s="1"/>
  <c r="F4" i="241"/>
  <c r="H4" i="241" s="1"/>
  <c r="E11" i="214"/>
  <c r="D11" i="214"/>
  <c r="C11" i="214"/>
  <c r="B11" i="214"/>
  <c r="F9" i="214"/>
  <c r="F8" i="214"/>
  <c r="I8" i="214" s="1"/>
  <c r="F7" i="214"/>
  <c r="I7" i="214" s="1"/>
  <c r="F6" i="214"/>
  <c r="I6" i="214" s="1"/>
  <c r="F5" i="214"/>
  <c r="F4" i="214"/>
  <c r="C11" i="240"/>
  <c r="B11" i="240"/>
  <c r="D9" i="240"/>
  <c r="F9" i="240" s="1"/>
  <c r="D8" i="240"/>
  <c r="D7" i="240"/>
  <c r="D6" i="240"/>
  <c r="D5" i="240"/>
  <c r="D4" i="240"/>
  <c r="C11" i="239"/>
  <c r="B11" i="239"/>
  <c r="E10" i="239"/>
  <c r="D9" i="239"/>
  <c r="D8" i="239"/>
  <c r="D7" i="239"/>
  <c r="D6" i="239"/>
  <c r="D5" i="239"/>
  <c r="D4" i="239"/>
  <c r="F4" i="239" s="1"/>
  <c r="B11" i="238"/>
  <c r="G13" i="236"/>
  <c r="F13" i="236"/>
  <c r="E13" i="236"/>
  <c r="D13" i="236"/>
  <c r="C13" i="236"/>
  <c r="B13" i="236"/>
  <c r="I12" i="236"/>
  <c r="I11" i="236"/>
  <c r="I10" i="236"/>
  <c r="I9" i="236"/>
  <c r="I8" i="236"/>
  <c r="I7" i="236"/>
  <c r="I6" i="236"/>
  <c r="I5" i="236"/>
  <c r="I4" i="236"/>
  <c r="G12" i="235"/>
  <c r="F12" i="235"/>
  <c r="E12" i="235"/>
  <c r="D12" i="235"/>
  <c r="C12" i="235"/>
  <c r="B12" i="235"/>
  <c r="I11" i="235"/>
  <c r="I10" i="235"/>
  <c r="I9" i="235"/>
  <c r="I8" i="235"/>
  <c r="I7" i="235"/>
  <c r="I6" i="235"/>
  <c r="I5" i="235"/>
  <c r="I4" i="235"/>
  <c r="D11" i="233"/>
  <c r="B11" i="233"/>
  <c r="H9" i="233"/>
  <c r="M9" i="233" s="1"/>
  <c r="H8" i="233"/>
  <c r="L8" i="233" s="1"/>
  <c r="H7" i="233"/>
  <c r="I7" i="233" s="1"/>
  <c r="H6" i="233"/>
  <c r="J6" i="233" s="1"/>
  <c r="H5" i="233"/>
  <c r="M5" i="233" s="1"/>
  <c r="H4" i="233"/>
  <c r="M4" i="233" s="1"/>
  <c r="G11" i="232"/>
  <c r="F11" i="232"/>
  <c r="E11" i="232"/>
  <c r="C11" i="232"/>
  <c r="H9" i="232"/>
  <c r="H8" i="232"/>
  <c r="N8" i="232" s="1"/>
  <c r="H7" i="232"/>
  <c r="M7" i="232" s="1"/>
  <c r="H6" i="232"/>
  <c r="J6" i="232" s="1"/>
  <c r="H5" i="232"/>
  <c r="H4" i="232"/>
  <c r="J4" i="232" s="1"/>
  <c r="AJ18" i="231"/>
  <c r="AI11" i="231"/>
  <c r="D11" i="231"/>
  <c r="C11" i="231"/>
  <c r="B11" i="231"/>
  <c r="F9" i="231"/>
  <c r="H9" i="231" s="1"/>
  <c r="F8" i="231"/>
  <c r="H8" i="231" s="1"/>
  <c r="AI7" i="231"/>
  <c r="F7" i="231"/>
  <c r="AI6" i="231"/>
  <c r="F6" i="231"/>
  <c r="I6" i="231" s="1"/>
  <c r="AI5" i="231"/>
  <c r="F5" i="231"/>
  <c r="H5" i="231" s="1"/>
  <c r="F4" i="231"/>
  <c r="C11" i="229"/>
  <c r="B11" i="229"/>
  <c r="D9" i="229"/>
  <c r="E9" i="229" s="1"/>
  <c r="D8" i="229"/>
  <c r="F8" i="229" s="1"/>
  <c r="D7" i="229"/>
  <c r="D6" i="229"/>
  <c r="D5" i="229"/>
  <c r="D4" i="229"/>
  <c r="B11" i="230"/>
  <c r="P10" i="227"/>
  <c r="O10" i="227"/>
  <c r="G10" i="227"/>
  <c r="F10" i="227"/>
  <c r="E10" i="227"/>
  <c r="D10" i="227"/>
  <c r="R10" i="227" s="1"/>
  <c r="C10" i="227"/>
  <c r="T9" i="227"/>
  <c r="S9" i="227"/>
  <c r="R9" i="227"/>
  <c r="Q9" i="227"/>
  <c r="P9" i="227"/>
  <c r="O9" i="227"/>
  <c r="G9" i="227"/>
  <c r="U9" i="227" s="1"/>
  <c r="T8" i="227"/>
  <c r="S8" i="227"/>
  <c r="R8" i="227"/>
  <c r="Q8" i="227"/>
  <c r="P8" i="227"/>
  <c r="O8" i="227"/>
  <c r="G8" i="227"/>
  <c r="T7" i="227"/>
  <c r="S7" i="227"/>
  <c r="R7" i="227"/>
  <c r="Q7" i="227"/>
  <c r="P7" i="227"/>
  <c r="O7" i="227"/>
  <c r="G7" i="227"/>
  <c r="T6" i="227"/>
  <c r="S6" i="227"/>
  <c r="R6" i="227"/>
  <c r="Q6" i="227"/>
  <c r="P6" i="227"/>
  <c r="O6" i="227"/>
  <c r="G6" i="227"/>
  <c r="T5" i="227"/>
  <c r="S5" i="227"/>
  <c r="R5" i="227"/>
  <c r="Q5" i="227"/>
  <c r="P5" i="227"/>
  <c r="O5" i="227"/>
  <c r="G5" i="227"/>
  <c r="T4" i="227"/>
  <c r="S4" i="227"/>
  <c r="R4" i="227"/>
  <c r="Q4" i="227"/>
  <c r="P4" i="227"/>
  <c r="O4" i="227"/>
  <c r="G4" i="227"/>
  <c r="U4" i="227" s="1"/>
  <c r="I11" i="225"/>
  <c r="K10" i="225"/>
  <c r="J10" i="225"/>
  <c r="I10" i="225"/>
  <c r="D10" i="225"/>
  <c r="F10" i="225" s="1"/>
  <c r="K9" i="225"/>
  <c r="I9" i="225"/>
  <c r="B9" i="225"/>
  <c r="J9" i="225" s="1"/>
  <c r="K8" i="225"/>
  <c r="J8" i="225"/>
  <c r="I8" i="225"/>
  <c r="D8" i="225"/>
  <c r="K7" i="225"/>
  <c r="J7" i="225"/>
  <c r="I7" i="225"/>
  <c r="D7" i="225"/>
  <c r="K6" i="225"/>
  <c r="J6" i="225"/>
  <c r="I6" i="225"/>
  <c r="D6" i="225"/>
  <c r="K5" i="225"/>
  <c r="J5" i="225"/>
  <c r="I5" i="225"/>
  <c r="D5" i="225"/>
  <c r="F5" i="225" s="1"/>
  <c r="K4" i="225"/>
  <c r="J4" i="225"/>
  <c r="I4" i="225"/>
  <c r="D4" i="225"/>
  <c r="B14" i="223"/>
  <c r="K13" i="223"/>
  <c r="G13" i="223"/>
  <c r="I13" i="223" s="1"/>
  <c r="D13" i="223"/>
  <c r="K12" i="223"/>
  <c r="G12" i="223"/>
  <c r="J12" i="223" s="1"/>
  <c r="D12" i="223"/>
  <c r="K11" i="223"/>
  <c r="G11" i="223"/>
  <c r="D11" i="223"/>
  <c r="K10" i="223"/>
  <c r="J10" i="223"/>
  <c r="I10" i="223"/>
  <c r="D10" i="223"/>
  <c r="K9" i="223"/>
  <c r="J9" i="223"/>
  <c r="I9" i="223"/>
  <c r="D9" i="223"/>
  <c r="K8" i="223"/>
  <c r="J8" i="223"/>
  <c r="I8" i="223"/>
  <c r="D8" i="223"/>
  <c r="E8" i="223" s="1"/>
  <c r="K7" i="223"/>
  <c r="G7" i="223"/>
  <c r="D7" i="223"/>
  <c r="F7" i="223" s="1"/>
  <c r="D6" i="223"/>
  <c r="D5" i="223"/>
  <c r="D4" i="223"/>
  <c r="E4" i="223" s="1"/>
  <c r="B15" i="228"/>
  <c r="E15" i="228"/>
  <c r="D15" i="228"/>
  <c r="C15" i="228"/>
  <c r="G13" i="228"/>
  <c r="J13" i="228" s="1"/>
  <c r="G12" i="228"/>
  <c r="L12" i="228" s="1"/>
  <c r="G11" i="228"/>
  <c r="G10" i="228"/>
  <c r="L10" i="228" s="1"/>
  <c r="G9" i="228"/>
  <c r="I9" i="228" s="1"/>
  <c r="G8" i="228"/>
  <c r="G7" i="228"/>
  <c r="J7" i="228" s="1"/>
  <c r="G6" i="228"/>
  <c r="G5" i="228"/>
  <c r="I5" i="228" s="1"/>
  <c r="G4" i="228"/>
  <c r="B15" i="226"/>
  <c r="E11" i="227"/>
  <c r="B11" i="227"/>
  <c r="P11" i="227" s="1"/>
  <c r="H13" i="226"/>
  <c r="H12" i="226"/>
  <c r="K12" i="226" s="1"/>
  <c r="H11" i="226"/>
  <c r="H10" i="226"/>
  <c r="K10" i="226" s="1"/>
  <c r="H9" i="226"/>
  <c r="H8" i="226"/>
  <c r="L8" i="226" s="1"/>
  <c r="H7" i="226"/>
  <c r="H6" i="226"/>
  <c r="L6" i="226" s="1"/>
  <c r="H5" i="226"/>
  <c r="H4" i="226"/>
  <c r="K4" i="226" s="1"/>
  <c r="C11" i="225"/>
  <c r="D13" i="224"/>
  <c r="F13" i="224" s="1"/>
  <c r="D12" i="224"/>
  <c r="F12" i="224" s="1"/>
  <c r="D11" i="224"/>
  <c r="D10" i="224"/>
  <c r="E10" i="224" s="1"/>
  <c r="D9" i="224"/>
  <c r="D8" i="224"/>
  <c r="D7" i="224"/>
  <c r="D6" i="224"/>
  <c r="D5" i="224"/>
  <c r="E5" i="224" s="1"/>
  <c r="D4" i="224"/>
  <c r="F4" i="224" s="1"/>
  <c r="D15" i="222"/>
  <c r="B15" i="222"/>
  <c r="E13" i="222"/>
  <c r="E12" i="222"/>
  <c r="E11" i="222"/>
  <c r="E10" i="222"/>
  <c r="E9" i="222"/>
  <c r="E8" i="222"/>
  <c r="E7" i="222"/>
  <c r="G7" i="222" s="1"/>
  <c r="E6" i="222"/>
  <c r="F6" i="222" s="1"/>
  <c r="E5" i="222"/>
  <c r="F5" i="222" s="1"/>
  <c r="E4" i="222"/>
  <c r="G4" i="222" s="1"/>
  <c r="D15" i="219"/>
  <c r="B15" i="219"/>
  <c r="E13" i="219"/>
  <c r="F13" i="219" s="1"/>
  <c r="E12" i="219"/>
  <c r="E11" i="219"/>
  <c r="E10" i="219"/>
  <c r="H10" i="219" s="1"/>
  <c r="E9" i="219"/>
  <c r="E8" i="219"/>
  <c r="G8" i="219" s="1"/>
  <c r="E7" i="219"/>
  <c r="H7" i="219" s="1"/>
  <c r="E6" i="219"/>
  <c r="G6" i="219" s="1"/>
  <c r="E5" i="219"/>
  <c r="E4" i="219"/>
  <c r="J15" i="217"/>
  <c r="H15" i="217"/>
  <c r="E15" i="217"/>
  <c r="F15" i="217"/>
  <c r="C15" i="217"/>
  <c r="K13" i="217"/>
  <c r="R13" i="217" s="1"/>
  <c r="K12" i="217"/>
  <c r="T12" i="217" s="1"/>
  <c r="K11" i="217"/>
  <c r="N11" i="217" s="1"/>
  <c r="K10" i="217"/>
  <c r="O10" i="217" s="1"/>
  <c r="K9" i="217"/>
  <c r="M9" i="217" s="1"/>
  <c r="K8" i="217"/>
  <c r="K7" i="217"/>
  <c r="K6" i="217"/>
  <c r="O6" i="217" s="1"/>
  <c r="K5" i="217"/>
  <c r="P5" i="217" s="1"/>
  <c r="K4" i="217"/>
  <c r="D14" i="215"/>
  <c r="D13" i="215"/>
  <c r="D12" i="215"/>
  <c r="C12" i="389" s="1"/>
  <c r="E12" i="389" s="1"/>
  <c r="D11" i="215"/>
  <c r="C11" i="389" s="1"/>
  <c r="D10" i="215"/>
  <c r="C10" i="389" s="1"/>
  <c r="D10" i="389" s="1"/>
  <c r="D9" i="215"/>
  <c r="C9" i="389" s="1"/>
  <c r="D8" i="215"/>
  <c r="C8" i="389" s="1"/>
  <c r="D7" i="215"/>
  <c r="C7" i="389" s="1"/>
  <c r="E7" i="389" s="1"/>
  <c r="D6" i="215"/>
  <c r="C6" i="389" s="1"/>
  <c r="E6" i="389" s="1"/>
  <c r="D5" i="215"/>
  <c r="C5" i="389" s="1"/>
  <c r="D4" i="215"/>
  <c r="C4" i="389" s="1"/>
  <c r="G17" i="282"/>
  <c r="G15" i="282"/>
  <c r="F14" i="282"/>
  <c r="G12" i="282"/>
  <c r="G9" i="282"/>
  <c r="G8" i="282"/>
  <c r="F6" i="282"/>
  <c r="G7" i="396"/>
  <c r="F7" i="396"/>
  <c r="E7" i="396"/>
  <c r="D7" i="396"/>
  <c r="C7" i="396"/>
  <c r="H7" i="397"/>
  <c r="G7" i="397"/>
  <c r="F7" i="397"/>
  <c r="E7" i="397"/>
  <c r="D7" i="397"/>
  <c r="C7" i="397"/>
  <c r="B7" i="397"/>
  <c r="H8" i="79"/>
  <c r="C8" i="79" s="1"/>
  <c r="H7" i="79"/>
  <c r="H6" i="79"/>
  <c r="C6" i="79" s="1"/>
  <c r="H5" i="79"/>
  <c r="E5" i="79" s="1"/>
  <c r="E12" i="78"/>
  <c r="C12" i="78"/>
  <c r="E10" i="78"/>
  <c r="C10" i="78"/>
  <c r="G8" i="78"/>
  <c r="E7" i="78"/>
  <c r="E6" i="78"/>
  <c r="G5" i="78"/>
  <c r="E5" i="78"/>
  <c r="C5" i="78"/>
  <c r="D17" i="395"/>
  <c r="D16" i="395"/>
  <c r="D15" i="395"/>
  <c r="D14" i="395"/>
  <c r="D13" i="395"/>
  <c r="D12" i="395"/>
  <c r="D11" i="395"/>
  <c r="D10" i="395"/>
  <c r="D9" i="395"/>
  <c r="D8" i="395"/>
  <c r="D7" i="395"/>
  <c r="D6" i="395"/>
  <c r="D5" i="395"/>
  <c r="E15" i="283"/>
  <c r="E14" i="283"/>
  <c r="C14" i="283"/>
  <c r="E13" i="283"/>
  <c r="C13" i="283"/>
  <c r="E12" i="283"/>
  <c r="C12" i="283"/>
  <c r="E11" i="283"/>
  <c r="C11" i="283"/>
  <c r="E10" i="283"/>
  <c r="C10" i="283"/>
  <c r="E9" i="283"/>
  <c r="C9" i="283"/>
  <c r="E8" i="283"/>
  <c r="C8" i="283"/>
  <c r="E7" i="283"/>
  <c r="E6" i="283"/>
  <c r="E5" i="283"/>
  <c r="E4" i="283"/>
  <c r="I17" i="444"/>
  <c r="F17" i="444"/>
  <c r="E17" i="444"/>
  <c r="B17" i="444"/>
  <c r="K16" i="444"/>
  <c r="K15" i="444"/>
  <c r="K14" i="444"/>
  <c r="K13" i="444"/>
  <c r="K12" i="444"/>
  <c r="K11" i="444"/>
  <c r="K10" i="444"/>
  <c r="K9" i="444"/>
  <c r="D8" i="444"/>
  <c r="K7" i="444"/>
  <c r="K6" i="444"/>
  <c r="K5" i="444"/>
  <c r="E17" i="448"/>
  <c r="C16" i="445"/>
  <c r="B16" i="445"/>
  <c r="H15" i="445"/>
  <c r="H13" i="445"/>
  <c r="H12" i="445"/>
  <c r="H11" i="445"/>
  <c r="H10" i="445"/>
  <c r="H9" i="445"/>
  <c r="H8" i="445"/>
  <c r="H7" i="445"/>
  <c r="H6" i="445"/>
  <c r="H5" i="445"/>
  <c r="E17" i="401"/>
  <c r="D17" i="401"/>
  <c r="C17" i="401"/>
  <c r="B17" i="401"/>
  <c r="F16" i="401"/>
  <c r="F15" i="401"/>
  <c r="F14" i="401"/>
  <c r="F13" i="401"/>
  <c r="F12" i="401"/>
  <c r="F11" i="401"/>
  <c r="F10" i="401"/>
  <c r="F9" i="401"/>
  <c r="F8" i="401"/>
  <c r="F7" i="401"/>
  <c r="F6" i="401"/>
  <c r="F4" i="401"/>
  <c r="B13" i="389"/>
  <c r="F8" i="387"/>
  <c r="F7" i="387"/>
  <c r="F6" i="387"/>
  <c r="F5" i="387"/>
  <c r="AO20" i="386"/>
  <c r="AQ19" i="386"/>
  <c r="AQ18" i="386"/>
  <c r="E44" i="386"/>
  <c r="D44" i="386"/>
  <c r="F18" i="386"/>
  <c r="D18" i="386"/>
  <c r="AQ17" i="386"/>
  <c r="E43" i="386"/>
  <c r="D43" i="386"/>
  <c r="B17" i="386"/>
  <c r="E17" i="386" s="1"/>
  <c r="AQ16" i="386"/>
  <c r="E42" i="386"/>
  <c r="D42" i="386"/>
  <c r="B16" i="386"/>
  <c r="AQ15" i="386"/>
  <c r="E41" i="386"/>
  <c r="D41" i="386"/>
  <c r="B15" i="386"/>
  <c r="E15" i="386" s="1"/>
  <c r="AQ14" i="386"/>
  <c r="E40" i="386"/>
  <c r="D40" i="386"/>
  <c r="B14" i="386"/>
  <c r="G14" i="386" s="1"/>
  <c r="AQ13" i="386"/>
  <c r="E39" i="386"/>
  <c r="D39" i="386"/>
  <c r="B13" i="386"/>
  <c r="E13" i="386" s="1"/>
  <c r="AQ12" i="386"/>
  <c r="E38" i="386"/>
  <c r="D38" i="386"/>
  <c r="B12" i="386"/>
  <c r="AQ11" i="386"/>
  <c r="E37" i="386"/>
  <c r="D37" i="386"/>
  <c r="B11" i="386"/>
  <c r="E11" i="386" s="1"/>
  <c r="AQ10" i="386"/>
  <c r="E36" i="386"/>
  <c r="D36" i="386"/>
  <c r="B10" i="386"/>
  <c r="G10" i="386" s="1"/>
  <c r="AQ9" i="386"/>
  <c r="E35" i="386"/>
  <c r="D35" i="386"/>
  <c r="B9" i="386"/>
  <c r="E9" i="386" s="1"/>
  <c r="AQ8" i="386"/>
  <c r="E34" i="386"/>
  <c r="D34" i="386"/>
  <c r="B8" i="386"/>
  <c r="AQ7" i="386"/>
  <c r="E33" i="386"/>
  <c r="D33" i="386"/>
  <c r="B7" i="386"/>
  <c r="AP6" i="386"/>
  <c r="E32" i="386"/>
  <c r="D32" i="386"/>
  <c r="B6" i="386"/>
  <c r="AP5" i="386"/>
  <c r="E31" i="386"/>
  <c r="D31" i="386"/>
  <c r="B5" i="386"/>
  <c r="G5" i="386" s="1"/>
  <c r="E30" i="386"/>
  <c r="D30" i="386"/>
  <c r="B4" i="386"/>
  <c r="B3" i="386"/>
  <c r="F11" i="385"/>
  <c r="F10" i="385"/>
  <c r="F9" i="385"/>
  <c r="C9" i="385"/>
  <c r="F8" i="385"/>
  <c r="C8" i="385"/>
  <c r="F7" i="385"/>
  <c r="C7" i="385"/>
  <c r="F6" i="385"/>
  <c r="C6" i="385"/>
  <c r="F5" i="385"/>
  <c r="C5" i="385"/>
  <c r="F4" i="385"/>
  <c r="G13" i="446"/>
  <c r="G29" i="446"/>
  <c r="G5" i="446"/>
  <c r="G6" i="446"/>
  <c r="G8" i="446"/>
  <c r="G10" i="446"/>
  <c r="G19" i="446"/>
  <c r="G28" i="446"/>
  <c r="G3" i="446"/>
  <c r="G32" i="446"/>
  <c r="G35" i="446"/>
  <c r="G25" i="446"/>
  <c r="G30" i="446"/>
  <c r="G15" i="446"/>
  <c r="G17" i="446"/>
  <c r="G18" i="446"/>
  <c r="G4" i="446"/>
  <c r="G20" i="446"/>
  <c r="G33" i="446"/>
  <c r="G16" i="446"/>
  <c r="G27" i="446"/>
  <c r="O17" i="384"/>
  <c r="N17" i="384"/>
  <c r="J17" i="384"/>
  <c r="I17" i="384"/>
  <c r="H17" i="384"/>
  <c r="G17" i="384"/>
  <c r="O15" i="384"/>
  <c r="M15" i="384"/>
  <c r="L15" i="384"/>
  <c r="J15" i="384"/>
  <c r="F15" i="384"/>
  <c r="D15" i="384"/>
  <c r="C15" i="384"/>
  <c r="B15" i="384"/>
  <c r="O14" i="384"/>
  <c r="L14" i="384"/>
  <c r="F14" i="384"/>
  <c r="D14" i="384"/>
  <c r="C14" i="384"/>
  <c r="B14" i="384"/>
  <c r="A14" i="384"/>
  <c r="O13" i="384"/>
  <c r="N13" i="384"/>
  <c r="M13" i="384"/>
  <c r="L13" i="384"/>
  <c r="J13" i="384"/>
  <c r="I13" i="384"/>
  <c r="H13" i="384"/>
  <c r="G13" i="384"/>
  <c r="F13" i="384"/>
  <c r="E13" i="384"/>
  <c r="D13" i="384"/>
  <c r="C13" i="384"/>
  <c r="B13" i="384"/>
  <c r="O12" i="384"/>
  <c r="N12" i="384"/>
  <c r="M12" i="384"/>
  <c r="L12" i="384"/>
  <c r="J12" i="384"/>
  <c r="I12" i="384"/>
  <c r="H12" i="384"/>
  <c r="G12" i="384"/>
  <c r="F12" i="384"/>
  <c r="E12" i="384"/>
  <c r="D12" i="384"/>
  <c r="C12" i="384"/>
  <c r="B12" i="384"/>
  <c r="O11" i="384"/>
  <c r="N11" i="384"/>
  <c r="M11" i="384"/>
  <c r="L11" i="384"/>
  <c r="J11" i="384"/>
  <c r="I11" i="384"/>
  <c r="H11" i="384"/>
  <c r="G11" i="384"/>
  <c r="F11" i="384"/>
  <c r="E11" i="384"/>
  <c r="D11" i="384"/>
  <c r="C11" i="384"/>
  <c r="B11" i="384"/>
  <c r="O10" i="384"/>
  <c r="N10" i="384"/>
  <c r="M10" i="384"/>
  <c r="L10" i="384"/>
  <c r="J10" i="384"/>
  <c r="I10" i="384"/>
  <c r="H10" i="384"/>
  <c r="G10" i="384"/>
  <c r="F10" i="384"/>
  <c r="E10" i="384"/>
  <c r="D10" i="384"/>
  <c r="C10" i="384"/>
  <c r="B10" i="384"/>
  <c r="O9" i="384"/>
  <c r="N9" i="384"/>
  <c r="M9" i="384"/>
  <c r="L9" i="384"/>
  <c r="J9" i="384"/>
  <c r="I9" i="384"/>
  <c r="H9" i="384"/>
  <c r="G9" i="384"/>
  <c r="F9" i="384"/>
  <c r="E9" i="384"/>
  <c r="D9" i="384"/>
  <c r="C9" i="384"/>
  <c r="B9" i="384"/>
  <c r="O8" i="384"/>
  <c r="N8" i="384"/>
  <c r="M8" i="384"/>
  <c r="L8" i="384"/>
  <c r="J8" i="384"/>
  <c r="I8" i="384"/>
  <c r="H8" i="384"/>
  <c r="G8" i="384"/>
  <c r="F8" i="384"/>
  <c r="E8" i="384"/>
  <c r="D8" i="384"/>
  <c r="C8" i="384"/>
  <c r="B8" i="384"/>
  <c r="O7" i="384"/>
  <c r="N7" i="384"/>
  <c r="M7" i="384"/>
  <c r="L7" i="384"/>
  <c r="J7" i="384"/>
  <c r="I7" i="384"/>
  <c r="H7" i="384"/>
  <c r="G7" i="384"/>
  <c r="F7" i="384"/>
  <c r="E7" i="384"/>
  <c r="D7" i="384"/>
  <c r="C7" i="384"/>
  <c r="B7" i="384"/>
  <c r="O6" i="384"/>
  <c r="N6" i="384"/>
  <c r="M6" i="384"/>
  <c r="L6" i="384"/>
  <c r="J6" i="384"/>
  <c r="I6" i="384"/>
  <c r="H6" i="384"/>
  <c r="G6" i="384"/>
  <c r="F6" i="384"/>
  <c r="E6" i="384"/>
  <c r="D6" i="384"/>
  <c r="C6" i="384"/>
  <c r="B6" i="384"/>
  <c r="O5" i="384"/>
  <c r="N5" i="384"/>
  <c r="M5" i="384"/>
  <c r="L5" i="384"/>
  <c r="J5" i="384"/>
  <c r="I5" i="384"/>
  <c r="H5" i="384"/>
  <c r="G5" i="384"/>
  <c r="F5" i="384"/>
  <c r="E5" i="384"/>
  <c r="D5" i="384"/>
  <c r="C5" i="384"/>
  <c r="B5" i="384"/>
  <c r="O16" i="383"/>
  <c r="N16" i="383"/>
  <c r="L16" i="383"/>
  <c r="J16" i="383"/>
  <c r="I16" i="383"/>
  <c r="F16" i="383"/>
  <c r="D16" i="383"/>
  <c r="C16" i="383"/>
  <c r="B16" i="383"/>
  <c r="P15" i="383"/>
  <c r="E16" i="383"/>
  <c r="M14" i="383"/>
  <c r="M16" i="383" s="1"/>
  <c r="H14" i="383"/>
  <c r="K14" i="383" s="1"/>
  <c r="A14" i="383"/>
  <c r="P13" i="383"/>
  <c r="K13" i="383"/>
  <c r="P12" i="383"/>
  <c r="K12" i="383"/>
  <c r="P11" i="383"/>
  <c r="K11" i="383"/>
  <c r="P10" i="383"/>
  <c r="K10" i="383"/>
  <c r="P9" i="383"/>
  <c r="K9" i="383"/>
  <c r="P8" i="383"/>
  <c r="K8" i="383"/>
  <c r="P7" i="383"/>
  <c r="K7" i="383"/>
  <c r="P6" i="383"/>
  <c r="K6" i="383"/>
  <c r="P5" i="383"/>
  <c r="K5" i="383"/>
  <c r="O16" i="382"/>
  <c r="M16" i="382"/>
  <c r="L16" i="382"/>
  <c r="F16" i="382"/>
  <c r="D16" i="382"/>
  <c r="C16" i="382"/>
  <c r="B16" i="382"/>
  <c r="I15" i="384"/>
  <c r="H15" i="384"/>
  <c r="N14" i="382"/>
  <c r="J14" i="382"/>
  <c r="J14" i="384" s="1"/>
  <c r="I14" i="382"/>
  <c r="H14" i="382"/>
  <c r="H16" i="382" s="1"/>
  <c r="G14" i="382"/>
  <c r="G14" i="384" s="1"/>
  <c r="E14" i="382"/>
  <c r="E16" i="382" s="1"/>
  <c r="P13" i="382"/>
  <c r="K13" i="382"/>
  <c r="P12" i="382"/>
  <c r="K12" i="382"/>
  <c r="P11" i="382"/>
  <c r="K11" i="382"/>
  <c r="P10" i="382"/>
  <c r="K10" i="382"/>
  <c r="P9" i="382"/>
  <c r="K9" i="382"/>
  <c r="P8" i="382"/>
  <c r="K8" i="382"/>
  <c r="P7" i="382"/>
  <c r="K7" i="382"/>
  <c r="P6" i="382"/>
  <c r="K6" i="382"/>
  <c r="P5" i="382"/>
  <c r="K5" i="382"/>
  <c r="C37" i="380"/>
  <c r="B37" i="380"/>
  <c r="C36" i="380"/>
  <c r="B36" i="380"/>
  <c r="D18" i="380"/>
  <c r="C35" i="380"/>
  <c r="B35" i="380"/>
  <c r="G17" i="380"/>
  <c r="D17" i="380"/>
  <c r="C34" i="380"/>
  <c r="B34" i="380"/>
  <c r="G16" i="380"/>
  <c r="D16" i="380"/>
  <c r="C33" i="380"/>
  <c r="B33" i="380"/>
  <c r="G15" i="380"/>
  <c r="D15" i="380"/>
  <c r="C32" i="380"/>
  <c r="B32" i="380"/>
  <c r="G14" i="380"/>
  <c r="D14" i="380"/>
  <c r="C31" i="380"/>
  <c r="B31" i="380"/>
  <c r="G13" i="380"/>
  <c r="D13" i="380"/>
  <c r="C30" i="380"/>
  <c r="B30" i="380"/>
  <c r="G12" i="380"/>
  <c r="D12" i="380"/>
  <c r="C29" i="380"/>
  <c r="B29" i="380"/>
  <c r="G11" i="380"/>
  <c r="D11" i="380"/>
  <c r="C28" i="380"/>
  <c r="B28" i="380"/>
  <c r="G10" i="380"/>
  <c r="D10" i="380"/>
  <c r="C27" i="380"/>
  <c r="B27" i="380"/>
  <c r="G9" i="380"/>
  <c r="D9" i="380"/>
  <c r="C26" i="380"/>
  <c r="B26" i="380"/>
  <c r="G8" i="380"/>
  <c r="C25" i="380"/>
  <c r="B25" i="380"/>
  <c r="G7" i="380"/>
  <c r="D7" i="380"/>
  <c r="G6" i="380"/>
  <c r="D6" i="380"/>
  <c r="I28" i="380"/>
  <c r="E34" i="380" s="1"/>
  <c r="M16" i="379"/>
  <c r="L16" i="379"/>
  <c r="G16" i="379"/>
  <c r="M14" i="379"/>
  <c r="L14" i="379"/>
  <c r="G14" i="379"/>
  <c r="K14" i="379" s="1"/>
  <c r="B14" i="379"/>
  <c r="E14" i="379" s="1"/>
  <c r="M13" i="379"/>
  <c r="L13" i="379"/>
  <c r="G13" i="379"/>
  <c r="K13" i="379" s="1"/>
  <c r="B13" i="379"/>
  <c r="E13" i="379" s="1"/>
  <c r="M12" i="379"/>
  <c r="L12" i="379"/>
  <c r="G12" i="379"/>
  <c r="J12" i="379" s="1"/>
  <c r="B12" i="379"/>
  <c r="M11" i="379"/>
  <c r="L11" i="379"/>
  <c r="K11" i="379"/>
  <c r="J11" i="379"/>
  <c r="B11" i="379"/>
  <c r="F11" i="379" s="1"/>
  <c r="M10" i="379"/>
  <c r="L10" i="379"/>
  <c r="K10" i="379"/>
  <c r="J10" i="379"/>
  <c r="B10" i="379"/>
  <c r="E10" i="379" s="1"/>
  <c r="M9" i="379"/>
  <c r="L9" i="379"/>
  <c r="K9" i="379"/>
  <c r="J9" i="379"/>
  <c r="B9" i="379"/>
  <c r="E9" i="379" s="1"/>
  <c r="M8" i="379"/>
  <c r="L8" i="379"/>
  <c r="K8" i="379"/>
  <c r="J8" i="379"/>
  <c r="B8" i="379"/>
  <c r="F8" i="379" s="1"/>
  <c r="M7" i="379"/>
  <c r="L7" i="379"/>
  <c r="K7" i="379"/>
  <c r="J7" i="379"/>
  <c r="B7" i="379"/>
  <c r="M6" i="379"/>
  <c r="L6" i="379"/>
  <c r="K6" i="379"/>
  <c r="J6" i="379"/>
  <c r="B6" i="379"/>
  <c r="M5" i="379"/>
  <c r="L5" i="379"/>
  <c r="K5" i="379"/>
  <c r="J5" i="379"/>
  <c r="B5" i="379"/>
  <c r="M4" i="379"/>
  <c r="L4" i="379"/>
  <c r="K4" i="379"/>
  <c r="J4" i="379"/>
  <c r="B4" i="379"/>
  <c r="H5" i="274"/>
  <c r="B14" i="273"/>
  <c r="B14" i="272"/>
  <c r="E14" i="374"/>
  <c r="E13" i="374"/>
  <c r="E12" i="374"/>
  <c r="E11" i="374"/>
  <c r="E10" i="374"/>
  <c r="E9" i="374"/>
  <c r="E8" i="374"/>
  <c r="E7" i="374"/>
  <c r="E6" i="374"/>
  <c r="E5" i="374"/>
  <c r="E4" i="374"/>
  <c r="E3" i="374"/>
  <c r="D13" i="375"/>
  <c r="D7" i="375"/>
  <c r="D6" i="375"/>
  <c r="D5" i="375"/>
  <c r="D4" i="375"/>
  <c r="D16" i="407"/>
  <c r="D15" i="407"/>
  <c r="D14" i="407"/>
  <c r="D13" i="407"/>
  <c r="D12" i="407"/>
  <c r="D11" i="407"/>
  <c r="D10" i="407"/>
  <c r="D9" i="407"/>
  <c r="D8" i="407"/>
  <c r="D7" i="407"/>
  <c r="D6" i="407"/>
  <c r="D5" i="407"/>
  <c r="D4" i="407"/>
  <c r="B10" i="377"/>
  <c r="B9" i="377"/>
  <c r="B8" i="377"/>
  <c r="B7" i="377"/>
  <c r="B6" i="377"/>
  <c r="B5" i="377"/>
  <c r="B4" i="377"/>
  <c r="D15" i="61"/>
  <c r="D14" i="61"/>
  <c r="D13" i="61"/>
  <c r="D12" i="61"/>
  <c r="D11" i="61"/>
  <c r="D10" i="61"/>
  <c r="D9" i="61"/>
  <c r="D8" i="61"/>
  <c r="D7" i="61"/>
  <c r="D6" i="61"/>
  <c r="D5" i="61"/>
  <c r="G35" i="435"/>
  <c r="D35" i="435"/>
  <c r="G34" i="435"/>
  <c r="D34" i="435"/>
  <c r="G33" i="435"/>
  <c r="D33" i="435"/>
  <c r="G32" i="435"/>
  <c r="D32" i="435"/>
  <c r="G31" i="435"/>
  <c r="D31" i="435"/>
  <c r="G30" i="435"/>
  <c r="D30" i="435"/>
  <c r="G29" i="435"/>
  <c r="D29" i="435"/>
  <c r="G28" i="435"/>
  <c r="D28" i="435"/>
  <c r="G27" i="435"/>
  <c r="D27" i="435"/>
  <c r="E26" i="435"/>
  <c r="C26" i="435"/>
  <c r="F26" i="435" s="1"/>
  <c r="E25" i="435"/>
  <c r="C25" i="435"/>
  <c r="F25" i="435" s="1"/>
  <c r="E24" i="435"/>
  <c r="C24" i="435"/>
  <c r="F24" i="435" s="1"/>
  <c r="E23" i="435"/>
  <c r="F23" i="435" s="1"/>
  <c r="C23" i="435"/>
  <c r="E22" i="435"/>
  <c r="F22" i="435" s="1"/>
  <c r="C22" i="435"/>
  <c r="E21" i="435"/>
  <c r="F21" i="435" s="1"/>
  <c r="C21" i="435"/>
  <c r="E20" i="435"/>
  <c r="F20" i="435" s="1"/>
  <c r="C20" i="435"/>
  <c r="E19" i="435"/>
  <c r="F19" i="435" s="1"/>
  <c r="C19" i="435"/>
  <c r="E18" i="435"/>
  <c r="F18" i="435" s="1"/>
  <c r="C18" i="435"/>
  <c r="E17" i="435"/>
  <c r="F17" i="435" s="1"/>
  <c r="C17" i="435"/>
  <c r="E16" i="435"/>
  <c r="F16" i="435" s="1"/>
  <c r="C16" i="435"/>
  <c r="C15" i="435"/>
  <c r="E15" i="435" s="1"/>
  <c r="F15" i="435" s="1"/>
  <c r="C14" i="435"/>
  <c r="E14" i="435" s="1"/>
  <c r="F14" i="435" s="1"/>
  <c r="C13" i="435"/>
  <c r="E13" i="435" s="1"/>
  <c r="F13" i="435" s="1"/>
  <c r="C12" i="435"/>
  <c r="E12" i="435" s="1"/>
  <c r="F12" i="435" s="1"/>
  <c r="C11" i="435"/>
  <c r="B11" i="435"/>
  <c r="C10" i="435"/>
  <c r="E10" i="435" s="1"/>
  <c r="F10" i="435" s="1"/>
  <c r="C9" i="435"/>
  <c r="E9" i="435" s="1"/>
  <c r="F9" i="435" s="1"/>
  <c r="C8" i="435"/>
  <c r="E8" i="435" s="1"/>
  <c r="F8" i="435" s="1"/>
  <c r="C7" i="435"/>
  <c r="E7" i="435" s="1"/>
  <c r="F7" i="435" s="1"/>
  <c r="C6" i="435"/>
  <c r="E6" i="435" s="1"/>
  <c r="F6" i="435" s="1"/>
  <c r="C5" i="435"/>
  <c r="E5" i="435" s="1"/>
  <c r="F5" i="435" s="1"/>
  <c r="E14" i="431"/>
  <c r="D14" i="431"/>
  <c r="E13" i="431"/>
  <c r="D13" i="431"/>
  <c r="E12" i="431"/>
  <c r="D12" i="431"/>
  <c r="E11" i="431"/>
  <c r="D11" i="431"/>
  <c r="E10" i="431"/>
  <c r="D10" i="431"/>
  <c r="E9" i="431"/>
  <c r="D9" i="431"/>
  <c r="E8" i="431"/>
  <c r="D8" i="431"/>
  <c r="E7" i="431"/>
  <c r="D7" i="431"/>
  <c r="E6" i="431"/>
  <c r="D6" i="431"/>
  <c r="E5" i="431"/>
  <c r="D5" i="431"/>
  <c r="G14" i="342"/>
  <c r="D14" i="342"/>
  <c r="E14" i="342" s="1"/>
  <c r="G13" i="342"/>
  <c r="D13" i="342"/>
  <c r="G12" i="342"/>
  <c r="D12" i="342"/>
  <c r="G11" i="342"/>
  <c r="D11" i="342"/>
  <c r="G10" i="342"/>
  <c r="D10" i="342"/>
  <c r="G9" i="342"/>
  <c r="D9" i="342"/>
  <c r="G8" i="342"/>
  <c r="D8" i="342"/>
  <c r="G7" i="342"/>
  <c r="D7" i="342"/>
  <c r="G6" i="342"/>
  <c r="D6" i="342"/>
  <c r="G5" i="342"/>
  <c r="D5" i="342"/>
  <c r="G4" i="342"/>
  <c r="D4" i="342"/>
  <c r="I35" i="434"/>
  <c r="E35" i="434"/>
  <c r="I34" i="434"/>
  <c r="E34" i="434"/>
  <c r="I33" i="434"/>
  <c r="E33" i="434"/>
  <c r="I32" i="434"/>
  <c r="E32" i="434"/>
  <c r="I31" i="434"/>
  <c r="E31" i="434"/>
  <c r="I30" i="434"/>
  <c r="E30" i="434"/>
  <c r="I29" i="434"/>
  <c r="E29" i="434"/>
  <c r="I28" i="434"/>
  <c r="E28" i="434"/>
  <c r="I27" i="434"/>
  <c r="E27" i="434"/>
  <c r="G16" i="341"/>
  <c r="C7" i="341"/>
  <c r="G7" i="341" s="1"/>
  <c r="C6" i="341"/>
  <c r="G6" i="341" s="1"/>
  <c r="C5" i="341"/>
  <c r="G5" i="341" s="1"/>
  <c r="C4" i="341"/>
  <c r="G4" i="341" s="1"/>
  <c r="C12" i="338"/>
  <c r="G12" i="338" s="1"/>
  <c r="F11" i="338"/>
  <c r="C11" i="338"/>
  <c r="G11" i="338" s="1"/>
  <c r="F10" i="338"/>
  <c r="C10" i="338"/>
  <c r="G10" i="338" s="1"/>
  <c r="F9" i="338"/>
  <c r="C9" i="338"/>
  <c r="G9" i="338" s="1"/>
  <c r="F8" i="338"/>
  <c r="C8" i="338"/>
  <c r="G8" i="338" s="1"/>
  <c r="F7" i="338"/>
  <c r="C7" i="338"/>
  <c r="G7" i="338" s="1"/>
  <c r="F6" i="338"/>
  <c r="C6" i="338"/>
  <c r="G6" i="338" s="1"/>
  <c r="F5" i="338"/>
  <c r="C5" i="338"/>
  <c r="G5" i="338" s="1"/>
  <c r="F4" i="338"/>
  <c r="C4" i="338"/>
  <c r="G4" i="338" s="1"/>
  <c r="G7" i="432"/>
  <c r="C6" i="432"/>
  <c r="G6" i="432" s="1"/>
  <c r="C5" i="432"/>
  <c r="G5" i="432" s="1"/>
  <c r="F4" i="432"/>
  <c r="C4" i="432"/>
  <c r="G4" i="432" s="1"/>
  <c r="F11" i="402"/>
  <c r="C11" i="402"/>
  <c r="F10" i="402"/>
  <c r="G10" i="402" s="1"/>
  <c r="C10" i="402"/>
  <c r="F9" i="402"/>
  <c r="C9" i="402"/>
  <c r="I9" i="402" s="1"/>
  <c r="F8" i="402"/>
  <c r="G8" i="402" s="1"/>
  <c r="C8" i="402"/>
  <c r="F7" i="402"/>
  <c r="G7" i="402" s="1"/>
  <c r="C7" i="402"/>
  <c r="I7" i="402" s="1"/>
  <c r="F6" i="402"/>
  <c r="G6" i="402" s="1"/>
  <c r="C6" i="402"/>
  <c r="F5" i="402"/>
  <c r="C5" i="402"/>
  <c r="I5" i="402" s="1"/>
  <c r="F4" i="402"/>
  <c r="G4" i="402" s="1"/>
  <c r="C4" i="402"/>
  <c r="F3" i="402"/>
  <c r="G3" i="402" s="1"/>
  <c r="C3" i="402"/>
  <c r="D14" i="334"/>
  <c r="D13" i="334"/>
  <c r="D12" i="334"/>
  <c r="D11" i="334"/>
  <c r="D10" i="334"/>
  <c r="D9" i="334"/>
  <c r="D8" i="334"/>
  <c r="D7" i="334"/>
  <c r="D15" i="334"/>
  <c r="D6" i="334"/>
  <c r="D5" i="334"/>
  <c r="G13" i="427"/>
  <c r="H13" i="427" s="1"/>
  <c r="G12" i="427"/>
  <c r="F12" i="427"/>
  <c r="G11" i="427"/>
  <c r="F11" i="427"/>
  <c r="G10" i="427"/>
  <c r="F10" i="427"/>
  <c r="G9" i="427"/>
  <c r="F9" i="427"/>
  <c r="G8" i="427"/>
  <c r="F8" i="427"/>
  <c r="G7" i="427"/>
  <c r="F7" i="427"/>
  <c r="G6" i="427"/>
  <c r="F6" i="427"/>
  <c r="E13" i="332"/>
  <c r="G13" i="332" s="1"/>
  <c r="E12" i="332"/>
  <c r="F12" i="332" s="1"/>
  <c r="E11" i="332"/>
  <c r="E10" i="332"/>
  <c r="E9" i="332"/>
  <c r="F9" i="332" s="1"/>
  <c r="E8" i="332"/>
  <c r="H8" i="332" s="1"/>
  <c r="E7" i="332"/>
  <c r="E6" i="332"/>
  <c r="P6" i="332" s="1"/>
  <c r="E5" i="332"/>
  <c r="G5" i="332" s="1"/>
  <c r="E4" i="332"/>
  <c r="G4" i="332" s="1"/>
  <c r="E14" i="287"/>
  <c r="B14" i="333" s="1"/>
  <c r="E20" i="426"/>
  <c r="B20" i="426"/>
  <c r="H19" i="426"/>
  <c r="G19" i="426" s="1"/>
  <c r="H18" i="426"/>
  <c r="G18" i="426" s="1"/>
  <c r="H17" i="426"/>
  <c r="G17" i="426" s="1"/>
  <c r="H16" i="426"/>
  <c r="G16" i="426" s="1"/>
  <c r="H15" i="426"/>
  <c r="H14" i="426"/>
  <c r="G14" i="426" s="1"/>
  <c r="H13" i="426"/>
  <c r="D13" i="426" s="1"/>
  <c r="H12" i="426"/>
  <c r="G12" i="426" s="1"/>
  <c r="H11" i="426"/>
  <c r="G11" i="426" s="1"/>
  <c r="H10" i="426"/>
  <c r="G10" i="426" s="1"/>
  <c r="H9" i="426"/>
  <c r="G9" i="426" s="1"/>
  <c r="H8" i="426"/>
  <c r="G8" i="426" s="1"/>
  <c r="H7" i="426"/>
  <c r="H6" i="426"/>
  <c r="G6" i="426" s="1"/>
  <c r="H5" i="426"/>
  <c r="G5" i="426" s="1"/>
  <c r="F14" i="336"/>
  <c r="E14" i="336"/>
  <c r="C14" i="336"/>
  <c r="B14" i="336"/>
  <c r="D11" i="336" s="1"/>
  <c r="I11" i="335"/>
  <c r="E11" i="335"/>
  <c r="I10" i="335"/>
  <c r="E10" i="335"/>
  <c r="I9" i="335"/>
  <c r="E9" i="335"/>
  <c r="I8" i="335"/>
  <c r="E8" i="335"/>
  <c r="I7" i="335"/>
  <c r="E7" i="335"/>
  <c r="I6" i="335"/>
  <c r="E6" i="335"/>
  <c r="I5" i="335"/>
  <c r="E5" i="335"/>
  <c r="I4" i="335"/>
  <c r="E4" i="335"/>
  <c r="B19" i="445" l="1"/>
  <c r="H16" i="446"/>
  <c r="H13" i="446"/>
  <c r="H15" i="446"/>
  <c r="G36" i="446"/>
  <c r="C13" i="272"/>
  <c r="H11" i="402"/>
  <c r="B18" i="386"/>
  <c r="B15" i="61"/>
  <c r="E15" i="61" s="1"/>
  <c r="B12" i="61"/>
  <c r="E12" i="61" s="1"/>
  <c r="E8" i="342"/>
  <c r="F10" i="342"/>
  <c r="B6" i="61"/>
  <c r="E6" i="61" s="1"/>
  <c r="C9" i="287"/>
  <c r="E9" i="287" s="1"/>
  <c r="P9" i="287" s="1"/>
  <c r="C6" i="287"/>
  <c r="E6" i="287" s="1"/>
  <c r="B6" i="333" s="1"/>
  <c r="D6" i="333" s="1"/>
  <c r="K10" i="424"/>
  <c r="H7" i="427"/>
  <c r="H11" i="427"/>
  <c r="I11" i="427" s="1"/>
  <c r="J35" i="434"/>
  <c r="D5" i="389"/>
  <c r="I11" i="402"/>
  <c r="E5" i="389"/>
  <c r="H6" i="427"/>
  <c r="I6" i="427" s="1"/>
  <c r="H10" i="427"/>
  <c r="J10" i="427" s="1"/>
  <c r="H8" i="427"/>
  <c r="I8" i="427" s="1"/>
  <c r="H12" i="427"/>
  <c r="J12" i="427" s="1"/>
  <c r="D12" i="389"/>
  <c r="C13" i="389"/>
  <c r="H9" i="427"/>
  <c r="D6" i="389"/>
  <c r="D4" i="389"/>
  <c r="E10" i="389"/>
  <c r="D8" i="389"/>
  <c r="E8" i="389"/>
  <c r="E9" i="389"/>
  <c r="D9" i="389"/>
  <c r="E4" i="389"/>
  <c r="D7" i="389"/>
  <c r="G11" i="402"/>
  <c r="E13" i="223"/>
  <c r="U10" i="227"/>
  <c r="H8" i="402"/>
  <c r="Q10" i="383"/>
  <c r="H28" i="435"/>
  <c r="C5" i="230"/>
  <c r="D5" i="230" s="1"/>
  <c r="C4" i="230"/>
  <c r="D4" i="230" s="1"/>
  <c r="J9" i="335"/>
  <c r="D19" i="426"/>
  <c r="C11" i="287"/>
  <c r="E11" i="287" s="1"/>
  <c r="H11" i="287" s="1"/>
  <c r="F8" i="282"/>
  <c r="J13" i="223"/>
  <c r="F11" i="342"/>
  <c r="H20" i="426"/>
  <c r="Q13" i="382"/>
  <c r="E31" i="380"/>
  <c r="M10" i="226"/>
  <c r="I7" i="232"/>
  <c r="M7" i="242"/>
  <c r="I5" i="241"/>
  <c r="L7" i="242"/>
  <c r="C5" i="287"/>
  <c r="E5" i="287" s="1"/>
  <c r="B5" i="333" s="1"/>
  <c r="D5" i="333" s="1"/>
  <c r="N10" i="226"/>
  <c r="K7" i="232"/>
  <c r="I7" i="242"/>
  <c r="O12" i="217"/>
  <c r="AP20" i="386"/>
  <c r="I4" i="231"/>
  <c r="N7" i="232"/>
  <c r="J7" i="242"/>
  <c r="E11" i="342"/>
  <c r="Q12" i="382"/>
  <c r="E7" i="223"/>
  <c r="E6" i="215"/>
  <c r="E8" i="229"/>
  <c r="E4" i="239"/>
  <c r="H33" i="435"/>
  <c r="J14" i="379"/>
  <c r="F9" i="215"/>
  <c r="O11" i="217"/>
  <c r="K7" i="228"/>
  <c r="J12" i="228"/>
  <c r="F4" i="223"/>
  <c r="F8" i="223"/>
  <c r="H4" i="227"/>
  <c r="F13" i="215"/>
  <c r="K12" i="379"/>
  <c r="E7" i="215"/>
  <c r="F10" i="219"/>
  <c r="F5" i="342"/>
  <c r="L12" i="226"/>
  <c r="F14" i="287"/>
  <c r="E9" i="215"/>
  <c r="S5" i="217"/>
  <c r="P11" i="217"/>
  <c r="G6" i="222"/>
  <c r="L7" i="228"/>
  <c r="E10" i="225"/>
  <c r="F12" i="215"/>
  <c r="F9" i="379"/>
  <c r="I8" i="402"/>
  <c r="E12" i="224"/>
  <c r="P14" i="383"/>
  <c r="Q14" i="383" s="1"/>
  <c r="F13" i="379"/>
  <c r="Q5" i="383"/>
  <c r="Q9" i="383"/>
  <c r="Q13" i="383"/>
  <c r="B7" i="396"/>
  <c r="G5" i="282"/>
  <c r="Q11" i="217"/>
  <c r="G13" i="219"/>
  <c r="L4" i="226"/>
  <c r="L10" i="226"/>
  <c r="E5" i="342"/>
  <c r="Q11" i="383"/>
  <c r="G5" i="222"/>
  <c r="Q10" i="382"/>
  <c r="D15" i="215"/>
  <c r="H13" i="219"/>
  <c r="F10" i="224"/>
  <c r="G4" i="231"/>
  <c r="N5" i="233"/>
  <c r="N11" i="226"/>
  <c r="K8" i="226"/>
  <c r="N6" i="226"/>
  <c r="N7" i="226"/>
  <c r="K6" i="226"/>
  <c r="M6" i="226"/>
  <c r="J33" i="434"/>
  <c r="M5" i="217"/>
  <c r="Q12" i="217"/>
  <c r="N5" i="217"/>
  <c r="O5" i="217"/>
  <c r="E8" i="79"/>
  <c r="R4" i="217"/>
  <c r="P4" i="217"/>
  <c r="K9" i="226"/>
  <c r="M9" i="226"/>
  <c r="L9" i="226"/>
  <c r="H6" i="228"/>
  <c r="L6" i="228"/>
  <c r="J6" i="228"/>
  <c r="I6" i="228"/>
  <c r="F9" i="223"/>
  <c r="E9" i="223"/>
  <c r="C4" i="287"/>
  <c r="E4" i="287" s="1"/>
  <c r="G4" i="287" s="1"/>
  <c r="B5" i="61"/>
  <c r="E5" i="61" s="1"/>
  <c r="B8" i="61"/>
  <c r="E8" i="61" s="1"/>
  <c r="F7" i="342"/>
  <c r="C7" i="287"/>
  <c r="E7" i="287" s="1"/>
  <c r="P7" i="287" s="1"/>
  <c r="C12" i="273"/>
  <c r="C13" i="273"/>
  <c r="F8" i="222"/>
  <c r="G8" i="222"/>
  <c r="C15" i="224"/>
  <c r="I9" i="226"/>
  <c r="K6" i="228"/>
  <c r="H9" i="227"/>
  <c r="D10" i="240"/>
  <c r="F10" i="240" s="1"/>
  <c r="G9" i="332"/>
  <c r="E7" i="342"/>
  <c r="E13" i="78"/>
  <c r="C13" i="78"/>
  <c r="P7" i="217"/>
  <c r="T7" i="217"/>
  <c r="N7" i="217"/>
  <c r="N9" i="226"/>
  <c r="E5" i="225"/>
  <c r="J31" i="434"/>
  <c r="E12" i="379"/>
  <c r="F12" i="379"/>
  <c r="F11" i="224"/>
  <c r="E11" i="224"/>
  <c r="K7" i="226"/>
  <c r="M7" i="226"/>
  <c r="I7" i="226"/>
  <c r="L7" i="226"/>
  <c r="E4" i="229"/>
  <c r="F4" i="229"/>
  <c r="I5" i="214"/>
  <c r="H5" i="214"/>
  <c r="F7" i="432"/>
  <c r="K5" i="226"/>
  <c r="M5" i="226"/>
  <c r="L5" i="226"/>
  <c r="J13" i="226"/>
  <c r="N13" i="226"/>
  <c r="L13" i="226"/>
  <c r="K13" i="226"/>
  <c r="H5" i="227"/>
  <c r="U5" i="227"/>
  <c r="I10" i="402"/>
  <c r="H10" i="402"/>
  <c r="I5" i="226"/>
  <c r="I13" i="226"/>
  <c r="F5" i="432"/>
  <c r="M14" i="384"/>
  <c r="M16" i="384" s="1"/>
  <c r="F8" i="215"/>
  <c r="E8" i="215"/>
  <c r="T9" i="217"/>
  <c r="O9" i="217"/>
  <c r="N5" i="226"/>
  <c r="M13" i="226"/>
  <c r="E6" i="229"/>
  <c r="K9" i="232"/>
  <c r="L9" i="232"/>
  <c r="I9" i="232"/>
  <c r="G7" i="426"/>
  <c r="D7" i="426"/>
  <c r="P5" i="332"/>
  <c r="C10" i="287"/>
  <c r="E35" i="380"/>
  <c r="E36" i="380"/>
  <c r="E26" i="380"/>
  <c r="E27" i="380"/>
  <c r="E30" i="380"/>
  <c r="K11" i="226"/>
  <c r="M11" i="226"/>
  <c r="I11" i="226"/>
  <c r="L11" i="226"/>
  <c r="H10" i="228"/>
  <c r="K10" i="228"/>
  <c r="I10" i="228"/>
  <c r="J10" i="228"/>
  <c r="D4" i="399"/>
  <c r="C4" i="399" s="1"/>
  <c r="J28" i="434"/>
  <c r="H31" i="435"/>
  <c r="Q5" i="382"/>
  <c r="F12" i="282"/>
  <c r="Q5" i="217"/>
  <c r="R11" i="217"/>
  <c r="F7" i="222"/>
  <c r="I4" i="226"/>
  <c r="I8" i="226"/>
  <c r="I12" i="226"/>
  <c r="H12" i="228"/>
  <c r="I12" i="223"/>
  <c r="D9" i="225"/>
  <c r="F9" i="225" s="1"/>
  <c r="P6" i="384"/>
  <c r="K20" i="217"/>
  <c r="M12" i="226"/>
  <c r="J13" i="379"/>
  <c r="E14" i="384"/>
  <c r="G8" i="79"/>
  <c r="H7" i="396"/>
  <c r="F9" i="282"/>
  <c r="F15" i="282"/>
  <c r="M8" i="217"/>
  <c r="M12" i="217"/>
  <c r="E13" i="224"/>
  <c r="N4" i="226"/>
  <c r="N8" i="226"/>
  <c r="N12" i="226"/>
  <c r="E15" i="226"/>
  <c r="J8" i="232"/>
  <c r="K8" i="384"/>
  <c r="M4" i="226"/>
  <c r="M8" i="226"/>
  <c r="K12" i="228"/>
  <c r="H12" i="332"/>
  <c r="E11" i="379"/>
  <c r="Q11" i="382"/>
  <c r="F5" i="282"/>
  <c r="F6" i="215"/>
  <c r="N12" i="217"/>
  <c r="F7" i="219"/>
  <c r="E4" i="224"/>
  <c r="I6" i="226"/>
  <c r="I10" i="226"/>
  <c r="H7" i="228"/>
  <c r="L13" i="228"/>
  <c r="F9" i="229"/>
  <c r="I5" i="233"/>
  <c r="K10" i="242"/>
  <c r="L10" i="242"/>
  <c r="I10" i="242"/>
  <c r="M10" i="242"/>
  <c r="G13" i="426"/>
  <c r="F6" i="432"/>
  <c r="F9" i="222"/>
  <c r="G9" i="222"/>
  <c r="J10" i="242"/>
  <c r="I3" i="402"/>
  <c r="H3" i="402"/>
  <c r="F10" i="222"/>
  <c r="G10" i="222"/>
  <c r="G15" i="426"/>
  <c r="D15" i="426"/>
  <c r="H5" i="219"/>
  <c r="F5" i="219"/>
  <c r="P11" i="332"/>
  <c r="H11" i="332"/>
  <c r="G11" i="332"/>
  <c r="E4" i="379"/>
  <c r="F4" i="379"/>
  <c r="E16" i="379"/>
  <c r="F16" i="379"/>
  <c r="F11" i="332"/>
  <c r="H5" i="402"/>
  <c r="J30" i="434"/>
  <c r="F10" i="379"/>
  <c r="F4" i="240"/>
  <c r="E4" i="240"/>
  <c r="J10" i="335"/>
  <c r="I6" i="402"/>
  <c r="H6" i="402"/>
  <c r="H4" i="219"/>
  <c r="F4" i="219"/>
  <c r="H9" i="219"/>
  <c r="F9" i="219"/>
  <c r="C6" i="78"/>
  <c r="J7" i="223"/>
  <c r="I7" i="223"/>
  <c r="J7" i="231"/>
  <c r="G7" i="231"/>
  <c r="E8" i="239"/>
  <c r="F8" i="239"/>
  <c r="K8" i="242"/>
  <c r="J8" i="242"/>
  <c r="I8" i="242"/>
  <c r="D11" i="426"/>
  <c r="C8" i="287"/>
  <c r="E8" i="287" s="1"/>
  <c r="G8" i="287" s="1"/>
  <c r="F14" i="379"/>
  <c r="J16" i="382"/>
  <c r="C16" i="384"/>
  <c r="P8" i="384"/>
  <c r="P13" i="384"/>
  <c r="G6" i="79"/>
  <c r="E6" i="79"/>
  <c r="G14" i="282"/>
  <c r="F7" i="215"/>
  <c r="K25" i="217"/>
  <c r="E11" i="223"/>
  <c r="F11" i="223"/>
  <c r="F13" i="223"/>
  <c r="H7" i="231"/>
  <c r="E7" i="240"/>
  <c r="F7" i="240"/>
  <c r="H9" i="214"/>
  <c r="J9" i="214"/>
  <c r="G9" i="214"/>
  <c r="F11" i="241"/>
  <c r="H11" i="241" s="1"/>
  <c r="L8" i="242"/>
  <c r="G16" i="282"/>
  <c r="F16" i="282"/>
  <c r="H8" i="241"/>
  <c r="I8" i="241"/>
  <c r="G8" i="241"/>
  <c r="K6" i="242"/>
  <c r="L6" i="242"/>
  <c r="I6" i="242"/>
  <c r="D5" i="426"/>
  <c r="D17" i="426"/>
  <c r="K8" i="444"/>
  <c r="K17" i="444" s="1"/>
  <c r="D17" i="444"/>
  <c r="E15" i="78"/>
  <c r="G15" i="78"/>
  <c r="F17" i="282"/>
  <c r="E8" i="225"/>
  <c r="F8" i="225"/>
  <c r="I9" i="214"/>
  <c r="I9" i="241"/>
  <c r="J9" i="241"/>
  <c r="G9" i="241"/>
  <c r="K4" i="242"/>
  <c r="J4" i="242"/>
  <c r="I4" i="242"/>
  <c r="H11" i="242"/>
  <c r="L11" i="242" s="1"/>
  <c r="M6" i="242"/>
  <c r="M8" i="242"/>
  <c r="J11" i="228"/>
  <c r="L11" i="228"/>
  <c r="H11" i="228"/>
  <c r="D9" i="426"/>
  <c r="H9" i="332"/>
  <c r="F4" i="342"/>
  <c r="E4" i="342"/>
  <c r="H29" i="435"/>
  <c r="Q6" i="382"/>
  <c r="F11" i="282"/>
  <c r="G11" i="282"/>
  <c r="E8" i="224"/>
  <c r="F8" i="224"/>
  <c r="G11" i="227"/>
  <c r="G15" i="226"/>
  <c r="K11" i="228"/>
  <c r="U6" i="227"/>
  <c r="H6" i="227"/>
  <c r="H8" i="227"/>
  <c r="U8" i="227"/>
  <c r="J9" i="231"/>
  <c r="E9" i="240"/>
  <c r="M4" i="242"/>
  <c r="F14" i="332"/>
  <c r="P9" i="384"/>
  <c r="O13" i="217"/>
  <c r="L13" i="217"/>
  <c r="T13" i="217"/>
  <c r="K9" i="228"/>
  <c r="J9" i="228"/>
  <c r="H9" i="228"/>
  <c r="K6" i="232"/>
  <c r="M6" i="232"/>
  <c r="L6" i="232"/>
  <c r="I6" i="232"/>
  <c r="K8" i="233"/>
  <c r="J8" i="233"/>
  <c r="I8" i="233"/>
  <c r="K9" i="242"/>
  <c r="M9" i="242"/>
  <c r="L9" i="242"/>
  <c r="I9" i="242"/>
  <c r="P9" i="332"/>
  <c r="G12" i="332"/>
  <c r="J32" i="434"/>
  <c r="J34" i="434"/>
  <c r="E7" i="379"/>
  <c r="F7" i="379"/>
  <c r="C4" i="179"/>
  <c r="E8" i="78"/>
  <c r="C8" i="78"/>
  <c r="E5" i="215"/>
  <c r="F5" i="215"/>
  <c r="S10" i="217"/>
  <c r="M10" i="217"/>
  <c r="S13" i="217"/>
  <c r="E9" i="224"/>
  <c r="F9" i="224"/>
  <c r="L9" i="228"/>
  <c r="M8" i="232"/>
  <c r="L8" i="232"/>
  <c r="K8" i="232"/>
  <c r="I8" i="232"/>
  <c r="M8" i="233"/>
  <c r="F5" i="239"/>
  <c r="E5" i="239"/>
  <c r="K5" i="242"/>
  <c r="M5" i="242"/>
  <c r="L5" i="242"/>
  <c r="I5" i="242"/>
  <c r="Q9" i="382"/>
  <c r="Q7" i="383"/>
  <c r="D5" i="399"/>
  <c r="C5" i="399" s="1"/>
  <c r="E11" i="435"/>
  <c r="F11" i="435" s="1"/>
  <c r="J16" i="379"/>
  <c r="Q12" i="383"/>
  <c r="K12" i="384"/>
  <c r="P12" i="384"/>
  <c r="R5" i="217"/>
  <c r="N9" i="217"/>
  <c r="T11" i="217"/>
  <c r="G10" i="219"/>
  <c r="F6" i="229"/>
  <c r="J7" i="232"/>
  <c r="J9" i="232"/>
  <c r="F10" i="239"/>
  <c r="Q7" i="382"/>
  <c r="P7" i="384"/>
  <c r="O16" i="384"/>
  <c r="P9" i="217"/>
  <c r="K24" i="217"/>
  <c r="J4" i="226"/>
  <c r="J5" i="226"/>
  <c r="J6" i="226"/>
  <c r="J7" i="226"/>
  <c r="J8" i="226"/>
  <c r="J9" i="226"/>
  <c r="J10" i="226"/>
  <c r="J11" i="226"/>
  <c r="J12" i="226"/>
  <c r="L7" i="232"/>
  <c r="M9" i="232"/>
  <c r="J5" i="233"/>
  <c r="E28" i="380"/>
  <c r="D17" i="400"/>
  <c r="L5" i="217"/>
  <c r="R9" i="217"/>
  <c r="L11" i="217"/>
  <c r="L12" i="217"/>
  <c r="S11" i="227"/>
  <c r="L5" i="233"/>
  <c r="C5" i="179"/>
  <c r="C6" i="179"/>
  <c r="E16" i="445"/>
  <c r="E14" i="386"/>
  <c r="G15" i="386"/>
  <c r="K16" i="379"/>
  <c r="I5" i="274"/>
  <c r="B5" i="274"/>
  <c r="C5" i="274"/>
  <c r="G5" i="274"/>
  <c r="F5" i="274"/>
  <c r="C8" i="273"/>
  <c r="C9" i="273"/>
  <c r="C10" i="273"/>
  <c r="C6" i="273"/>
  <c r="C11" i="273"/>
  <c r="C5" i="273"/>
  <c r="C7" i="273"/>
  <c r="C5" i="272"/>
  <c r="C11" i="272"/>
  <c r="C6" i="272"/>
  <c r="C7" i="272"/>
  <c r="C12" i="272"/>
  <c r="C9" i="272"/>
  <c r="C8" i="272"/>
  <c r="C4" i="272"/>
  <c r="C10" i="272"/>
  <c r="G7" i="332"/>
  <c r="F7" i="332"/>
  <c r="H9" i="402"/>
  <c r="G9" i="402"/>
  <c r="G5" i="402"/>
  <c r="F8" i="332"/>
  <c r="G13" i="282"/>
  <c r="F13" i="282"/>
  <c r="J29" i="434"/>
  <c r="K15" i="382"/>
  <c r="G15" i="384"/>
  <c r="G16" i="384" s="1"/>
  <c r="G16" i="382"/>
  <c r="C11" i="227"/>
  <c r="C15" i="226"/>
  <c r="H14" i="226"/>
  <c r="P10" i="332"/>
  <c r="H10" i="332"/>
  <c r="F10" i="332"/>
  <c r="F12" i="342"/>
  <c r="B13" i="61"/>
  <c r="E13" i="61" s="1"/>
  <c r="E12" i="342"/>
  <c r="H32" i="435"/>
  <c r="Q6" i="383"/>
  <c r="E6" i="386"/>
  <c r="G6" i="386"/>
  <c r="E14" i="215"/>
  <c r="F14" i="215"/>
  <c r="G10" i="332"/>
  <c r="J7" i="335"/>
  <c r="C12" i="287"/>
  <c r="E12" i="287" s="1"/>
  <c r="G8" i="332"/>
  <c r="I4" i="402"/>
  <c r="H4" i="402"/>
  <c r="C13" i="287"/>
  <c r="E13" i="287" s="1"/>
  <c r="H13" i="287" s="1"/>
  <c r="E13" i="342"/>
  <c r="B14" i="61"/>
  <c r="E14" i="61" s="1"/>
  <c r="F13" i="342"/>
  <c r="H27" i="435"/>
  <c r="K9" i="384"/>
  <c r="E7" i="79"/>
  <c r="C7" i="79"/>
  <c r="G7" i="79"/>
  <c r="J7" i="397"/>
  <c r="B12" i="227"/>
  <c r="H6" i="231"/>
  <c r="J6" i="231"/>
  <c r="G6" i="231"/>
  <c r="P7" i="332"/>
  <c r="H7" i="402"/>
  <c r="G7" i="336"/>
  <c r="G8" i="336"/>
  <c r="P4" i="332"/>
  <c r="J4" i="335"/>
  <c r="E7" i="225"/>
  <c r="F7" i="225"/>
  <c r="D15" i="217"/>
  <c r="G12" i="219"/>
  <c r="F12" i="219"/>
  <c r="H12" i="219"/>
  <c r="J6" i="335"/>
  <c r="P8" i="332"/>
  <c r="H13" i="332"/>
  <c r="F13" i="332"/>
  <c r="E12" i="227"/>
  <c r="S10" i="227"/>
  <c r="H10" i="227"/>
  <c r="J8" i="335"/>
  <c r="F6" i="332"/>
  <c r="G6" i="332"/>
  <c r="E7" i="386"/>
  <c r="G7" i="386"/>
  <c r="E10" i="386"/>
  <c r="G13" i="386"/>
  <c r="F6" i="342"/>
  <c r="E6" i="342"/>
  <c r="H30" i="435"/>
  <c r="G12" i="386"/>
  <c r="E12" i="386"/>
  <c r="G14" i="78"/>
  <c r="C14" i="78"/>
  <c r="E14" i="78"/>
  <c r="C5" i="79"/>
  <c r="F10" i="282"/>
  <c r="G10" i="282"/>
  <c r="C6" i="230"/>
  <c r="F10" i="215"/>
  <c r="L4" i="228"/>
  <c r="K4" i="228"/>
  <c r="I4" i="228"/>
  <c r="J4" i="228"/>
  <c r="I11" i="223"/>
  <c r="J11" i="223"/>
  <c r="H7" i="227"/>
  <c r="U7" i="227"/>
  <c r="H7" i="241"/>
  <c r="I7" i="241"/>
  <c r="G7" i="241"/>
  <c r="J7" i="241"/>
  <c r="J5" i="335"/>
  <c r="J27" i="434"/>
  <c r="Q8" i="382"/>
  <c r="I16" i="382"/>
  <c r="I14" i="384"/>
  <c r="I16" i="384" s="1"/>
  <c r="P15" i="382"/>
  <c r="N15" i="384"/>
  <c r="P15" i="384" s="1"/>
  <c r="D16" i="384"/>
  <c r="P5" i="384"/>
  <c r="K11" i="384"/>
  <c r="G3" i="386"/>
  <c r="E3" i="386"/>
  <c r="E11" i="78"/>
  <c r="G11" i="78"/>
  <c r="C11" i="78"/>
  <c r="C15" i="78"/>
  <c r="G5" i="79"/>
  <c r="F7" i="282"/>
  <c r="G7" i="282"/>
  <c r="E10" i="215"/>
  <c r="G15" i="217"/>
  <c r="H4" i="228"/>
  <c r="B7" i="61"/>
  <c r="E7" i="61" s="1"/>
  <c r="B11" i="61"/>
  <c r="E11" i="61" s="1"/>
  <c r="E8" i="379"/>
  <c r="N14" i="384"/>
  <c r="N16" i="382"/>
  <c r="P14" i="382"/>
  <c r="F16" i="384"/>
  <c r="K7" i="384"/>
  <c r="F7" i="224"/>
  <c r="E7" i="224"/>
  <c r="P11" i="384"/>
  <c r="C15" i="219"/>
  <c r="C14" i="223"/>
  <c r="K14" i="223" s="1"/>
  <c r="C15" i="222"/>
  <c r="D14" i="224"/>
  <c r="B12" i="225"/>
  <c r="B15" i="224"/>
  <c r="K5" i="228"/>
  <c r="L5" i="228"/>
  <c r="H5" i="228"/>
  <c r="J5" i="228"/>
  <c r="E10" i="342"/>
  <c r="K6" i="384"/>
  <c r="J16" i="384"/>
  <c r="K10" i="384"/>
  <c r="B15" i="217"/>
  <c r="K14" i="217"/>
  <c r="B9" i="61"/>
  <c r="E9" i="61" s="1"/>
  <c r="F8" i="342"/>
  <c r="F6" i="379"/>
  <c r="E6" i="379"/>
  <c r="G16" i="383"/>
  <c r="K15" i="383"/>
  <c r="Q15" i="383" s="1"/>
  <c r="H14" i="384"/>
  <c r="H16" i="384" s="1"/>
  <c r="G4" i="386"/>
  <c r="E4" i="386"/>
  <c r="E8" i="386"/>
  <c r="G12" i="78"/>
  <c r="E10" i="79"/>
  <c r="G10" i="79"/>
  <c r="C10" i="79"/>
  <c r="F11" i="215"/>
  <c r="E11" i="215"/>
  <c r="Q10" i="217"/>
  <c r="P10" i="217"/>
  <c r="N10" i="217"/>
  <c r="R10" i="217"/>
  <c r="L10" i="217"/>
  <c r="K22" i="217"/>
  <c r="T10" i="217"/>
  <c r="G11" i="219"/>
  <c r="F11" i="219"/>
  <c r="H11" i="219"/>
  <c r="I12" i="235"/>
  <c r="J8" i="235" s="1"/>
  <c r="F6" i="239"/>
  <c r="E6" i="239"/>
  <c r="E8" i="240"/>
  <c r="F8" i="240"/>
  <c r="H10" i="214"/>
  <c r="H10" i="241"/>
  <c r="H16" i="383"/>
  <c r="G8" i="386"/>
  <c r="G11" i="386"/>
  <c r="Q4" i="217"/>
  <c r="N4" i="217"/>
  <c r="T4" i="217"/>
  <c r="L4" i="217"/>
  <c r="S4" i="217"/>
  <c r="O4" i="217"/>
  <c r="M4" i="217"/>
  <c r="I15" i="217"/>
  <c r="H8" i="219"/>
  <c r="F8" i="219"/>
  <c r="G11" i="222"/>
  <c r="F11" i="222"/>
  <c r="C7" i="230"/>
  <c r="D7" i="230" s="1"/>
  <c r="E5" i="229"/>
  <c r="F5" i="229"/>
  <c r="J10" i="214"/>
  <c r="I10" i="214"/>
  <c r="G10" i="214"/>
  <c r="I10" i="241"/>
  <c r="G10" i="241"/>
  <c r="J10" i="241"/>
  <c r="F9" i="342"/>
  <c r="E9" i="342"/>
  <c r="H34" i="435"/>
  <c r="B10" i="61"/>
  <c r="E10" i="61" s="1"/>
  <c r="L16" i="384"/>
  <c r="K13" i="384"/>
  <c r="G16" i="386"/>
  <c r="E16" i="386"/>
  <c r="G6" i="282"/>
  <c r="G13" i="222"/>
  <c r="F13" i="222"/>
  <c r="D37" i="380"/>
  <c r="D32" i="380"/>
  <c r="D25" i="380"/>
  <c r="E37" i="380"/>
  <c r="E33" i="380"/>
  <c r="D34" i="380"/>
  <c r="D35" i="380"/>
  <c r="P10" i="384"/>
  <c r="E15" i="384"/>
  <c r="G7" i="78"/>
  <c r="C7" i="78"/>
  <c r="E4" i="215"/>
  <c r="F4" i="215"/>
  <c r="M6" i="217"/>
  <c r="T6" i="217"/>
  <c r="L6" i="217"/>
  <c r="R6" i="217"/>
  <c r="N6" i="217"/>
  <c r="Q6" i="217"/>
  <c r="K18" i="217"/>
  <c r="T10" i="227"/>
  <c r="J7" i="233"/>
  <c r="M7" i="233"/>
  <c r="N7" i="233"/>
  <c r="K7" i="233"/>
  <c r="L9" i="233"/>
  <c r="I9" i="233"/>
  <c r="N9" i="233"/>
  <c r="K9" i="233"/>
  <c r="J9" i="233"/>
  <c r="I4" i="214"/>
  <c r="G4" i="214"/>
  <c r="J4" i="214"/>
  <c r="H4" i="214"/>
  <c r="F11" i="214"/>
  <c r="J11" i="214" s="1"/>
  <c r="H8" i="214"/>
  <c r="J8" i="214"/>
  <c r="G8" i="214"/>
  <c r="E5" i="274"/>
  <c r="D5" i="274"/>
  <c r="F5" i="379"/>
  <c r="E5" i="379"/>
  <c r="E29" i="380"/>
  <c r="D33" i="380"/>
  <c r="G9" i="386"/>
  <c r="G17" i="386"/>
  <c r="F17" i="401"/>
  <c r="G10" i="78"/>
  <c r="C9" i="230"/>
  <c r="D9" i="230" s="1"/>
  <c r="E13" i="215"/>
  <c r="P6" i="217"/>
  <c r="O8" i="217"/>
  <c r="N8" i="217"/>
  <c r="T8" i="217"/>
  <c r="L8" i="217"/>
  <c r="P8" i="217"/>
  <c r="S8" i="217"/>
  <c r="R8" i="217"/>
  <c r="Q8" i="217"/>
  <c r="F6" i="219"/>
  <c r="H6" i="219"/>
  <c r="F6" i="225"/>
  <c r="E6" i="225"/>
  <c r="K11" i="225"/>
  <c r="C12" i="225"/>
  <c r="L7" i="233"/>
  <c r="E9" i="239"/>
  <c r="F9" i="239"/>
  <c r="D26" i="380"/>
  <c r="D27" i="380"/>
  <c r="D28" i="380"/>
  <c r="K14" i="382"/>
  <c r="Q8" i="383"/>
  <c r="K5" i="384"/>
  <c r="B16" i="384"/>
  <c r="S6" i="217"/>
  <c r="E5" i="223"/>
  <c r="F5" i="223"/>
  <c r="G13" i="78"/>
  <c r="R7" i="217"/>
  <c r="Q7" i="217"/>
  <c r="O7" i="217"/>
  <c r="M7" i="217"/>
  <c r="K19" i="217"/>
  <c r="S7" i="217"/>
  <c r="F11" i="227"/>
  <c r="T11" i="227" s="1"/>
  <c r="F15" i="226"/>
  <c r="L8" i="228"/>
  <c r="K8" i="228"/>
  <c r="I8" i="228"/>
  <c r="H8" i="228"/>
  <c r="F10" i="223"/>
  <c r="E10" i="223"/>
  <c r="E7" i="229"/>
  <c r="D10" i="229"/>
  <c r="N5" i="232"/>
  <c r="K5" i="232"/>
  <c r="I5" i="232"/>
  <c r="M5" i="232"/>
  <c r="J5" i="232"/>
  <c r="F11" i="233"/>
  <c r="E5" i="386"/>
  <c r="G6" i="78"/>
  <c r="C8" i="230"/>
  <c r="D8" i="230" s="1"/>
  <c r="E12" i="215"/>
  <c r="L7" i="217"/>
  <c r="G4" i="219"/>
  <c r="G12" i="222"/>
  <c r="F12" i="222"/>
  <c r="J8" i="228"/>
  <c r="E4" i="225"/>
  <c r="F4" i="225"/>
  <c r="F7" i="229"/>
  <c r="L5" i="232"/>
  <c r="L4" i="233"/>
  <c r="J4" i="233"/>
  <c r="N4" i="233"/>
  <c r="K4" i="233"/>
  <c r="I4" i="233"/>
  <c r="E6" i="240"/>
  <c r="F6" i="240"/>
  <c r="Q13" i="217"/>
  <c r="P13" i="217"/>
  <c r="N13" i="217"/>
  <c r="K17" i="217"/>
  <c r="F5" i="224"/>
  <c r="H10" i="232"/>
  <c r="B11" i="232"/>
  <c r="C11" i="233"/>
  <c r="E7" i="239"/>
  <c r="F7" i="239"/>
  <c r="J6" i="214"/>
  <c r="G6" i="214"/>
  <c r="H6" i="214"/>
  <c r="T5" i="217"/>
  <c r="M13" i="217"/>
  <c r="E14" i="219"/>
  <c r="F6" i="224"/>
  <c r="E6" i="224"/>
  <c r="F12" i="223"/>
  <c r="E12" i="223"/>
  <c r="J4" i="231"/>
  <c r="H4" i="231"/>
  <c r="D11" i="232"/>
  <c r="E11" i="233"/>
  <c r="J6" i="241"/>
  <c r="H6" i="241"/>
  <c r="I6" i="241"/>
  <c r="D13" i="422"/>
  <c r="E13" i="423"/>
  <c r="F4" i="222"/>
  <c r="D15" i="226"/>
  <c r="D11" i="227"/>
  <c r="R11" i="227" s="1"/>
  <c r="E6" i="223"/>
  <c r="F6" i="223"/>
  <c r="B15" i="223"/>
  <c r="J14" i="223"/>
  <c r="I9" i="231"/>
  <c r="G9" i="231"/>
  <c r="F5" i="240"/>
  <c r="E5" i="240"/>
  <c r="G5" i="214"/>
  <c r="J5" i="214"/>
  <c r="Q9" i="217"/>
  <c r="S11" i="217"/>
  <c r="P12" i="217"/>
  <c r="K21" i="217"/>
  <c r="G5" i="231"/>
  <c r="J5" i="231"/>
  <c r="J8" i="231"/>
  <c r="G8" i="231"/>
  <c r="I4" i="232"/>
  <c r="N4" i="232"/>
  <c r="L4" i="232"/>
  <c r="I6" i="233"/>
  <c r="N6" i="233"/>
  <c r="L6" i="233"/>
  <c r="G4" i="241"/>
  <c r="J4" i="241"/>
  <c r="S9" i="217"/>
  <c r="M11" i="217"/>
  <c r="R12" i="217"/>
  <c r="K23" i="217"/>
  <c r="G5" i="219"/>
  <c r="G7" i="219"/>
  <c r="G9" i="219"/>
  <c r="G14" i="222"/>
  <c r="I7" i="228"/>
  <c r="I11" i="228"/>
  <c r="K13" i="228"/>
  <c r="I13" i="228"/>
  <c r="Q10" i="227"/>
  <c r="I5" i="231"/>
  <c r="I8" i="231"/>
  <c r="K4" i="232"/>
  <c r="K6" i="233"/>
  <c r="D11" i="239"/>
  <c r="E11" i="239" s="1"/>
  <c r="J7" i="214"/>
  <c r="H7" i="214"/>
  <c r="I4" i="241"/>
  <c r="L9" i="217"/>
  <c r="S12" i="217"/>
  <c r="H13" i="228"/>
  <c r="M4" i="232"/>
  <c r="M6" i="233"/>
  <c r="G7" i="214"/>
  <c r="J5" i="241"/>
  <c r="G5" i="241"/>
  <c r="N6" i="232"/>
  <c r="N9" i="232"/>
  <c r="K5" i="233"/>
  <c r="N8" i="233"/>
  <c r="N4" i="242"/>
  <c r="N5" i="242"/>
  <c r="N6" i="242"/>
  <c r="N7" i="242"/>
  <c r="N8" i="242"/>
  <c r="N9" i="242"/>
  <c r="N10" i="242"/>
  <c r="I12" i="228"/>
  <c r="I7" i="231"/>
  <c r="E15" i="374"/>
  <c r="H35" i="435"/>
  <c r="F14" i="342"/>
  <c r="P14" i="287"/>
  <c r="G14" i="287"/>
  <c r="H14" i="287"/>
  <c r="D6" i="426"/>
  <c r="D8" i="426"/>
  <c r="D12" i="426"/>
  <c r="D14" i="426"/>
  <c r="D16" i="426"/>
  <c r="D18" i="426"/>
  <c r="D10" i="426"/>
  <c r="G9" i="336"/>
  <c r="G5" i="336"/>
  <c r="G12" i="336"/>
  <c r="G6" i="336"/>
  <c r="G13" i="336"/>
  <c r="G10" i="336"/>
  <c r="G11" i="336"/>
  <c r="D10" i="336"/>
  <c r="D5" i="336"/>
  <c r="D8" i="336"/>
  <c r="D12" i="336"/>
  <c r="D9" i="336"/>
  <c r="D13" i="336"/>
  <c r="D6" i="336"/>
  <c r="D7" i="336"/>
  <c r="J11" i="335"/>
  <c r="E25" i="380"/>
  <c r="D36" i="380"/>
  <c r="D29" i="380"/>
  <c r="D30" i="380"/>
  <c r="D31" i="380"/>
  <c r="E32" i="380"/>
  <c r="I13" i="236"/>
  <c r="H13" i="236"/>
  <c r="J5" i="427"/>
  <c r="I13" i="427"/>
  <c r="D11" i="389"/>
  <c r="E11" i="389"/>
  <c r="C16" i="78"/>
  <c r="G9" i="78"/>
  <c r="E16" i="78"/>
  <c r="G16" i="78"/>
  <c r="E9" i="78"/>
  <c r="H14" i="445"/>
  <c r="J14" i="226" l="1"/>
  <c r="C10" i="238"/>
  <c r="D10" i="238" s="1"/>
  <c r="D11" i="238" s="1"/>
  <c r="H12" i="446"/>
  <c r="H11" i="446"/>
  <c r="H14" i="446"/>
  <c r="H17" i="446"/>
  <c r="H18" i="446"/>
  <c r="E15" i="219"/>
  <c r="H15" i="219" s="1"/>
  <c r="O14" i="217"/>
  <c r="B14" i="389"/>
  <c r="G14" i="332"/>
  <c r="H14" i="332"/>
  <c r="I8" i="426"/>
  <c r="G6" i="287"/>
  <c r="F6" i="287"/>
  <c r="P6" i="287"/>
  <c r="H9" i="287"/>
  <c r="F9" i="287"/>
  <c r="G9" i="287"/>
  <c r="B9" i="333"/>
  <c r="D9" i="333" s="1"/>
  <c r="D13" i="389"/>
  <c r="E13" i="389"/>
  <c r="E15" i="389" s="1"/>
  <c r="H33" i="446"/>
  <c r="C15" i="389"/>
  <c r="I15" i="426"/>
  <c r="G11" i="287"/>
  <c r="B11" i="333"/>
  <c r="D11" i="333" s="1"/>
  <c r="I17" i="426"/>
  <c r="F7" i="287"/>
  <c r="I16" i="426"/>
  <c r="I18" i="426"/>
  <c r="I14" i="426"/>
  <c r="I7" i="426"/>
  <c r="I5" i="426"/>
  <c r="I12" i="426"/>
  <c r="I19" i="426"/>
  <c r="F11" i="287"/>
  <c r="B7" i="333"/>
  <c r="D7" i="333" s="1"/>
  <c r="I9" i="426"/>
  <c r="I6" i="426"/>
  <c r="I13" i="426"/>
  <c r="I10" i="426"/>
  <c r="I11" i="426"/>
  <c r="I11" i="242"/>
  <c r="C11" i="238"/>
  <c r="C14" i="386"/>
  <c r="I11" i="241"/>
  <c r="F12" i="227"/>
  <c r="C9" i="386"/>
  <c r="G18" i="386"/>
  <c r="E10" i="240"/>
  <c r="E9" i="225"/>
  <c r="J6" i="427"/>
  <c r="D11" i="240"/>
  <c r="E11" i="240" s="1"/>
  <c r="J8" i="427"/>
  <c r="D12" i="227"/>
  <c r="H8" i="287"/>
  <c r="P8" i="287"/>
  <c r="C11" i="386"/>
  <c r="B8" i="333"/>
  <c r="D8" i="333" s="1"/>
  <c r="P16" i="383"/>
  <c r="P14" i="384"/>
  <c r="P16" i="384" s="1"/>
  <c r="G5" i="287"/>
  <c r="G7" i="287"/>
  <c r="P5" i="287"/>
  <c r="L14" i="226"/>
  <c r="D14" i="223"/>
  <c r="F14" i="223" s="1"/>
  <c r="G11" i="241"/>
  <c r="N14" i="226"/>
  <c r="K14" i="226"/>
  <c r="F14" i="222"/>
  <c r="I12" i="427"/>
  <c r="P4" i="287"/>
  <c r="Q15" i="382"/>
  <c r="M14" i="226"/>
  <c r="H15" i="226"/>
  <c r="N15" i="226" s="1"/>
  <c r="Q14" i="382"/>
  <c r="B16" i="381" s="1"/>
  <c r="F8" i="287"/>
  <c r="B4" i="333"/>
  <c r="K14" i="384"/>
  <c r="H7" i="446"/>
  <c r="H3" i="446"/>
  <c r="H25" i="446"/>
  <c r="H4" i="446"/>
  <c r="H21" i="446"/>
  <c r="K11" i="242"/>
  <c r="N11" i="242"/>
  <c r="J11" i="241"/>
  <c r="F11" i="239"/>
  <c r="J5" i="235"/>
  <c r="J9" i="235"/>
  <c r="J7" i="235"/>
  <c r="J10" i="235"/>
  <c r="J6" i="235"/>
  <c r="J11" i="235"/>
  <c r="J4" i="235"/>
  <c r="I14" i="226"/>
  <c r="F14" i="219"/>
  <c r="G14" i="219"/>
  <c r="H14" i="219"/>
  <c r="Q14" i="217"/>
  <c r="R14" i="217"/>
  <c r="H34" i="446"/>
  <c r="H27" i="446"/>
  <c r="E10" i="287"/>
  <c r="G10" i="287" s="1"/>
  <c r="I11" i="214"/>
  <c r="J11" i="225"/>
  <c r="E16" i="384"/>
  <c r="H23" i="446"/>
  <c r="H35" i="446"/>
  <c r="J11" i="236"/>
  <c r="D14" i="333"/>
  <c r="G11" i="214"/>
  <c r="D11" i="225"/>
  <c r="E11" i="225" s="1"/>
  <c r="H11" i="214"/>
  <c r="K27" i="217"/>
  <c r="H29" i="446"/>
  <c r="F15" i="215"/>
  <c r="P14" i="217"/>
  <c r="H32" i="446"/>
  <c r="H5" i="446"/>
  <c r="Q16" i="383"/>
  <c r="H20" i="446"/>
  <c r="H26" i="446"/>
  <c r="H28" i="446"/>
  <c r="E15" i="215"/>
  <c r="H10" i="446"/>
  <c r="H30" i="446"/>
  <c r="H9" i="446"/>
  <c r="K16" i="383"/>
  <c r="C9" i="78"/>
  <c r="K16" i="382"/>
  <c r="P16" i="382"/>
  <c r="J11" i="427"/>
  <c r="H24" i="446"/>
  <c r="J5" i="274"/>
  <c r="H31" i="446"/>
  <c r="H22" i="446"/>
  <c r="H8" i="446"/>
  <c r="H19" i="446"/>
  <c r="H6" i="446"/>
  <c r="F14" i="224"/>
  <c r="D15" i="224"/>
  <c r="E14" i="224"/>
  <c r="M10" i="232"/>
  <c r="H11" i="232"/>
  <c r="K11" i="232" s="1"/>
  <c r="K10" i="232"/>
  <c r="Q11" i="227"/>
  <c r="C12" i="227"/>
  <c r="J10" i="232"/>
  <c r="F10" i="229"/>
  <c r="D11" i="229"/>
  <c r="J12" i="236"/>
  <c r="I9" i="427"/>
  <c r="J9" i="427"/>
  <c r="I5" i="427"/>
  <c r="N10" i="232"/>
  <c r="U11" i="227"/>
  <c r="G12" i="227"/>
  <c r="D14" i="336"/>
  <c r="G12" i="287"/>
  <c r="F12" i="287"/>
  <c r="B12" i="333"/>
  <c r="D12" i="333" s="1"/>
  <c r="H12" i="287"/>
  <c r="I10" i="232"/>
  <c r="G14" i="336"/>
  <c r="E10" i="229"/>
  <c r="J7" i="427"/>
  <c r="I7" i="427"/>
  <c r="D16" i="334"/>
  <c r="J10" i="236"/>
  <c r="J8" i="236"/>
  <c r="J5" i="236"/>
  <c r="J4" i="236"/>
  <c r="J6" i="236"/>
  <c r="J9" i="236"/>
  <c r="C14" i="273"/>
  <c r="L10" i="232"/>
  <c r="C14" i="272"/>
  <c r="J7" i="236"/>
  <c r="H11" i="227"/>
  <c r="D6" i="230"/>
  <c r="J13" i="427"/>
  <c r="C12" i="386"/>
  <c r="C7" i="386"/>
  <c r="C4" i="386"/>
  <c r="C8" i="386"/>
  <c r="C17" i="386"/>
  <c r="C6" i="386"/>
  <c r="C13" i="386"/>
  <c r="E18" i="386"/>
  <c r="C16" i="386"/>
  <c r="C3" i="386"/>
  <c r="C15" i="386"/>
  <c r="C10" i="386"/>
  <c r="C5" i="386"/>
  <c r="S14" i="217"/>
  <c r="N14" i="217"/>
  <c r="L14" i="217"/>
  <c r="C15" i="223"/>
  <c r="K15" i="384"/>
  <c r="T14" i="217"/>
  <c r="B25" i="379"/>
  <c r="B6" i="177"/>
  <c r="C3" i="177" s="1"/>
  <c r="M14" i="217"/>
  <c r="F15" i="224"/>
  <c r="F13" i="287"/>
  <c r="J7" i="396"/>
  <c r="K15" i="217"/>
  <c r="S15" i="217" s="1"/>
  <c r="E15" i="222"/>
  <c r="F15" i="222" s="1"/>
  <c r="B13" i="333"/>
  <c r="D13" i="333" s="1"/>
  <c r="I10" i="427"/>
  <c r="J11" i="242"/>
  <c r="M11" i="242"/>
  <c r="E15" i="224"/>
  <c r="G13" i="287"/>
  <c r="N16" i="384"/>
  <c r="C7" i="179"/>
  <c r="C18" i="386" l="1"/>
  <c r="G15" i="219"/>
  <c r="F15" i="219"/>
  <c r="H12" i="227"/>
  <c r="C10" i="230"/>
  <c r="I20" i="426"/>
  <c r="F11" i="240"/>
  <c r="D15" i="223"/>
  <c r="E15" i="223" s="1"/>
  <c r="E14" i="223"/>
  <c r="L15" i="226"/>
  <c r="I15" i="226"/>
  <c r="E14" i="389"/>
  <c r="D14" i="389"/>
  <c r="J15" i="226"/>
  <c r="M15" i="226"/>
  <c r="K15" i="226"/>
  <c r="Q16" i="382"/>
  <c r="D4" i="333"/>
  <c r="K16" i="384"/>
  <c r="H36" i="446"/>
  <c r="J12" i="235"/>
  <c r="F11" i="225"/>
  <c r="D12" i="225"/>
  <c r="I11" i="232"/>
  <c r="B10" i="333"/>
  <c r="D10" i="333" s="1"/>
  <c r="F10" i="287"/>
  <c r="H10" i="287"/>
  <c r="P10" i="287"/>
  <c r="J13" i="236"/>
  <c r="E11" i="229"/>
  <c r="F11" i="229"/>
  <c r="T15" i="217"/>
  <c r="P15" i="217"/>
  <c r="M15" i="217"/>
  <c r="O15" i="217"/>
  <c r="L15" i="217"/>
  <c r="R15" i="217"/>
  <c r="N15" i="217"/>
  <c r="Q15" i="217"/>
  <c r="L11" i="232"/>
  <c r="N11" i="232"/>
  <c r="J11" i="232"/>
  <c r="M11" i="232"/>
  <c r="G15" i="222"/>
  <c r="C5" i="177"/>
  <c r="C4" i="177"/>
  <c r="D17" i="334"/>
  <c r="D10" i="230" l="1"/>
  <c r="C11" i="230"/>
  <c r="D11" i="230" s="1"/>
  <c r="F15" i="223"/>
  <c r="C6" i="177"/>
  <c r="D18" i="334"/>
  <c r="D19" i="334" l="1"/>
  <c r="D21" i="334" l="1"/>
  <c r="D20" i="334"/>
  <c r="G14" i="228"/>
  <c r="G15" i="228" s="1"/>
  <c r="F15" i="228"/>
  <c r="K14" i="228" l="1"/>
  <c r="J14" i="228"/>
  <c r="L14" i="228"/>
  <c r="L15" i="228"/>
  <c r="H15" i="228"/>
  <c r="I15" i="228"/>
  <c r="J15" i="228"/>
  <c r="K15" i="228"/>
  <c r="I14" i="228"/>
  <c r="H14" i="228"/>
  <c r="F10" i="231"/>
  <c r="E11" i="231"/>
  <c r="H10" i="231" l="1"/>
  <c r="J10" i="231"/>
  <c r="F11" i="231"/>
  <c r="G11" i="231" s="1"/>
  <c r="G10" i="231"/>
  <c r="I10" i="231"/>
  <c r="J11" i="231" l="1"/>
  <c r="I11" i="231"/>
  <c r="H11" i="231"/>
  <c r="H10" i="233"/>
  <c r="G11" i="233"/>
  <c r="H11" i="233" l="1"/>
  <c r="J11" i="233" s="1"/>
  <c r="I10" i="233"/>
  <c r="K10" i="233"/>
  <c r="J10" i="233"/>
  <c r="M10" i="233"/>
  <c r="L10" i="233"/>
  <c r="N10" i="233"/>
  <c r="K11" i="233" l="1"/>
  <c r="I11" i="233"/>
  <c r="M11" i="233"/>
  <c r="L11" i="233"/>
  <c r="N11" i="233"/>
</calcChain>
</file>

<file path=xl/comments1.xml><?xml version="1.0" encoding="utf-8"?>
<comments xmlns="http://schemas.openxmlformats.org/spreadsheetml/2006/main">
  <authors>
    <author>beliza.rivas</author>
  </authors>
  <commentList>
    <comment ref="A11" authorId="0" shapeId="0">
      <text>
        <r>
          <rPr>
            <b/>
            <sz val="8"/>
            <color indexed="81"/>
            <rFont val="Tahoma"/>
            <family val="2"/>
          </rPr>
          <t>beliza.rivas:</t>
        </r>
        <r>
          <rPr>
            <sz val="8"/>
            <color indexed="81"/>
            <rFont val="Tahoma"/>
            <family val="2"/>
          </rPr>
          <t xml:space="preserve">
equivalente a 0,4% de la cotizacion total al Seguro de vejez, Discapacidad y Sobrevivencia  art. 56, ley 87-01 </t>
        </r>
      </text>
    </comment>
  </commentList>
</comments>
</file>

<file path=xl/comments2.xml><?xml version="1.0" encoding="utf-8"?>
<comments xmlns="http://schemas.openxmlformats.org/spreadsheetml/2006/main">
  <authors>
    <author xml:space="preserve"> </author>
  </authors>
  <commentList>
    <comment ref="D25" authorId="0" shapeId="0">
      <text>
        <r>
          <rPr>
            <b/>
            <sz val="12"/>
            <color indexed="81"/>
            <rFont val="Tahoma"/>
            <family val="2"/>
          </rPr>
          <t xml:space="preserve"> :</t>
        </r>
        <r>
          <rPr>
            <sz val="12"/>
            <color indexed="81"/>
            <rFont val="Tahoma"/>
            <family val="2"/>
          </rPr>
          <t xml:space="preserve">
Belisa rivas:
Incluye el Fondo de pensiones de INABIMA con valores reingresados y rendimientos de esos fondos reingresados
El monto histórico transferido incluye la suma de RD$ 665,256,523.65 que reingresaron en fecha 02/0/09 y RD$ 2,112532716.50 reingresados el 09//12/10. De estos montos fue pagada al Fondo de Pensiones INABIMA RD$600,595,145.34 el 02//09/09 y RD$2082772781.75 el 09/12/10 quedando pendiente la suma de 1,382,297,498.17</t>
        </r>
      </text>
    </comment>
  </commentList>
</comments>
</file>

<file path=xl/connections.xml><?xml version="1.0" encoding="utf-8"?>
<connections xmlns="http://schemas.openxmlformats.org/spreadsheetml/2006/main">
  <connection id="1" keepAlive="1" name="ThisWorkbookDataModel" description="Modelo de datos" type="5" refreshedVersion="5"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name="WorksheetConnection_III.5.15.Afil. SVDSxprov.!$A$3:$F$60" type="102" refreshedVersion="5" minRefreshableVersion="5">
    <extLst>
      <ext xmlns:x15="http://schemas.microsoft.com/office/spreadsheetml/2010/11/main" uri="{DE250136-89BD-433C-8126-D09CA5730AF9}">
        <x15:connection id="Rango-f3fe59bc-c8f1-4bec-80e6-b344c09d9773">
          <x15:rangePr sourceName="_xlcn.WorksheetConnection_III.5.15.Afil.SVDSxprov.A3F601"/>
        </x15:connection>
      </ext>
    </extLst>
  </connection>
</connections>
</file>

<file path=xl/sharedStrings.xml><?xml version="1.0" encoding="utf-8"?>
<sst xmlns="http://schemas.openxmlformats.org/spreadsheetml/2006/main" count="18549" uniqueCount="1040">
  <si>
    <t>Años</t>
  </si>
  <si>
    <t>Ocupada</t>
  </si>
  <si>
    <t>Cesantes</t>
  </si>
  <si>
    <t>Nuevos Desocupados</t>
  </si>
  <si>
    <t xml:space="preserve"> 2003</t>
  </si>
  <si>
    <t xml:space="preserve"> 2004</t>
  </si>
  <si>
    <t xml:space="preserve"> 2005</t>
  </si>
  <si>
    <t xml:space="preserve"> 2006</t>
  </si>
  <si>
    <t xml:space="preserve"> 2007</t>
  </si>
  <si>
    <t xml:space="preserve"> 2008</t>
  </si>
  <si>
    <t xml:space="preserve"> 2009</t>
  </si>
  <si>
    <t>Población Ocupada</t>
  </si>
  <si>
    <t xml:space="preserve"> Agricultura y Ganadería </t>
  </si>
  <si>
    <t xml:space="preserve"> Explotación de Minas y Canteras  </t>
  </si>
  <si>
    <t xml:space="preserve"> Industrias Manufactureras </t>
  </si>
  <si>
    <t xml:space="preserve"> Electricidad, Gas y Agua </t>
  </si>
  <si>
    <t xml:space="preserve"> Construcción  </t>
  </si>
  <si>
    <t xml:space="preserve"> Comercio al por Mayor y Menor </t>
  </si>
  <si>
    <t xml:space="preserve"> Hoteles, Bares y Restaurantes </t>
  </si>
  <si>
    <t xml:space="preserve"> Transporte y Comunicaciones </t>
  </si>
  <si>
    <t xml:space="preserve"> Intermediación Financiera y Seguros </t>
  </si>
  <si>
    <t xml:space="preserve"> Administración Pública y Defensa </t>
  </si>
  <si>
    <t xml:space="preserve"> Otros Servicios </t>
  </si>
  <si>
    <t>Total</t>
  </si>
  <si>
    <t>Afiliación al SDSS y Población Nacional Total</t>
  </si>
  <si>
    <t>Año</t>
  </si>
  <si>
    <t>Dic. 2005</t>
  </si>
  <si>
    <t>Dic. 2006</t>
  </si>
  <si>
    <t>Dic. 2007</t>
  </si>
  <si>
    <t>Dic. 2008</t>
  </si>
  <si>
    <t>Dic. 2009</t>
  </si>
  <si>
    <t xml:space="preserve"> </t>
  </si>
  <si>
    <t>Afiliación SDSS</t>
  </si>
  <si>
    <t>Población Total</t>
  </si>
  <si>
    <t>Dic.  2012</t>
  </si>
  <si>
    <t>Dic.  2013</t>
  </si>
  <si>
    <t>Dic.  2014</t>
  </si>
  <si>
    <t>Dic.  2015</t>
  </si>
  <si>
    <t>Dic.  2016</t>
  </si>
  <si>
    <t>Dic.  2017</t>
  </si>
  <si>
    <t>Dic.  2018</t>
  </si>
  <si>
    <t>Totales</t>
  </si>
  <si>
    <t>%</t>
  </si>
  <si>
    <t>Cuidado de la Salud</t>
  </si>
  <si>
    <t>Cotizantes</t>
  </si>
  <si>
    <t>Período</t>
  </si>
  <si>
    <t>Meses</t>
  </si>
  <si>
    <t>Fecha</t>
  </si>
  <si>
    <t>Masculino</t>
  </si>
  <si>
    <t>Femenino</t>
  </si>
  <si>
    <t>20-24</t>
  </si>
  <si>
    <t>25-29</t>
  </si>
  <si>
    <t>30-34</t>
  </si>
  <si>
    <t>35-39</t>
  </si>
  <si>
    <t>40-44</t>
  </si>
  <si>
    <t>45-49</t>
  </si>
  <si>
    <t>50-54</t>
  </si>
  <si>
    <t>55-59</t>
  </si>
  <si>
    <t>60-64</t>
  </si>
  <si>
    <t>Cantidad de Salarios Mínimos Cotizables</t>
  </si>
  <si>
    <t>20-24 años</t>
  </si>
  <si>
    <t>25-29 años</t>
  </si>
  <si>
    <t>40-44 años</t>
  </si>
  <si>
    <t>45-49 años</t>
  </si>
  <si>
    <t>50-54 años</t>
  </si>
  <si>
    <t>55-59 años</t>
  </si>
  <si>
    <t>0-1   salario</t>
  </si>
  <si>
    <t xml:space="preserve">1-2 salarios </t>
  </si>
  <si>
    <t xml:space="preserve">2-3 salarios  </t>
  </si>
  <si>
    <t xml:space="preserve">3-4 salarios </t>
  </si>
  <si>
    <t xml:space="preserve">4-6 salarios  </t>
  </si>
  <si>
    <t xml:space="preserve">6-8 salarios </t>
  </si>
  <si>
    <t xml:space="preserve">8-10 salarios </t>
  </si>
  <si>
    <t xml:space="preserve">10-15 salarios </t>
  </si>
  <si>
    <t xml:space="preserve">15 ó más salarios </t>
  </si>
  <si>
    <t>Mujeres</t>
  </si>
  <si>
    <t xml:space="preserve"> CCI</t>
  </si>
  <si>
    <t>Reparto</t>
  </si>
  <si>
    <t>TSS-INABIMA</t>
  </si>
  <si>
    <t>Seguro Vida</t>
  </si>
  <si>
    <t>Autoseguro IDSS</t>
  </si>
  <si>
    <t>Comision AFP</t>
  </si>
  <si>
    <t>Comision SIPEN</t>
  </si>
  <si>
    <t>INABIMA</t>
  </si>
  <si>
    <t xml:space="preserve">Camino </t>
  </si>
  <si>
    <t>Caribalico</t>
  </si>
  <si>
    <t>León</t>
  </si>
  <si>
    <t xml:space="preserve"> Popular</t>
  </si>
  <si>
    <t xml:space="preserve">Porvenir </t>
  </si>
  <si>
    <t xml:space="preserve"> Reservas </t>
  </si>
  <si>
    <t>Romana</t>
  </si>
  <si>
    <t>Scotia Crecer</t>
  </si>
  <si>
    <t>Siembra</t>
  </si>
  <si>
    <t>Total AFP</t>
  </si>
  <si>
    <t>FPBC</t>
  </si>
  <si>
    <t>Bco Reservas</t>
  </si>
  <si>
    <t>S.E.H.</t>
  </si>
  <si>
    <t>Total Reparto</t>
  </si>
  <si>
    <t>Total General</t>
  </si>
  <si>
    <t>Popular</t>
  </si>
  <si>
    <t>Reservas</t>
  </si>
  <si>
    <t>TOTAL</t>
  </si>
  <si>
    <t xml:space="preserve">FONAMAT </t>
  </si>
  <si>
    <t xml:space="preserve">Subsidios </t>
  </si>
  <si>
    <t>Comisión SISALRIL</t>
  </si>
  <si>
    <t>Estancias Infantiles</t>
  </si>
  <si>
    <t>ARS</t>
  </si>
  <si>
    <t>Fondos dispersados</t>
  </si>
  <si>
    <t>Humano</t>
  </si>
  <si>
    <t>Salud Segura</t>
  </si>
  <si>
    <t>Universal</t>
  </si>
  <si>
    <t>SENASA RC</t>
  </si>
  <si>
    <t>SEMMA</t>
  </si>
  <si>
    <t>La Colonial</t>
  </si>
  <si>
    <t>CMD</t>
  </si>
  <si>
    <t>Dr. Yunen</t>
  </si>
  <si>
    <t>Futuro</t>
  </si>
  <si>
    <t xml:space="preserve">Monumental </t>
  </si>
  <si>
    <t>Renacer</t>
  </si>
  <si>
    <t>METASALUD</t>
  </si>
  <si>
    <t>FFAA</t>
  </si>
  <si>
    <t>SEMUNASED</t>
  </si>
  <si>
    <t>Galeno</t>
  </si>
  <si>
    <t>Plamedin</t>
  </si>
  <si>
    <t>Aporte Gobierno</t>
  </si>
  <si>
    <t>Afiliados al Seguro de Riesgo Laborales por grupo de edad y sexo.</t>
  </si>
  <si>
    <t>Grupo Etario</t>
  </si>
  <si>
    <t>Hombres</t>
  </si>
  <si>
    <t>15-19</t>
  </si>
  <si>
    <t>65-69</t>
  </si>
  <si>
    <t>70-74</t>
  </si>
  <si>
    <t>75-79</t>
  </si>
  <si>
    <t>80-84</t>
  </si>
  <si>
    <t>&gt;85</t>
  </si>
  <si>
    <t xml:space="preserve"> ARL Salud Segura</t>
  </si>
  <si>
    <t>SISALRIL</t>
  </si>
  <si>
    <t>FSS (SRL)</t>
  </si>
  <si>
    <t>Total Casos</t>
  </si>
  <si>
    <t>Distrito Nacional</t>
  </si>
  <si>
    <t>Santo Domingo</t>
  </si>
  <si>
    <t xml:space="preserve">Total </t>
  </si>
  <si>
    <t>Estancias Infantiles (EI)</t>
  </si>
  <si>
    <t>Hombres %</t>
  </si>
  <si>
    <t>Mujeres %</t>
  </si>
  <si>
    <t>SRL: DISPERSION</t>
  </si>
  <si>
    <t>Total por Año</t>
  </si>
  <si>
    <t>Otros</t>
  </si>
  <si>
    <t>2002</t>
  </si>
  <si>
    <t xml:space="preserve"> 2010</t>
  </si>
  <si>
    <t>SRL DISPERSION</t>
  </si>
  <si>
    <t>Afiliados Totales</t>
  </si>
  <si>
    <t>Mes</t>
  </si>
  <si>
    <t>Ministerio de Hacienda</t>
  </si>
  <si>
    <t>Total / Mes</t>
  </si>
  <si>
    <t xml:space="preserve"> % Afiliados Dependientes</t>
  </si>
  <si>
    <t>UCEMED</t>
  </si>
  <si>
    <t xml:space="preserve">BMI </t>
  </si>
  <si>
    <t>IGMAM</t>
  </si>
  <si>
    <t>Serv. de Igualas Méd. Dr. Abel</t>
  </si>
  <si>
    <t>Saldos</t>
  </si>
  <si>
    <t>% / Total</t>
  </si>
  <si>
    <t>Total Empresas</t>
  </si>
  <si>
    <t>Total  Empleados</t>
  </si>
  <si>
    <t>Privado</t>
  </si>
  <si>
    <t>Público</t>
  </si>
  <si>
    <t>Público Centralizado</t>
  </si>
  <si>
    <t xml:space="preserve"> Total  </t>
  </si>
  <si>
    <t>Dispersión SVDS</t>
  </si>
  <si>
    <t xml:space="preserve">Traspasos Cedidos  en AFP y Reparto </t>
  </si>
  <si>
    <t xml:space="preserve">Traspasos Netos  en AFP y Reparto </t>
  </si>
  <si>
    <t>Promedio Sistema</t>
  </si>
  <si>
    <t>Promedio CCI</t>
  </si>
  <si>
    <t xml:space="preserve">Rentabilidad Nominal Promedio de los Fondos de Pensiones </t>
  </si>
  <si>
    <t>2007</t>
  </si>
  <si>
    <t>Desocupados total</t>
  </si>
  <si>
    <t>Inactivos</t>
  </si>
  <si>
    <t xml:space="preserve">   </t>
  </si>
  <si>
    <t>Cuentas</t>
  </si>
  <si>
    <t xml:space="preserve">Cantidad de Cotizantes del Sistema por Salario Mínimo Cotizable </t>
  </si>
  <si>
    <t>30-34 años</t>
  </si>
  <si>
    <t>35-39 años</t>
  </si>
  <si>
    <t xml:space="preserve">60 ó más </t>
  </si>
  <si>
    <t>Reparto Individualizado</t>
  </si>
  <si>
    <t>Edad</t>
  </si>
  <si>
    <t xml:space="preserve">  </t>
  </si>
  <si>
    <t>Tasa de crecimiento</t>
  </si>
  <si>
    <t xml:space="preserve">Pensiones Otorgadas </t>
  </si>
  <si>
    <t>Discapacidad</t>
  </si>
  <si>
    <t>Sobrevivencia</t>
  </si>
  <si>
    <t>Períodos</t>
  </si>
  <si>
    <t>Traspasos</t>
  </si>
  <si>
    <t>Dic. 2010</t>
  </si>
  <si>
    <t>2010</t>
  </si>
  <si>
    <t>Población Total del País</t>
  </si>
  <si>
    <t>Ministerio de  Hacienda</t>
  </si>
  <si>
    <t>Dic.2009</t>
  </si>
  <si>
    <t>Dic.2010</t>
  </si>
  <si>
    <t>Grupo Med. Asociado</t>
  </si>
  <si>
    <t xml:space="preserve">Plan Salud </t>
  </si>
  <si>
    <t>Constitución (ex IGMAN)</t>
  </si>
  <si>
    <t>Serv. Dominicano de Salud</t>
  </si>
  <si>
    <t xml:space="preserve">En Edad de Trabajo (PET)      </t>
  </si>
  <si>
    <t>Población  Económicamente Activa (PEA)</t>
  </si>
  <si>
    <t>% Cotizantes/ Pob. Asalariada</t>
  </si>
  <si>
    <t>Total Pensiones</t>
  </si>
  <si>
    <t>% Discapacidad</t>
  </si>
  <si>
    <t>% Sobrevivencia</t>
  </si>
  <si>
    <t xml:space="preserve"> Total Invertido</t>
  </si>
  <si>
    <t>Cuidado de la Salud *</t>
  </si>
  <si>
    <t>.</t>
  </si>
  <si>
    <t>% crecimiento</t>
  </si>
  <si>
    <t>Asoc. de Profesionales de la Salud</t>
  </si>
  <si>
    <t xml:space="preserve">Menor de 19 </t>
  </si>
  <si>
    <t>Traspasos Recibidos en AFP y Reparto</t>
  </si>
  <si>
    <t>% Patrimonio/ PIB</t>
  </si>
  <si>
    <t>Afiliación  RC</t>
  </si>
  <si>
    <t>Empresas Privadas</t>
  </si>
  <si>
    <r>
      <rPr>
        <b/>
        <sz val="14"/>
        <color indexed="8"/>
        <rFont val="Calibri"/>
        <family val="2"/>
      </rPr>
      <t>Afiliación. 
Son  beneficiarios del Seguro Familiar de Salud del Régimen Subsidiado:</t>
    </r>
    <r>
      <rPr>
        <sz val="14"/>
        <color indexed="8"/>
        <rFont val="Calibri"/>
        <family val="2"/>
      </rPr>
      <t xml:space="preserve">
a) Los desempleados, urbanos y rurales, así como sus familiares;
b) Los discapacitados, urbanos y rurales, siempre que no dependan económicamente de un padre o tutor afiliado a otro régimen y tengan derecho a ser protegido en otro régimen;
c) Los indigentes, urbanos y rurales, así como sus familiares, bajo las modalidades solidarias que establecerá el Poder Ejecutivo a propuesta del Consejo Nacional de Seguridad Social (CNSS).
</t>
    </r>
    <r>
      <rPr>
        <b/>
        <sz val="14"/>
        <color indexed="9"/>
        <rFont val="Calibri"/>
        <family val="2"/>
      </rPr>
      <t>Comparativo Afiliados al SFS del RS en relación a la Población Pobre</t>
    </r>
    <r>
      <rPr>
        <sz val="14"/>
        <color indexed="9"/>
        <rFont val="Calibri"/>
        <family val="2"/>
      </rPr>
      <t xml:space="preserve">
Muestra la comparación de los afiliados del Seguro Familiar de Salud (SFS) del Régimen Subsidiado (RS) con la población pobre del país.  Se observa que el41.6% de la población pobre está cubierta al 31 de octubre de 2010.
Para este escenario hipotético, los datos de la población pobre se calcularon tomando como base el 40% de la población total, de acuerdo a la estimación de CEPAL y el PNUD con el apoyo de la ONE.
</t>
    </r>
  </si>
  <si>
    <t>Densidad de Cotizantes</t>
  </si>
  <si>
    <t>% Masculino</t>
  </si>
  <si>
    <t>% Femenino</t>
  </si>
  <si>
    <t>2003</t>
  </si>
  <si>
    <t>2008</t>
  </si>
  <si>
    <t>2009</t>
  </si>
  <si>
    <t>2011</t>
  </si>
  <si>
    <t xml:space="preserve">Empresas Públicas </t>
  </si>
  <si>
    <t>Empresas Públicas Centralizadas</t>
  </si>
  <si>
    <t>Empleados Privados</t>
  </si>
  <si>
    <t xml:space="preserve">Empleados Públicos </t>
  </si>
  <si>
    <t>Empleados Públicos Centralizados</t>
  </si>
  <si>
    <t>Relación Promedio Empleados / Empresas</t>
  </si>
  <si>
    <t>Dic. 2011</t>
  </si>
  <si>
    <t>Dic.  2019</t>
  </si>
  <si>
    <t>Dic.  2020</t>
  </si>
  <si>
    <t>Dic.  2021</t>
  </si>
  <si>
    <t xml:space="preserve">%  RC </t>
  </si>
  <si>
    <t xml:space="preserve">%   RS </t>
  </si>
  <si>
    <t>Mes/Año</t>
  </si>
  <si>
    <t>Mes / Año</t>
  </si>
  <si>
    <t xml:space="preserve"> 2011</t>
  </si>
  <si>
    <t>% No Especificados</t>
  </si>
  <si>
    <t>%  Conexo</t>
  </si>
  <si>
    <t>%   Trayecto</t>
  </si>
  <si>
    <t>%   Trabajo</t>
  </si>
  <si>
    <t>No Especificado</t>
  </si>
  <si>
    <t>Conexo</t>
  </si>
  <si>
    <t>Trayecto</t>
  </si>
  <si>
    <t>Trabajo</t>
  </si>
  <si>
    <t>% Accidentes Laborales</t>
  </si>
  <si>
    <t>Enfermedades Profesionales</t>
  </si>
  <si>
    <t xml:space="preserve">Año </t>
  </si>
  <si>
    <t>2006</t>
  </si>
  <si>
    <t>2005</t>
  </si>
  <si>
    <t>2004</t>
  </si>
  <si>
    <t>% Accidente / Afiliación</t>
  </si>
  <si>
    <t>Afiliación al SRL</t>
  </si>
  <si>
    <t>% Región VIII</t>
  </si>
  <si>
    <t>% Región VII</t>
  </si>
  <si>
    <t>% Región VI</t>
  </si>
  <si>
    <t>% Región V</t>
  </si>
  <si>
    <t>% Región IV</t>
  </si>
  <si>
    <t>% Región III</t>
  </si>
  <si>
    <t>% Región II</t>
  </si>
  <si>
    <t>% Región I</t>
  </si>
  <si>
    <t>% Región 0</t>
  </si>
  <si>
    <t>Total Anual</t>
  </si>
  <si>
    <t>Región VIII</t>
  </si>
  <si>
    <t>Región VII</t>
  </si>
  <si>
    <t>Región VI</t>
  </si>
  <si>
    <t>Región V</t>
  </si>
  <si>
    <t>Región IV</t>
  </si>
  <si>
    <t>Región III</t>
  </si>
  <si>
    <t>Región II</t>
  </si>
  <si>
    <t>Región I</t>
  </si>
  <si>
    <t>Región 0</t>
  </si>
  <si>
    <t>Valverde</t>
  </si>
  <si>
    <t>Santiago Rodríguez</t>
  </si>
  <si>
    <t>Santiago de los Caballeros</t>
  </si>
  <si>
    <t>Sánchez Ramírez</t>
  </si>
  <si>
    <t>San Pedro de Macorís</t>
  </si>
  <si>
    <t>San Juan de la  Maguana</t>
  </si>
  <si>
    <t>San José de Ocoa</t>
  </si>
  <si>
    <t>San Cristóbal</t>
  </si>
  <si>
    <t>Samaná</t>
  </si>
  <si>
    <t>Salcedo</t>
  </si>
  <si>
    <t xml:space="preserve">Puerto Plata </t>
  </si>
  <si>
    <t>Peravia</t>
  </si>
  <si>
    <t>Pedernales</t>
  </si>
  <si>
    <t>Montecristi</t>
  </si>
  <si>
    <t>Monte Plata</t>
  </si>
  <si>
    <t>Monseñor Nouel</t>
  </si>
  <si>
    <t>María Trinidad Sánchez</t>
  </si>
  <si>
    <t>La Vega</t>
  </si>
  <si>
    <t>La Romana</t>
  </si>
  <si>
    <t>Independencia</t>
  </si>
  <si>
    <t>Hato Mayor</t>
  </si>
  <si>
    <t>Espaillat</t>
  </si>
  <si>
    <t>El Seybo</t>
  </si>
  <si>
    <t>Duarte</t>
  </si>
  <si>
    <t>Dajabón</t>
  </si>
  <si>
    <t>Barahona</t>
  </si>
  <si>
    <t>Bahoruco</t>
  </si>
  <si>
    <t>Azua</t>
  </si>
  <si>
    <t>% por Provincia</t>
  </si>
  <si>
    <t>Provincias</t>
  </si>
  <si>
    <t>% No Especificado</t>
  </si>
  <si>
    <t>% Urbano</t>
  </si>
  <si>
    <t>% Rural</t>
  </si>
  <si>
    <t>No Especificada</t>
  </si>
  <si>
    <t>Urbana</t>
  </si>
  <si>
    <t>Rural</t>
  </si>
  <si>
    <t>% Privado</t>
  </si>
  <si>
    <t>% Público</t>
  </si>
  <si>
    <t>Sector Privado</t>
  </si>
  <si>
    <t>Sector Público</t>
  </si>
  <si>
    <t>Total Afiliados  SRL</t>
  </si>
  <si>
    <t>Afiliados al SRL Sector Privado</t>
  </si>
  <si>
    <t>Afiliados al SRL Sector Público</t>
  </si>
  <si>
    <t>% Accidentados / Afiliados  Masculino</t>
  </si>
  <si>
    <t>% Accidentados / Afiliados Femenino</t>
  </si>
  <si>
    <t>Total Afiliados SRL</t>
  </si>
  <si>
    <t>Afiliados al SRL Masculino</t>
  </si>
  <si>
    <t>Afiliados al SRL Femenino</t>
  </si>
  <si>
    <t>Total Accidentados</t>
  </si>
  <si>
    <t>Accidentados Masculino</t>
  </si>
  <si>
    <t>Accidentados Femenino</t>
  </si>
  <si>
    <t>% Accidentados Mayor de 60 años</t>
  </si>
  <si>
    <t>% Accidentados 50 -59 años</t>
  </si>
  <si>
    <t>% Accidentados 40 -49 años</t>
  </si>
  <si>
    <t>% Accidentados Menor de 20 años</t>
  </si>
  <si>
    <t>Mayor de 60 años</t>
  </si>
  <si>
    <t>50 - 59</t>
  </si>
  <si>
    <t>40 - 49</t>
  </si>
  <si>
    <t>30 - 39</t>
  </si>
  <si>
    <t>20 - 29</t>
  </si>
  <si>
    <t>Menor de 20 años</t>
  </si>
  <si>
    <t>%  Accid./Afil. mayor de 60 años</t>
  </si>
  <si>
    <t>%  Accid./Afil.  de 50 - 59 años</t>
  </si>
  <si>
    <t>% Accid./Afil.  de 40 - 49 años</t>
  </si>
  <si>
    <t>% Accid./Afil.  de 30 - 39 años</t>
  </si>
  <si>
    <t>% Accid./Afil.  de 20 - 29 años</t>
  </si>
  <si>
    <t>% Accid./Afil. menor de 20 años</t>
  </si>
  <si>
    <t>Total Afiliados al SRL</t>
  </si>
  <si>
    <t>Afiliados al SRL menor de 20 años</t>
  </si>
  <si>
    <t>Mayores de 60 años</t>
  </si>
  <si>
    <t>Accidentados Menores  de 20 años</t>
  </si>
  <si>
    <t>% Superior</t>
  </si>
  <si>
    <t>% Medio</t>
  </si>
  <si>
    <t>% Básico</t>
  </si>
  <si>
    <t>% Ninguno</t>
  </si>
  <si>
    <t>Superior</t>
  </si>
  <si>
    <t>Medio</t>
  </si>
  <si>
    <t>Básico</t>
  </si>
  <si>
    <t>Ninguno</t>
  </si>
  <si>
    <t>% Declinado</t>
  </si>
  <si>
    <t>% Aprobado</t>
  </si>
  <si>
    <t>Declinados</t>
  </si>
  <si>
    <t xml:space="preserve">Aprobados </t>
  </si>
  <si>
    <t>Total Casos Reportados</t>
  </si>
  <si>
    <t>Total Casos Calificados</t>
  </si>
  <si>
    <t>% Sin lesión</t>
  </si>
  <si>
    <t>% Mortal</t>
  </si>
  <si>
    <t>%  Grave</t>
  </si>
  <si>
    <t>% Moderado</t>
  </si>
  <si>
    <t>% Leve</t>
  </si>
  <si>
    <t xml:space="preserve"> No Especificados</t>
  </si>
  <si>
    <t>Sin lesión</t>
  </si>
  <si>
    <t>Mortal</t>
  </si>
  <si>
    <t>Grave</t>
  </si>
  <si>
    <t>Moderado</t>
  </si>
  <si>
    <t>Leve</t>
  </si>
  <si>
    <t>%Factor Personal</t>
  </si>
  <si>
    <t>% Factor de Trabajo</t>
  </si>
  <si>
    <t>%  Factor de Organizacion</t>
  </si>
  <si>
    <t>% Condición Fuera de Norma</t>
  </si>
  <si>
    <t>% Acto Fuera de Norma</t>
  </si>
  <si>
    <t>Factor Personal</t>
  </si>
  <si>
    <t>Factor de Trabajo</t>
  </si>
  <si>
    <t>Factor de Organizacion</t>
  </si>
  <si>
    <t>Condición Fuera de Norma</t>
  </si>
  <si>
    <t>Acto Fuera de Norma</t>
  </si>
  <si>
    <t>% por Mecanismo</t>
  </si>
  <si>
    <t>Mecanismo</t>
  </si>
  <si>
    <t>Otros agentes no clasificados</t>
  </si>
  <si>
    <t>Radiaciones</t>
  </si>
  <si>
    <t>Medio de Transporte</t>
  </si>
  <si>
    <t>Materiales o sustancias</t>
  </si>
  <si>
    <t>Maquinarias y/o equipos</t>
  </si>
  <si>
    <t>Herramientas e implementos</t>
  </si>
  <si>
    <t>Animales o productos animales</t>
  </si>
  <si>
    <t>Ambiente de trabajo</t>
  </si>
  <si>
    <t>Parqueos o área de circulación vehicular</t>
  </si>
  <si>
    <t>Otras áreas comunes</t>
  </si>
  <si>
    <t>Oficinas</t>
  </si>
  <si>
    <t>Escaleras</t>
  </si>
  <si>
    <t>Corredores o pasillos</t>
  </si>
  <si>
    <t>Area de recreación</t>
  </si>
  <si>
    <t xml:space="preserve">Area de producción </t>
  </si>
  <si>
    <t>Almacenes o depósitos</t>
  </si>
  <si>
    <t>Lugar del Accidente</t>
  </si>
  <si>
    <t>No especificado</t>
  </si>
  <si>
    <t>% Declinados</t>
  </si>
  <si>
    <t>% Aprobados</t>
  </si>
  <si>
    <t>%   Leve</t>
  </si>
  <si>
    <t>Tipo de Subsidio</t>
  </si>
  <si>
    <t>Maternidad</t>
  </si>
  <si>
    <t>Lactancia</t>
  </si>
  <si>
    <t>%  RET</t>
  </si>
  <si>
    <t xml:space="preserve">Ocupada Informal </t>
  </si>
  <si>
    <t xml:space="preserve">Accidentes Laborales </t>
  </si>
  <si>
    <t>Total Casos de Accid. Laborales y Enf. Prof.</t>
  </si>
  <si>
    <t>Lesión Discapacitante</t>
  </si>
  <si>
    <t>Enfermedad</t>
  </si>
  <si>
    <t>Enfermedad Común</t>
  </si>
  <si>
    <t>% Enfermedades Profesionales</t>
  </si>
  <si>
    <r>
      <rPr>
        <b/>
        <sz val="18"/>
        <color indexed="8"/>
        <rFont val="Calibri"/>
        <family val="2"/>
      </rPr>
      <t xml:space="preserve">Administradoras de Riesgos de Salud (ARS) de Autogestión, </t>
    </r>
    <r>
      <rPr>
        <sz val="16"/>
        <color indexed="8"/>
        <rFont val="Calibri"/>
        <family val="2"/>
      </rPr>
      <t>son  ARS habilitadas por la SISALRIL que al momento de promulgarse la ley de seguridad social, operaban como seguro de salud o igualas médicas, destinadas a la administración de los riesgos de salud de los trabajadores de una institución determinada, sectores profesionales, técnicos y/o miembros de entidades asociativas; estas afilian de manera exclusiva a aquellos empleados de la institución o miembros del gremio para la cual fue habilitada, y sus dependientes.</t>
    </r>
    <r>
      <rPr>
        <b/>
        <sz val="18"/>
        <color indexed="8"/>
        <rFont val="Calibri"/>
        <family val="2"/>
      </rPr>
      <t xml:space="preserve">
                                                                                                                                                                                                                                                                                                                                                                                                                       </t>
    </r>
    <r>
      <rPr>
        <sz val="16"/>
        <color indexed="8"/>
        <rFont val="Calibri"/>
        <family val="2"/>
      </rPr>
      <t xml:space="preserve">
</t>
    </r>
    <r>
      <rPr>
        <b/>
        <sz val="18"/>
        <color indexed="8"/>
        <rFont val="Calibri"/>
        <family val="2"/>
      </rPr>
      <t xml:space="preserve">Prestadoras de Servicios de Salud (PSS), </t>
    </r>
    <r>
      <rPr>
        <sz val="16"/>
        <color indexed="8"/>
        <rFont val="Calibri"/>
        <family val="2"/>
      </rPr>
      <t xml:space="preserve">son personas físicas legalmente facultadas o entidades públicas, privadas o mixtas, descentralizadas, con patrimonio propio y personería jurídica, dedicadas a la provisión de servicios ambulatorios, de diagnósticos, hospitalarios y quirúrgicos; habilitadas por la Secretaría de Estado de Salud Pública y Asistencia Social (SESPAS) de acuerdo a la ley General de Salud.
</t>
    </r>
    <r>
      <rPr>
        <b/>
        <sz val="18"/>
        <color indexed="8"/>
        <rFont val="Calibri"/>
        <family val="2"/>
      </rPr>
      <t xml:space="preserve">Administradora de Riesgos Laborales (ARL), </t>
    </r>
    <r>
      <rPr>
        <sz val="16"/>
        <color indexed="8"/>
        <rFont val="Calibri"/>
        <family val="2"/>
      </rPr>
      <t xml:space="preserve">es una entidad de servicios especializada en administración de riesgos laborales encargada de garantizar un sistema de prevención, prestaciones económicas y de salud a todos los afiliados del Seguro de Riesgos Laborales.
</t>
    </r>
    <r>
      <rPr>
        <b/>
        <sz val="18"/>
        <color indexed="8"/>
        <rFont val="Calibri"/>
        <family val="2"/>
      </rPr>
      <t>Comisiones Médicas Regionales (CMR)</t>
    </r>
    <r>
      <rPr>
        <sz val="16"/>
        <color indexed="8"/>
        <rFont val="Calibri"/>
        <family val="2"/>
      </rPr>
      <t xml:space="preserve">, son  entidades formadas por tres médicos designados por el CNSS para determinar el grado de discapacidad, siguiendo las normas de evaluación y calificación del grado de discapacidad, elaboradas por el Consejo Nacional de la Seguridad Social.
</t>
    </r>
    <r>
      <rPr>
        <b/>
        <sz val="16"/>
        <color indexed="8"/>
        <rFont val="Calibri"/>
        <family val="2"/>
      </rPr>
      <t xml:space="preserve">
</t>
    </r>
    <r>
      <rPr>
        <b/>
        <sz val="18"/>
        <color indexed="8"/>
        <rFont val="Calibri"/>
        <family val="2"/>
      </rPr>
      <t>Comisión Médica Nacional (CMN</t>
    </r>
    <r>
      <rPr>
        <b/>
        <sz val="16"/>
        <color indexed="8"/>
        <rFont val="Calibri"/>
        <family val="2"/>
      </rPr>
      <t xml:space="preserve">), </t>
    </r>
    <r>
      <rPr>
        <sz val="16"/>
        <color indexed="8"/>
        <rFont val="Calibri"/>
        <family val="2"/>
      </rPr>
      <t xml:space="preserve"> es una instancia de apelación cuya función es revisar, validar o rechazar los dictámenes de las Comisiones Médicas Regionales.
</t>
    </r>
    <r>
      <rPr>
        <b/>
        <sz val="16"/>
        <color indexed="8"/>
        <rFont val="Calibri"/>
        <family val="2"/>
      </rPr>
      <t xml:space="preserve">
</t>
    </r>
    <r>
      <rPr>
        <b/>
        <sz val="18"/>
        <color indexed="8"/>
        <rFont val="Calibri"/>
        <family val="2"/>
      </rPr>
      <t xml:space="preserve">Comisión Técnica sobre Discapacidad (CTD), </t>
    </r>
    <r>
      <rPr>
        <sz val="16"/>
        <color indexed="8"/>
        <rFont val="Calibri"/>
        <family val="2"/>
      </rPr>
      <t xml:space="preserve"> se encarga de establecer las normas, criterios y parámetros para evaluar y calificar el grado de discapacidad de los afiliados de las Administradoras de Fondos de Pensiones (AFP). 
 </t>
    </r>
    <r>
      <rPr>
        <b/>
        <sz val="16"/>
        <color indexed="8"/>
        <rFont val="Calibri"/>
        <family val="2"/>
      </rPr>
      <t xml:space="preserve">
</t>
    </r>
    <r>
      <rPr>
        <b/>
        <sz val="18"/>
        <color indexed="8"/>
        <rFont val="Calibri"/>
        <family val="2"/>
      </rPr>
      <t xml:space="preserve">UNIPAGO, </t>
    </r>
    <r>
      <rPr>
        <sz val="16"/>
        <color indexed="8"/>
        <rFont val="Calibri"/>
        <family val="2"/>
      </rPr>
      <t xml:space="preserve">es la empresa procesadora de la base de datos (EPBD) del Sistema Dominicano de Seguridad Social (SDSS), referenciada en la Ley 87-01 en su artículo 86, párrafo IV en el cual se establece que:
“El gobierno concede la operación de la base de datos a una empresa privada cuyos accionistas sean las Administradoras de Fondos de Pensiones (AFP) y las Administradoras de Riesgos de Salud (ARS), que será encargada de la tesorería y de la administración del sistema único de registro, así como el procesamiento de la información".
</t>
    </r>
    <r>
      <rPr>
        <b/>
        <sz val="18"/>
        <color indexed="8"/>
        <rFont val="Calibri"/>
        <family val="2"/>
      </rPr>
      <t xml:space="preserve">Patronato de Recaudo e Informática de la Seguridad Social (PRISS), </t>
    </r>
    <r>
      <rPr>
        <sz val="18"/>
        <color indexed="8"/>
        <rFont val="Calibri"/>
        <family val="2"/>
      </rPr>
      <t>e</t>
    </r>
    <r>
      <rPr>
        <sz val="16"/>
        <color indexed="8"/>
        <rFont val="Calibri"/>
        <family val="2"/>
      </rPr>
      <t xml:space="preserve">s una entidad sin fines de lucro que contrató el Consejo Nacional de la Seguridad Social (CNSS) exclusivamente para administrar el sistema único de información y recaudar los recursos financieros del sistema, mediante concesión y por cuenta de la Tesorería de la Seguridad Social.
</t>
    </r>
    <r>
      <rPr>
        <b/>
        <sz val="18"/>
        <color indexed="8"/>
        <rFont val="Calibri"/>
        <family val="2"/>
      </rPr>
      <t xml:space="preserve"> </t>
    </r>
    <r>
      <rPr>
        <b/>
        <sz val="22"/>
        <color indexed="8"/>
        <rFont val="Calibri"/>
        <family val="2"/>
      </rPr>
      <t xml:space="preserve"> II. Instituciones y Organismos Afines:</t>
    </r>
    <r>
      <rPr>
        <b/>
        <sz val="20"/>
        <color indexed="8"/>
        <rFont val="Calibri"/>
        <family val="2"/>
      </rPr>
      <t xml:space="preserve">
</t>
    </r>
    <r>
      <rPr>
        <sz val="16"/>
        <color indexed="8"/>
        <rFont val="Calibri"/>
        <family val="2"/>
      </rPr>
      <t xml:space="preserve">
</t>
    </r>
    <r>
      <rPr>
        <b/>
        <sz val="18"/>
        <color indexed="8"/>
        <rFont val="Calibri"/>
        <family val="2"/>
      </rPr>
      <t xml:space="preserve">Sistema Nacional de Salud (SNS), </t>
    </r>
    <r>
      <rPr>
        <sz val="16"/>
        <color indexed="8"/>
        <rFont val="Calibri"/>
        <family val="2"/>
      </rPr>
      <t xml:space="preserve"> es el conjunto interrelacionado de elementos, mecanismos de integración, formas de financiamiento, provisión de servicios, recursos humanos y modelos de administración de las instituciones públicas y privadas, legalmente constituida y reglamentadas por el Estado, así como por los movimientos de la comunidad y las personas físicas o morales que realicen acciones de salud y cuya función principal sea atender mediante servicios de carácter nacional o local la salud de la población
</t>
    </r>
    <r>
      <rPr>
        <b/>
        <sz val="18"/>
        <color indexed="8"/>
        <rFont val="Calibri"/>
        <family val="2"/>
      </rPr>
      <t xml:space="preserve">
Ministerio de Salud Pública y Asistencia Social (MISPAS), </t>
    </r>
    <r>
      <rPr>
        <sz val="16"/>
        <color indexed="8"/>
        <rFont val="Calibri"/>
        <family val="2"/>
      </rPr>
      <t xml:space="preserve">es el organismo rector en materia de salud el cual debe ejercer a través de sus instancias técnicas centrales y sus expresiones territoriales desconcentradas; es la máxima autoridad nacional en aspecto de salud, para regular la producción social de salud, dirigir y conducir políticas y acciones sanitarias; movilizar recursos de toda índole; vigilar la salud; coordinar acciones de las diferentes instituciones públicas y privadas y de otros sectores comprometidos con la salud, para el cumplimiento de las Políticas Nacionales de Salud.
</t>
    </r>
    <r>
      <rPr>
        <b/>
        <sz val="18"/>
        <color indexed="8"/>
        <rFont val="Calibri"/>
        <family val="2"/>
      </rPr>
      <t xml:space="preserve">Instituto Dominicano de Seguros Sociales (IDSS), </t>
    </r>
    <r>
      <rPr>
        <sz val="16"/>
        <color indexed="8"/>
        <rFont val="Calibri"/>
        <family val="2"/>
      </rPr>
      <t xml:space="preserve">es una Institución creada por la Ley 1896-48 con personería jurídica propia, cuya función principal es la prestación de los servicios a los trabajadores privados asegurados y las compensaciones económicas de los pensionados y accidentados de trabajo.
La Ley 87-01 en su Art. 164 le otorga al IDSS la conservación de su personería jurídica, patrimonio, carácter público y tripartito y se transformará en una entidad administradora de riesgos y proveedora de servicios de salud y riesgos laborales, sin las funciones de dirección, regulación y financiamiento.
</t>
    </r>
    <r>
      <rPr>
        <b/>
        <sz val="18"/>
        <color indexed="8"/>
        <rFont val="Calibri"/>
        <family val="2"/>
      </rPr>
      <t xml:space="preserve">Sistema Único de Beneficiarios  (SIUBEN) </t>
    </r>
    <r>
      <rPr>
        <sz val="16"/>
        <color indexed="8"/>
        <rFont val="Calibri"/>
        <family val="2"/>
      </rPr>
      <t xml:space="preserve">
Sistema de información y registro de beneficiarios del Gabinete de Coordinación de Política Social que tiene como finalidad la identificación y evaluación socioeconómica de las familias a fin de clasificarlas, priorizarlas y seleccionarlas, en vista a determinar su posible acceso a programas sociales y subsidios monetarios, es decir, que ordena a los hogares por criterios de carencias socioeconómicas, al mismo tiempo que provee la información de los hogares que demandan ayuda.</t>
    </r>
  </si>
  <si>
    <t>Elías Piña</t>
  </si>
  <si>
    <t>Hermanas Mirabal</t>
  </si>
  <si>
    <t>San Juan de la Maguana</t>
  </si>
  <si>
    <t>Mar.12</t>
  </si>
  <si>
    <t>Dic.09</t>
  </si>
  <si>
    <t>Dic.10</t>
  </si>
  <si>
    <t>Dic.11</t>
  </si>
  <si>
    <t xml:space="preserve">Intrumentos </t>
  </si>
  <si>
    <t xml:space="preserve">Inversión </t>
  </si>
  <si>
    <t>Bonos del Gobierno Central</t>
  </si>
  <si>
    <t>Bonos Corporativos</t>
  </si>
  <si>
    <t>Bonos Ordinarios</t>
  </si>
  <si>
    <t>Otras Inversiones</t>
  </si>
  <si>
    <t>Total Inversiones</t>
  </si>
  <si>
    <t>Adm. Serv. Médicos Amor y Paz</t>
  </si>
  <si>
    <t>Palic Salud</t>
  </si>
  <si>
    <t>% Accidentados
 20 -29 años</t>
  </si>
  <si>
    <t>% Accidentados
 30 -39 años</t>
  </si>
  <si>
    <t>Certificados de Depósitos</t>
  </si>
  <si>
    <t>Ocupada Sector Formal</t>
  </si>
  <si>
    <t xml:space="preserve"> No Especificado</t>
  </si>
  <si>
    <t xml:space="preserve"> 2002</t>
  </si>
  <si>
    <t>Bco. Reservas</t>
  </si>
  <si>
    <t>Enero</t>
  </si>
  <si>
    <t>Febrero</t>
  </si>
  <si>
    <t>Marzo</t>
  </si>
  <si>
    <t>Abril</t>
  </si>
  <si>
    <t>Mayo</t>
  </si>
  <si>
    <t>Junio</t>
  </si>
  <si>
    <t>Ingresos del SDSS</t>
  </si>
  <si>
    <t>Egreso del SDSS</t>
  </si>
  <si>
    <t>Ingresos SDSS</t>
  </si>
  <si>
    <t>Egresos SDSS</t>
  </si>
  <si>
    <t>Ocupada Formal</t>
  </si>
  <si>
    <t xml:space="preserve"> Sin Individualizar</t>
  </si>
  <si>
    <t xml:space="preserve">Nota de Renta Fija </t>
  </si>
  <si>
    <t xml:space="preserve">Certificados de Ventanillas </t>
  </si>
  <si>
    <t>Julio</t>
  </si>
  <si>
    <t>Afiliados  SRL</t>
  </si>
  <si>
    <t>Altagracia</t>
  </si>
  <si>
    <t>%  Accidentado /Afiliado Sector Público</t>
  </si>
  <si>
    <t xml:space="preserve">    % Accidentado /Afiliado Sector Privado</t>
  </si>
  <si>
    <t xml:space="preserve"> FSS</t>
  </si>
  <si>
    <t>Agosto</t>
  </si>
  <si>
    <t>Pensionados de Hacienda</t>
  </si>
  <si>
    <t>Saldo  (Ingresos - Egresos SDSS)</t>
  </si>
  <si>
    <t>May.12</t>
  </si>
  <si>
    <t>Jun.12</t>
  </si>
  <si>
    <t>Sep.12</t>
  </si>
  <si>
    <t>Septiembre</t>
  </si>
  <si>
    <t xml:space="preserve">    </t>
  </si>
  <si>
    <t>Octubre</t>
  </si>
  <si>
    <t>Noviembre</t>
  </si>
  <si>
    <t>Diciembre</t>
  </si>
  <si>
    <t>PEA (Hombres)</t>
  </si>
  <si>
    <t>PEA (Mujeres)</t>
  </si>
  <si>
    <t>% Hombres /PEA</t>
  </si>
  <si>
    <t>%  Mujeres / PEA</t>
  </si>
  <si>
    <t>Cotizantes Totales al Sistema de Pensiones</t>
  </si>
  <si>
    <t>Hombres Cotizantes</t>
  </si>
  <si>
    <t>Mujeres Cotizantes</t>
  </si>
  <si>
    <t>% Hombres Cotizantes</t>
  </si>
  <si>
    <t>% Mujeres Cotizantes</t>
  </si>
  <si>
    <t>Tipo Accidente</t>
  </si>
  <si>
    <t>Población Económicamente Activa (PEA) Total</t>
  </si>
  <si>
    <t>Dic. 2012</t>
  </si>
  <si>
    <t>2012</t>
  </si>
  <si>
    <t>Dic.08</t>
  </si>
  <si>
    <t>Dic.12</t>
  </si>
  <si>
    <t>Dic.2007</t>
  </si>
  <si>
    <t>Dic.2008</t>
  </si>
  <si>
    <t>Dic.2011</t>
  </si>
  <si>
    <t>Dic.2012</t>
  </si>
  <si>
    <t xml:space="preserve"> 2012</t>
  </si>
  <si>
    <r>
      <rPr>
        <b/>
        <sz val="11"/>
        <color indexed="8"/>
        <rFont val="Calibri"/>
        <family val="2"/>
      </rPr>
      <t>Actividad conexa:</t>
    </r>
    <r>
      <rPr>
        <sz val="11"/>
        <color indexed="8"/>
        <rFont val="Calibri"/>
        <family val="2"/>
      </rPr>
      <t xml:space="preserve">  Está relacionada con la activdad productiva, pero no representa beneficios directos para la empresa o para la actividad en sí.</t>
    </r>
  </si>
  <si>
    <t>Pensiones Sobrevivencia</t>
  </si>
  <si>
    <t>Plan Sustitutivo - Banco Central</t>
  </si>
  <si>
    <t>Plan Sustitutivo - Banco de Reservas</t>
  </si>
  <si>
    <t>Concepto</t>
  </si>
  <si>
    <t>IDSS</t>
  </si>
  <si>
    <t>Plan Sustitutivo BR</t>
  </si>
  <si>
    <t>Plan Sustitutivo BCRD</t>
  </si>
  <si>
    <t>Mar. 08</t>
  </si>
  <si>
    <t>Sep.08</t>
  </si>
  <si>
    <t>Mar.09</t>
  </si>
  <si>
    <t>Sep.09</t>
  </si>
  <si>
    <t>Mar.10</t>
  </si>
  <si>
    <t>Sep.11</t>
  </si>
  <si>
    <t>Sep.10</t>
  </si>
  <si>
    <t>Mar.11</t>
  </si>
  <si>
    <t>Mar. 07</t>
  </si>
  <si>
    <t>Sep.07</t>
  </si>
  <si>
    <t>Dic.07</t>
  </si>
  <si>
    <t>Mar. 06</t>
  </si>
  <si>
    <t>Sep.06</t>
  </si>
  <si>
    <t>Dic.06</t>
  </si>
  <si>
    <t xml:space="preserve">Promedio </t>
  </si>
  <si>
    <t>Jun.10</t>
  </si>
  <si>
    <t>Jun.11</t>
  </si>
  <si>
    <t>S</t>
  </si>
  <si>
    <t>D</t>
  </si>
  <si>
    <t>Jun.08</t>
  </si>
  <si>
    <t>Promedio</t>
  </si>
  <si>
    <t>Discapacidad Parcial</t>
  </si>
  <si>
    <t>Discapacidad Total</t>
  </si>
  <si>
    <t>Afiliados</t>
  </si>
  <si>
    <t>Afiliados Masculinos</t>
  </si>
  <si>
    <t>Cotizantes Femeninos</t>
  </si>
  <si>
    <t>Cotizantes Masculinos</t>
  </si>
  <si>
    <t>Afiliados Femeninos</t>
  </si>
  <si>
    <t xml:space="preserve">Afiliados </t>
  </si>
  <si>
    <t xml:space="preserve">Cotizantes     </t>
  </si>
  <si>
    <t>Afiliación   RET</t>
  </si>
  <si>
    <t xml:space="preserve">Cápitas pagadas/  Afiliación </t>
  </si>
  <si>
    <t xml:space="preserve">Afiliados Titulares </t>
  </si>
  <si>
    <t xml:space="preserve">Afiliados Dependientes </t>
  </si>
  <si>
    <t>Afiliación        SFS RS</t>
  </si>
  <si>
    <t>Afiliación Total</t>
  </si>
  <si>
    <t xml:space="preserve">Afiliación  ARS Salud Segura </t>
  </si>
  <si>
    <t xml:space="preserve">Afiliación ARS SENASA </t>
  </si>
  <si>
    <t>Afiliación ARS SEMMA</t>
  </si>
  <si>
    <t>Afiliación    Total</t>
  </si>
  <si>
    <t>% Población Total Afiliada al  SFS</t>
  </si>
  <si>
    <t>Población Nacional Total</t>
  </si>
  <si>
    <t>% Afiliación SFS /Pob. Total</t>
  </si>
  <si>
    <t>Dic.13</t>
  </si>
  <si>
    <t>Oct.14</t>
  </si>
  <si>
    <t>% Empresas por rango</t>
  </si>
  <si>
    <t>% Empleados por rango</t>
  </si>
  <si>
    <t>Total empresas</t>
  </si>
  <si>
    <t>Empresas por rango</t>
  </si>
  <si>
    <t>Empleados por rango</t>
  </si>
  <si>
    <t>Afiliados Titulares RC</t>
  </si>
  <si>
    <t>Depend.  Directos  RC</t>
  </si>
  <si>
    <t>Depend.  Adicionales RC</t>
  </si>
  <si>
    <t xml:space="preserve">Afiliación Total SFS RC </t>
  </si>
  <si>
    <t>Dic.2013</t>
  </si>
  <si>
    <t>Cobertura Afiliación  RC</t>
  </si>
  <si>
    <t>Cobertura Afiliación  Total al SFS</t>
  </si>
  <si>
    <t>Indice de dependencia</t>
  </si>
  <si>
    <r>
      <rPr>
        <b/>
        <sz val="12"/>
        <color theme="1"/>
        <rFont val="Calibri"/>
        <family val="2"/>
        <scheme val="minor"/>
      </rPr>
      <t>Fuente</t>
    </r>
    <r>
      <rPr>
        <sz val="12"/>
        <color theme="1"/>
        <rFont val="Calibri"/>
        <family val="2"/>
        <scheme val="minor"/>
      </rPr>
      <t>:Portal SISALRIL</t>
    </r>
  </si>
  <si>
    <t>Dic. 2013</t>
  </si>
  <si>
    <t>May.13</t>
  </si>
  <si>
    <t>May.11</t>
  </si>
  <si>
    <t>Población Ocupada Formal</t>
  </si>
  <si>
    <t>2013</t>
  </si>
  <si>
    <t>%  Afil./Ocup.</t>
  </si>
  <si>
    <t xml:space="preserve">Rentabilidad  Promedio de los Fondos de Pensiones </t>
  </si>
  <si>
    <t>Rentabilidad Nominal</t>
  </si>
  <si>
    <t xml:space="preserve">Inflación Acumulada </t>
  </si>
  <si>
    <t>Rentabilidad Real</t>
  </si>
  <si>
    <t>La Altagracia</t>
  </si>
  <si>
    <t>Total Empleados</t>
  </si>
  <si>
    <t>2014</t>
  </si>
  <si>
    <t>Dic. 2014</t>
  </si>
  <si>
    <t>Afiliación RS</t>
  </si>
  <si>
    <t>Dic.2014</t>
  </si>
  <si>
    <t>Dependientes  Totales RC</t>
  </si>
  <si>
    <t>Dic.14</t>
  </si>
  <si>
    <t>Ene.15</t>
  </si>
  <si>
    <t>Nov.14</t>
  </si>
  <si>
    <t>% Variación Mensual</t>
  </si>
  <si>
    <t>Rango de Empleados</t>
  </si>
  <si>
    <t xml:space="preserve">1 y 5 </t>
  </si>
  <si>
    <r>
      <t xml:space="preserve"> </t>
    </r>
    <r>
      <rPr>
        <b/>
        <sz val="14"/>
        <rFont val="Calibri"/>
        <family val="2"/>
      </rPr>
      <t xml:space="preserve">6 y 10 </t>
    </r>
  </si>
  <si>
    <r>
      <t xml:space="preserve"> </t>
    </r>
    <r>
      <rPr>
        <b/>
        <sz val="14"/>
        <rFont val="Calibri"/>
        <family val="2"/>
      </rPr>
      <t xml:space="preserve">11 y 20  </t>
    </r>
  </si>
  <si>
    <r>
      <t xml:space="preserve"> </t>
    </r>
    <r>
      <rPr>
        <b/>
        <sz val="14"/>
        <rFont val="Calibri"/>
        <family val="2"/>
      </rPr>
      <t xml:space="preserve">21 y 50 </t>
    </r>
  </si>
  <si>
    <r>
      <t xml:space="preserve"> </t>
    </r>
    <r>
      <rPr>
        <b/>
        <sz val="14"/>
        <rFont val="Calibri"/>
        <family val="2"/>
      </rPr>
      <t xml:space="preserve">51 y 100  </t>
    </r>
  </si>
  <si>
    <r>
      <t xml:space="preserve"> </t>
    </r>
    <r>
      <rPr>
        <b/>
        <sz val="14"/>
        <rFont val="Calibri"/>
        <family val="2"/>
      </rPr>
      <t xml:space="preserve">101 y 500  </t>
    </r>
  </si>
  <si>
    <r>
      <t xml:space="preserve"> </t>
    </r>
    <r>
      <rPr>
        <b/>
        <sz val="14"/>
        <rFont val="Calibri"/>
        <family val="2"/>
      </rPr>
      <t xml:space="preserve">501 y 1,000 </t>
    </r>
  </si>
  <si>
    <r>
      <t xml:space="preserve"> </t>
    </r>
    <r>
      <rPr>
        <b/>
        <sz val="14"/>
        <rFont val="Calibri"/>
        <family val="2"/>
      </rPr>
      <t xml:space="preserve">1,001 y 10,000  </t>
    </r>
  </si>
  <si>
    <r>
      <t xml:space="preserve"> </t>
    </r>
    <r>
      <rPr>
        <b/>
        <sz val="14"/>
        <rFont val="Calibri"/>
        <family val="2"/>
      </rPr>
      <t xml:space="preserve">Mas de 10,000 </t>
    </r>
  </si>
  <si>
    <t xml:space="preserve">Población Pobre del País </t>
  </si>
  <si>
    <r>
      <rPr>
        <b/>
        <sz val="14"/>
        <color theme="1"/>
        <rFont val="Calibri"/>
        <family val="2"/>
        <scheme val="minor"/>
      </rPr>
      <t xml:space="preserve">Fuente: </t>
    </r>
    <r>
      <rPr>
        <sz val="14"/>
        <color theme="1"/>
        <rFont val="Calibri"/>
        <family val="2"/>
        <scheme val="minor"/>
      </rPr>
      <t>Superintendencia de Salud y Riesgos Laborales (SISALRIL)</t>
    </r>
  </si>
  <si>
    <t>Hombres Cotiz. / PEA</t>
  </si>
  <si>
    <t>Mujeres Cotiz. / PEA</t>
  </si>
  <si>
    <t>M.H.</t>
  </si>
  <si>
    <t xml:space="preserve"> Tipo I  </t>
  </si>
  <si>
    <t xml:space="preserve">Tipo  II  </t>
  </si>
  <si>
    <t xml:space="preserve">Tipo  III  </t>
  </si>
  <si>
    <t xml:space="preserve">Tipo  IV  </t>
  </si>
  <si>
    <t xml:space="preserve"> 2013</t>
  </si>
  <si>
    <t xml:space="preserve"> 2014</t>
  </si>
  <si>
    <t>Entidades</t>
  </si>
  <si>
    <t>% Participación</t>
  </si>
  <si>
    <t>Banco Central de la República Dominicana</t>
  </si>
  <si>
    <t>Asociación de Ahorros y Préstamos</t>
  </si>
  <si>
    <t>Bancos Múltiples</t>
  </si>
  <si>
    <t>Bancos de Ahorro y Crédito</t>
  </si>
  <si>
    <t>Banco Nacional de la Vivienda (BNV)</t>
  </si>
  <si>
    <t>Cartera Ministerio de Hacienda</t>
  </si>
  <si>
    <t>Organismos Multilarerales</t>
  </si>
  <si>
    <t>Bonos Subordinados</t>
  </si>
  <si>
    <t>Certificados Financieros</t>
  </si>
  <si>
    <t>Títulos Desmaterializados del BC</t>
  </si>
  <si>
    <t>Títulos Desmaterializados de Pacto de Recompra (REPO)</t>
  </si>
  <si>
    <r>
      <rPr>
        <b/>
        <sz val="18"/>
        <color indexed="8"/>
        <rFont val="Calibri"/>
        <family val="2"/>
      </rPr>
      <t xml:space="preserve">
Estancias Infantiles.  </t>
    </r>
    <r>
      <rPr>
        <sz val="16"/>
        <color indexed="8"/>
        <rFont val="Calibri"/>
        <family val="2"/>
      </rPr>
      <t xml:space="preserve">Los servicios de las Estancias Infantiles complementan el conjunto de prestaciones del Seguro Familiar de Salud del Régimen Contributivo del Sistema Dominicano de Seguridad Social (SDSS), para la protección integral de la familia, tienen por objetivo permitir que las madres trabajadoras, luego del parto, se reintegren más tempranamente a sus labores, y además que las madres desempleadas puedan salir a buscar empleo confiadas de las atenciones que reciben sus hijos/as desde los 45 días de nacidos hasta los 5 años en estas entidades.
</t>
    </r>
    <r>
      <rPr>
        <b/>
        <sz val="18"/>
        <color indexed="8"/>
        <rFont val="Calibri"/>
        <family val="2"/>
      </rPr>
      <t xml:space="preserve">
Subsidio por Enfermedad Común, </t>
    </r>
    <r>
      <rPr>
        <sz val="16"/>
        <color indexed="8"/>
        <rFont val="Calibri"/>
        <family val="2"/>
      </rPr>
      <t xml:space="preserve">en caso de enfermedad no profesional, el afiliado del Régimen Contributivo tendrá derecho a un subsidio en dinero por incapacidad temporal para el trabajo.
El mismo se otorga a partir del cuarto día de la incapacidad hasta un límite de 26 semanas, siempre que haya cotizado durante los doce últimos meses anteriores a la incapacidad y será equivalente al 60% del salario cotizable cuando reciba asistencia médica ambulatoria, y al 40% si la atención es hospitalaria.
</t>
    </r>
    <r>
      <rPr>
        <b/>
        <sz val="18"/>
        <color indexed="8"/>
        <rFont val="Calibri"/>
        <family val="2"/>
      </rPr>
      <t>Subsidios de Maternidad y Lactancia: 
Subsidio por Maternidad</t>
    </r>
    <r>
      <rPr>
        <sz val="16"/>
        <color indexed="8"/>
        <rFont val="Calibri"/>
        <family val="2"/>
      </rPr>
      <t xml:space="preserve">, es el pago en dinero a la trabajadora afiliada al Régimen Contributivo equivalente a tres meses de salario cotizable, otorgados durante el período de Descanso por Maternidad.
</t>
    </r>
    <r>
      <rPr>
        <b/>
        <sz val="16"/>
        <color indexed="8"/>
        <rFont val="Calibri"/>
        <family val="2"/>
      </rPr>
      <t>Subsidio por Lactancia</t>
    </r>
    <r>
      <rPr>
        <sz val="16"/>
        <color indexed="8"/>
        <rFont val="Calibri"/>
        <family val="2"/>
      </rPr>
      <t xml:space="preserve">, Es el pago en dinero a los hijos menores de un (1) año de las Trabajadoras afiliadas al Régimen Contributivo que perciban un salario menor o igual a tres (3) salarios mínimos nacional otorgado en las condiciones y formas que para tales fines se establecen en el Reglamento Sobre Subsidio por Maternidad y El Subsidio por Lactancia.
</t>
    </r>
    <r>
      <rPr>
        <b/>
        <sz val="18"/>
        <color indexed="8"/>
        <rFont val="Calibri"/>
        <family val="2"/>
      </rPr>
      <t>Los beneficios en el Seguro de Vejez, Discapacidad y Sobrevivencia (SVDS) son</t>
    </r>
    <r>
      <rPr>
        <sz val="16"/>
        <color indexed="8"/>
        <rFont val="Calibri"/>
        <family val="2"/>
      </rPr>
      <t xml:space="preserve">: 
 - </t>
    </r>
    <r>
      <rPr>
        <b/>
        <sz val="16"/>
        <color indexed="8"/>
        <rFont val="Calibri"/>
        <family val="2"/>
      </rPr>
      <t>Pensión de vejez</t>
    </r>
    <r>
      <rPr>
        <sz val="16"/>
        <color indexed="8"/>
        <rFont val="Calibri"/>
        <family val="2"/>
      </rPr>
      <t>, son los ingresos mensuales que recibe un afiliado para compensar la pérdida a consecuencia de su retiro por haber terminado su vida laboral.
-</t>
    </r>
    <r>
      <rPr>
        <b/>
        <sz val="16"/>
        <color indexed="8"/>
        <rFont val="Calibri"/>
        <family val="2"/>
      </rPr>
      <t xml:space="preserve"> Pensión de discapacidad, total o parcial</t>
    </r>
    <r>
      <rPr>
        <sz val="16"/>
        <color indexed="8"/>
        <rFont val="Calibri"/>
        <family val="2"/>
      </rPr>
      <t xml:space="preserve">, Son los beneficios que recibe el afiliado, cuando acredite sufrir una enfermedad que le inhabilite parcial o totalmente para ejercer un trabajo u oficio remunerado.
- </t>
    </r>
    <r>
      <rPr>
        <b/>
        <sz val="16"/>
        <color indexed="8"/>
        <rFont val="Calibri"/>
        <family val="2"/>
      </rPr>
      <t>Pensión de cesantía por edad avanzada</t>
    </r>
    <r>
      <rPr>
        <sz val="16"/>
        <color indexed="8"/>
        <rFont val="Calibri"/>
        <family val="2"/>
      </rPr>
      <t xml:space="preserve">, es el beneficio que obtiene el afiliado cuando queda privado de un trabajo remunerado, ha cumplido cincuenta y siete (57) años de edad, y tiene un mínimo de trescientas (300) cotizaciones acumuladas en su Cuenta de Capitalización Individual (CCI).
</t>
    </r>
    <r>
      <rPr>
        <b/>
        <sz val="16"/>
        <color indexed="8"/>
        <rFont val="Calibri"/>
        <family val="2"/>
      </rPr>
      <t xml:space="preserve">- Pensión de sobrevivencia, </t>
    </r>
    <r>
      <rPr>
        <sz val="16"/>
        <color indexed="8"/>
        <rFont val="Calibri"/>
        <family val="2"/>
      </rPr>
      <t xml:space="preserve">es el beneficio al cual tienen derecho la esposa o la compañera de vida del afiliado fallecido y los hijos menores de 18 años, hasta 21 años si son estudiante y los hijos discapacitados, dependientes del titular, sin importar la edad.
</t>
    </r>
    <r>
      <rPr>
        <b/>
        <sz val="18"/>
        <color indexed="8"/>
        <rFont val="Calibri"/>
        <family val="2"/>
      </rPr>
      <t xml:space="preserve">Los beneficios en el Seguro  de Riesgos Laborales (SRL) son:
</t>
    </r>
    <r>
      <rPr>
        <sz val="16"/>
        <color indexed="8"/>
        <rFont val="Calibri"/>
        <family val="2"/>
      </rPr>
      <t xml:space="preserve">
- Atención médica. 
- Atención odontológica.
- Prótesis, anteojos y aparatos ortopédicos y su reparación;
- Subsidio por discapacidad temporal.
- Indemnización por discapacidad.
- Pensión por discapacidad.
- Pensión de sobrevivencia
</t>
    </r>
    <r>
      <rPr>
        <b/>
        <sz val="18"/>
        <color indexed="8"/>
        <rFont val="Calibri"/>
        <family val="2"/>
      </rPr>
      <t>Atención médica, odontológica y otras prestaciones</t>
    </r>
    <r>
      <rPr>
        <b/>
        <sz val="16"/>
        <color indexed="8"/>
        <rFont val="Calibri"/>
        <family val="2"/>
      </rPr>
      <t xml:space="preserve">, </t>
    </r>
    <r>
      <rPr>
        <sz val="16"/>
        <color indexed="8"/>
        <rFont val="Calibri"/>
        <family val="2"/>
      </rPr>
      <t xml:space="preserve"> comprenden asistencia médica general y especializada, mediante servicios ambulatorios, de hospitalización y quirúrgicos; asistencia especializada por profesionales de áreas reconocidas legalmente como conexa con la salud, bajo supervisión de un profesional de la salud. Además servicios y el suministro de material odontológico, farmacéutico o quirúrgico, incluyendo aparatos, anteojos y prótesis, así como su conservación.
</t>
    </r>
    <r>
      <rPr>
        <b/>
        <sz val="18"/>
        <color indexed="8"/>
        <rFont val="Calibri"/>
        <family val="2"/>
      </rPr>
      <t>Subsidio por discapacidad temporal,</t>
    </r>
    <r>
      <rPr>
        <sz val="18"/>
        <color indexed="8"/>
        <rFont val="Calibri"/>
        <family val="2"/>
      </rPr>
      <t xml:space="preserve">  </t>
    </r>
    <r>
      <rPr>
        <sz val="16"/>
        <color indexed="8"/>
        <rFont val="Calibri"/>
        <family val="2"/>
      </rPr>
      <t xml:space="preserve">en caso de accidente de trabajo o enfermedad profesional, el afiliado del Régimen Contributivo tendrá derecho a un subsidio en dinero por incapacidad temporal para el trabajo. El mismo se otorga a partir del cuarto día de la incapacidad para el trabajo, certificada por los médicos autorizados por el Colegio Médico Dominicano y certificado por la Sociedad de Medicina Ocupacional,  hasta un límite de 52 semanas. Este subsidio es equivalente al 75% del salario medio de base del asegurado.
</t>
    </r>
    <r>
      <rPr>
        <b/>
        <sz val="18"/>
        <color indexed="8"/>
        <rFont val="Calibri"/>
        <family val="2"/>
      </rPr>
      <t xml:space="preserve">Indemnización por discapacidad, </t>
    </r>
    <r>
      <rPr>
        <sz val="18"/>
        <color indexed="8"/>
        <rFont val="Calibri"/>
        <family val="2"/>
      </rPr>
      <t>e</t>
    </r>
    <r>
      <rPr>
        <sz val="16"/>
        <color indexed="8"/>
        <rFont val="Calibri"/>
        <family val="2"/>
      </rPr>
      <t xml:space="preserve">s el monto económico que recibirá un afiliado con una discapacidad superior al 15% e inferior al 50% y está calculada entre cinco y diez veces el sueldo base.
</t>
    </r>
    <r>
      <rPr>
        <b/>
        <sz val="18"/>
        <color indexed="8"/>
        <rFont val="Calibri"/>
        <family val="2"/>
      </rPr>
      <t xml:space="preserve">Pensión por discapacidad, </t>
    </r>
    <r>
      <rPr>
        <sz val="16"/>
        <color indexed="8"/>
        <rFont val="Calibri"/>
        <family val="2"/>
      </rPr>
      <t>es  que se otorga, cuando, como consecuencia del riesgo del trabajo, el trabajador sufriese una disminución permanente de su rendimiento normal para su profesión. De acuerdo al grado de discapacidad esta puede ser: parcial, total o gran discapacidad. 
P</t>
    </r>
    <r>
      <rPr>
        <b/>
        <sz val="18"/>
        <color indexed="8"/>
        <rFont val="Calibri"/>
        <family val="2"/>
      </rPr>
      <t xml:space="preserve">ensión de sobrevivencia, </t>
    </r>
    <r>
      <rPr>
        <sz val="16"/>
        <color indexed="8"/>
        <rFont val="Calibri"/>
        <family val="2"/>
      </rPr>
      <t xml:space="preserve">es la pensión, que en caso de muerte por accidente de trabajo o enfermedad profesional de un trabajador o un pensionado por riesgo laboral, se otorga a la familia del fallecido. Los beneficiarios de esta pensión pueden ser el cónyuge o compañero de vida y los hijos menores de 18 años, hasta 21 si son estudiantes y de por vida si son discapacitados. 
</t>
    </r>
  </si>
  <si>
    <t>Sector  Público</t>
  </si>
  <si>
    <t>Recaudo Total</t>
  </si>
  <si>
    <t>Trabajador Sector Público</t>
  </si>
  <si>
    <t>Trabajador Sector Privado</t>
  </si>
  <si>
    <t xml:space="preserve"> Empleador Sector Público</t>
  </si>
  <si>
    <t>Empleador  Sector Privado</t>
  </si>
  <si>
    <t>Total Recaudo</t>
  </si>
  <si>
    <t>%  Afiliados Titulares RC</t>
  </si>
  <si>
    <t xml:space="preserve">                                                                                                      </t>
  </si>
  <si>
    <t xml:space="preserve">
</t>
  </si>
  <si>
    <t xml:space="preserve"> 
</t>
  </si>
  <si>
    <r>
      <t xml:space="preserve">
</t>
    </r>
    <r>
      <rPr>
        <b/>
        <sz val="11"/>
        <color indexed="8"/>
        <rFont val="Calibri"/>
        <family val="2"/>
      </rPr>
      <t/>
    </r>
  </si>
  <si>
    <t xml:space="preserve">
</t>
  </si>
  <si>
    <t>Solicitudes Totales</t>
  </si>
  <si>
    <t>Dictámenes Notificados a CTD</t>
  </si>
  <si>
    <t>% Expedientes Notificados</t>
  </si>
  <si>
    <t>Oct-Dic 2008</t>
  </si>
  <si>
    <t>Origen de Apelación</t>
  </si>
  <si>
    <t>Compañías de Seguro/ARL</t>
  </si>
  <si>
    <t>Origen no especificado</t>
  </si>
  <si>
    <t>Fecha no especificada</t>
  </si>
  <si>
    <t>Tipo</t>
  </si>
  <si>
    <t>Origen Apelación</t>
  </si>
  <si>
    <t>Fecha No especificada</t>
  </si>
  <si>
    <t>Solicitado por Afiliado</t>
  </si>
  <si>
    <t>Solicitado por Seguro</t>
  </si>
  <si>
    <t>ARL</t>
  </si>
  <si>
    <r>
      <rPr>
        <b/>
        <sz val="11"/>
        <color theme="1"/>
        <rFont val="Calibri"/>
        <family val="2"/>
        <scheme val="minor"/>
      </rPr>
      <t>Otros:</t>
    </r>
    <r>
      <rPr>
        <sz val="11"/>
        <color theme="1"/>
        <rFont val="Calibri"/>
        <family val="2"/>
        <scheme val="minor"/>
      </rPr>
      <t xml:space="preserve"> INABIMA, Autoseguro, Fondo de pensiones del Banco Central (FPBC)</t>
    </r>
  </si>
  <si>
    <t>Cápita RD$</t>
  </si>
  <si>
    <t>Afiliación  SFS</t>
  </si>
  <si>
    <t>Rango de Edad</t>
  </si>
  <si>
    <t>&lt;20 años</t>
  </si>
  <si>
    <t xml:space="preserve">20-24   </t>
  </si>
  <si>
    <t xml:space="preserve">25-29   </t>
  </si>
  <si>
    <t xml:space="preserve">30-34   </t>
  </si>
  <si>
    <t xml:space="preserve">35-39   </t>
  </si>
  <si>
    <t xml:space="preserve">40-44   </t>
  </si>
  <si>
    <t xml:space="preserve">45-49   </t>
  </si>
  <si>
    <t xml:space="preserve">50-54   </t>
  </si>
  <si>
    <t xml:space="preserve">55-59   </t>
  </si>
  <si>
    <t xml:space="preserve">60-64   </t>
  </si>
  <si>
    <t xml:space="preserve">65-69   </t>
  </si>
  <si>
    <t xml:space="preserve">70-74   </t>
  </si>
  <si>
    <t xml:space="preserve">75-79   </t>
  </si>
  <si>
    <t xml:space="preserve">80-84   </t>
  </si>
  <si>
    <t>85 y Mas</t>
  </si>
  <si>
    <t>% Hombres</t>
  </si>
  <si>
    <t>% Mujeres</t>
  </si>
  <si>
    <t>Régimen Subsidiado</t>
  </si>
  <si>
    <t>Régimen Contributivo</t>
  </si>
  <si>
    <t>Se</t>
  </si>
  <si>
    <t>Seguro Familiar de Salud</t>
  </si>
  <si>
    <t>Cobertura de Afiliación de Depend. Totales del SFS RC</t>
  </si>
  <si>
    <t>Cobertura de Afiliación de Depend. Directos            del SFS RC</t>
  </si>
  <si>
    <t>Cobertura de Afiliación de Depend. Adicionales al SFS RC</t>
  </si>
  <si>
    <t>Total  Cobertura de Afiliación SFS RC</t>
  </si>
  <si>
    <t xml:space="preserve">Cobertura de Afiliación por Titulares </t>
  </si>
  <si>
    <t>Cobertura de Afiliación por Dependientes</t>
  </si>
  <si>
    <t xml:space="preserve">Cobertura de Afiliación Total     </t>
  </si>
  <si>
    <t>Titulares</t>
  </si>
  <si>
    <t>Dependientes Directos</t>
  </si>
  <si>
    <t>Dependientes Adicionales</t>
  </si>
  <si>
    <t>Total Afiliados SFS RC</t>
  </si>
  <si>
    <t>Total Femenino</t>
  </si>
  <si>
    <t>Pagos RC</t>
  </si>
  <si>
    <t xml:space="preserve">Pagos a SENASA RS </t>
  </si>
  <si>
    <t>Pago Salud Pensionado</t>
  </si>
  <si>
    <t>Aportes del Gob. Central y/o Retenciones  Salud Pensionado</t>
  </si>
  <si>
    <t>Instrumentos</t>
  </si>
  <si>
    <t xml:space="preserve"> Pago a SENASA </t>
  </si>
  <si>
    <t>Pagos a SENASA</t>
  </si>
  <si>
    <t>Aportes a FONAMAT</t>
  </si>
  <si>
    <r>
      <rPr>
        <b/>
        <sz val="16"/>
        <color theme="1"/>
        <rFont val="Calibri"/>
        <family val="2"/>
        <scheme val="minor"/>
      </rPr>
      <t>Fuente:</t>
    </r>
    <r>
      <rPr>
        <sz val="16"/>
        <color theme="1"/>
        <rFont val="Calibri"/>
        <family val="2"/>
        <scheme val="minor"/>
      </rPr>
      <t xml:space="preserve"> Tesorería de la Seguridad Social (TSS)</t>
    </r>
  </si>
  <si>
    <t>AFP y Otros Fondos</t>
  </si>
  <si>
    <t>Seguro Familiar de Salud (SFS) del Régimen Contributivo (RC)</t>
  </si>
  <si>
    <t>Fondos Pagados a las ARS del SFS del RC</t>
  </si>
  <si>
    <t>Período:  Septiembre 2007 -  Enero 2015</t>
  </si>
  <si>
    <t>Totales Generales</t>
  </si>
  <si>
    <t xml:space="preserve">AFP Popular </t>
  </si>
  <si>
    <t>Scotia Crecer AFP</t>
  </si>
  <si>
    <t>AFP Siembra</t>
  </si>
  <si>
    <t>AFP Reservas</t>
  </si>
  <si>
    <t>Fondo INABIMA</t>
  </si>
  <si>
    <t>Sec. de Est. de Finanzas</t>
  </si>
  <si>
    <t>AFP Romana</t>
  </si>
  <si>
    <t>SIPEN</t>
  </si>
  <si>
    <t>Fondo BR</t>
  </si>
  <si>
    <t>Fondo BC</t>
  </si>
  <si>
    <t>Autoseguro (IDSS)</t>
  </si>
  <si>
    <t>AFP LEON</t>
  </si>
  <si>
    <t>AFP CARIBALICO</t>
  </si>
  <si>
    <t>Salud Pensionados</t>
  </si>
  <si>
    <t xml:space="preserve"> FONAMAT</t>
  </si>
  <si>
    <t>RC (Empleador)</t>
  </si>
  <si>
    <t>PIB Corriente Nacional</t>
  </si>
  <si>
    <t xml:space="preserve">                                   </t>
  </si>
  <si>
    <t>Saldo (Recaudo RC - Pagos RC)</t>
  </si>
  <si>
    <t>Saldo 
(Aportes SFS RS- Pago SENASA)</t>
  </si>
  <si>
    <t>Feb.15</t>
  </si>
  <si>
    <t>%Hombres</t>
  </si>
  <si>
    <r>
      <rPr>
        <b/>
        <sz val="11"/>
        <color theme="1"/>
        <rFont val="Calibri"/>
        <family val="2"/>
        <scheme val="minor"/>
      </rPr>
      <t>Fuente:</t>
    </r>
    <r>
      <rPr>
        <sz val="11"/>
        <color theme="1"/>
        <rFont val="Calibri"/>
        <family val="2"/>
        <scheme val="minor"/>
      </rPr>
      <t xml:space="preserve"> Portal SIRALRIL</t>
    </r>
  </si>
  <si>
    <r>
      <t xml:space="preserve">Fuente: </t>
    </r>
    <r>
      <rPr>
        <sz val="11"/>
        <rFont val="Calibri"/>
        <family val="2"/>
        <scheme val="minor"/>
      </rPr>
      <t>Informes TSS</t>
    </r>
  </si>
  <si>
    <t>Total Afiliados SFS RS</t>
  </si>
  <si>
    <r>
      <t xml:space="preserve">Fuente: </t>
    </r>
    <r>
      <rPr>
        <sz val="12"/>
        <rFont val="Calibri"/>
        <family val="2"/>
        <scheme val="minor"/>
      </rPr>
      <t>Portal de la SISALRIL</t>
    </r>
  </si>
  <si>
    <r>
      <t xml:space="preserve">Fuente: </t>
    </r>
    <r>
      <rPr>
        <sz val="12"/>
        <rFont val="Calibri"/>
        <family val="2"/>
        <scheme val="minor"/>
      </rPr>
      <t>Tesoreria de Seguridad Social (TSS)</t>
    </r>
  </si>
  <si>
    <r>
      <rPr>
        <b/>
        <sz val="11"/>
        <color theme="1"/>
        <rFont val="Calibri"/>
        <family val="2"/>
        <scheme val="minor"/>
      </rPr>
      <t>Nota:</t>
    </r>
    <r>
      <rPr>
        <sz val="11"/>
        <color theme="1"/>
        <rFont val="Calibri"/>
        <family val="2"/>
        <scheme val="minor"/>
      </rPr>
      <t xml:space="preserve"> Los pagos a la cuenta de EI en el mes de septiembre 2011 incluye RD$ 59,135,579.85 que fue transferido a la cuenta Proyecto XII para la adquisición  de los módulos
 3 y 7 y remodelaciones de las EI, conforme lo establecido  en la Resolución No. 264-06 del CNSS de fecha 07/04/11.</t>
    </r>
  </si>
  <si>
    <r>
      <rPr>
        <b/>
        <sz val="11"/>
        <color theme="1"/>
        <rFont val="Calibri"/>
        <family val="2"/>
        <scheme val="minor"/>
      </rPr>
      <t>Nota:</t>
    </r>
    <r>
      <rPr>
        <sz val="11"/>
        <color theme="1"/>
        <rFont val="Calibri"/>
        <family val="2"/>
        <scheme val="minor"/>
      </rPr>
      <t xml:space="preserve"> AFP León y AFP CARIBALICO fueron absorbidas por AFP Siembra en 2007.</t>
    </r>
  </si>
  <si>
    <r>
      <rPr>
        <b/>
        <sz val="11"/>
        <color theme="1"/>
        <rFont val="Calibri"/>
        <family val="2"/>
        <scheme val="minor"/>
      </rPr>
      <t xml:space="preserve">Los pagos a las AFP incluye: </t>
    </r>
    <r>
      <rPr>
        <sz val="11"/>
        <color theme="1"/>
        <rFont val="Calibri"/>
        <family val="2"/>
        <scheme val="minor"/>
      </rPr>
      <t>CCI, Comisión, Seguro de Vida y Fondo de Solidaridad Social en AFP Reservas</t>
    </r>
  </si>
  <si>
    <r>
      <t xml:space="preserve">Fuente: </t>
    </r>
    <r>
      <rPr>
        <sz val="12"/>
        <color theme="1"/>
        <rFont val="Calibri"/>
        <family val="2"/>
        <scheme val="minor"/>
      </rPr>
      <t>Portal de la ARL</t>
    </r>
  </si>
  <si>
    <t xml:space="preserve"> Provincia</t>
  </si>
  <si>
    <t>AFP Popular</t>
  </si>
  <si>
    <t xml:space="preserve">Siembra </t>
  </si>
  <si>
    <t>% Provincia</t>
  </si>
  <si>
    <t>Santiago</t>
  </si>
  <si>
    <t>Valverde Mao</t>
  </si>
  <si>
    <t>Sin Información</t>
  </si>
  <si>
    <t>Pagos SFSP</t>
  </si>
  <si>
    <t>Jul. 2010</t>
  </si>
  <si>
    <t xml:space="preserve">SENASA                   </t>
  </si>
  <si>
    <t>Mar.15</t>
  </si>
  <si>
    <t>`</t>
  </si>
  <si>
    <t>Serv. de Igualas Méd. Dr. Abel G.</t>
  </si>
  <si>
    <t>Mayor o igual a 60 años</t>
  </si>
  <si>
    <t>Accidentabilidad Afiliados
(No. de accidentes por cada 100,000 afiliados)</t>
  </si>
  <si>
    <t>Casos Calificados</t>
  </si>
  <si>
    <t>Abr.15</t>
  </si>
  <si>
    <t>Casos</t>
  </si>
  <si>
    <t>Letras hipotecarias</t>
  </si>
  <si>
    <t>Abr-15</t>
  </si>
  <si>
    <r>
      <rPr>
        <b/>
        <sz val="16"/>
        <rFont val="Calibri"/>
        <family val="2"/>
        <scheme val="minor"/>
      </rPr>
      <t>Fuente:</t>
    </r>
    <r>
      <rPr>
        <sz val="16"/>
        <rFont val="Calibri"/>
        <family val="2"/>
        <scheme val="minor"/>
      </rPr>
      <t xml:space="preserve"> Portal SISALRIL</t>
    </r>
  </si>
  <si>
    <t xml:space="preserve"> Cobertura de Afiliación RET</t>
  </si>
  <si>
    <t xml:space="preserve">Elías Piña </t>
  </si>
  <si>
    <t>PIB Corriente
 RD$Millones)</t>
  </si>
  <si>
    <t>May.15</t>
  </si>
  <si>
    <t xml:space="preserve">Trabajadores Cotizantes </t>
  </si>
  <si>
    <t>Patrimonio Fondos de Pensiones  (RD$ Millones)</t>
  </si>
  <si>
    <t>May. 09</t>
  </si>
  <si>
    <t xml:space="preserve">May.10 </t>
  </si>
  <si>
    <t xml:space="preserve">Dispersión AEISS </t>
  </si>
  <si>
    <t xml:space="preserve">Cápita Pagadas AEISS </t>
  </si>
  <si>
    <t>Dispersión Nómina EI (Resol. 369-04)</t>
  </si>
  <si>
    <t>Aportes del Gob.
Según Presupuesto                    (SFS RS)</t>
  </si>
  <si>
    <t>Recaudo RC
 (Incluye recargos e Intereses)</t>
  </si>
  <si>
    <t>Aporte Gobierno (Presupuestado)</t>
  </si>
  <si>
    <t>Cobertura de Afiliación de Titulares del SFS RC</t>
  </si>
  <si>
    <r>
      <rPr>
        <b/>
        <sz val="12"/>
        <color theme="1"/>
        <rFont val="Calibri"/>
        <family val="2"/>
        <scheme val="minor"/>
      </rPr>
      <t>Nota:</t>
    </r>
    <r>
      <rPr>
        <sz val="12"/>
        <color theme="1"/>
        <rFont val="Calibri"/>
        <family val="2"/>
        <scheme val="minor"/>
      </rPr>
      <t xml:space="preserve">  La cantidad de niños estimada es calculada por la dispersión mensual entre el cápita asignado (este pago puede contener pagos retroactivos).</t>
    </r>
  </si>
  <si>
    <t>Instituto Dom. de Seguridad Social (IDSS)</t>
  </si>
  <si>
    <t>Jun.15</t>
  </si>
  <si>
    <t>Índice de dependencia</t>
  </si>
  <si>
    <t>Índice de Dependencia</t>
  </si>
  <si>
    <r>
      <rPr>
        <b/>
        <sz val="12"/>
        <color theme="1"/>
        <rFont val="Calibri"/>
        <family val="2"/>
        <scheme val="minor"/>
      </rPr>
      <t>Fuente</t>
    </r>
    <r>
      <rPr>
        <sz val="12"/>
        <color theme="1"/>
        <rFont val="Calibri"/>
        <family val="2"/>
        <scheme val="minor"/>
      </rPr>
      <t>: Portal SISALRIL</t>
    </r>
  </si>
  <si>
    <t>Total Masculino</t>
  </si>
  <si>
    <t>No.</t>
  </si>
  <si>
    <t>Cápita de Niños Beneficiados</t>
  </si>
  <si>
    <t>Pagos</t>
  </si>
  <si>
    <t>Retiro Programado</t>
  </si>
  <si>
    <t>Jul.15</t>
  </si>
  <si>
    <r>
      <rPr>
        <b/>
        <sz val="12"/>
        <color theme="1"/>
        <rFont val="Calibri"/>
        <family val="2"/>
        <scheme val="minor"/>
      </rPr>
      <t>Fuente:</t>
    </r>
    <r>
      <rPr>
        <sz val="12"/>
        <color theme="1"/>
        <rFont val="Calibri"/>
        <family val="2"/>
        <scheme val="minor"/>
      </rPr>
      <t xml:space="preserve"> Informes de la TSS</t>
    </r>
  </si>
  <si>
    <t xml:space="preserve">     SISALRIL</t>
  </si>
  <si>
    <t>Cobertura Afiliación RET</t>
  </si>
  <si>
    <r>
      <t xml:space="preserve">Fuente: </t>
    </r>
    <r>
      <rPr>
        <sz val="18"/>
        <rFont val="Calibri"/>
        <family val="2"/>
        <scheme val="minor"/>
      </rPr>
      <t>Superintendencia de Salud y Riesgos Laborales (SISALRIL).</t>
    </r>
  </si>
  <si>
    <t>Cobertura de Afiliación de Depend. Directos del SFS RC</t>
  </si>
  <si>
    <r>
      <rPr>
        <b/>
        <sz val="14"/>
        <color theme="1"/>
        <rFont val="Calibri"/>
        <family val="2"/>
        <scheme val="minor"/>
      </rPr>
      <t xml:space="preserve">Nota: </t>
    </r>
    <r>
      <rPr>
        <sz val="14"/>
        <color theme="1"/>
        <rFont val="Calibri"/>
        <family val="2"/>
        <scheme val="minor"/>
      </rPr>
      <t>La población nacional  total estimada,  fue ajusta por la publicación  de la Oficina Nacional de estadísticas (ONE), "Estimaciones y</t>
    </r>
    <r>
      <rPr>
        <b/>
        <sz val="14"/>
        <color theme="1"/>
        <rFont val="Calibri"/>
        <family val="2"/>
        <scheme val="minor"/>
      </rPr>
      <t xml:space="preserve"> </t>
    </r>
    <r>
      <rPr>
        <sz val="14"/>
        <color theme="1"/>
        <rFont val="Calibri"/>
        <family val="2"/>
        <scheme val="minor"/>
      </rPr>
      <t>Proyecciones de Población",  basada en el censo 2010.</t>
    </r>
  </si>
  <si>
    <r>
      <rPr>
        <b/>
        <sz val="12"/>
        <rFont val="Calibri"/>
        <family val="2"/>
        <scheme val="minor"/>
      </rPr>
      <t>Fuente</t>
    </r>
    <r>
      <rPr>
        <sz val="12"/>
        <rFont val="Calibri"/>
        <family val="2"/>
        <scheme val="minor"/>
      </rPr>
      <t>:  Sisalril, TSS, ONE.</t>
    </r>
  </si>
  <si>
    <t xml:space="preserve">% Población Pobre del País </t>
  </si>
  <si>
    <t>%  Afiliación Cubierta  / Población Pobre</t>
  </si>
  <si>
    <t>Ago.15</t>
  </si>
  <si>
    <t>Afiliación Total al SFS</t>
  </si>
  <si>
    <t>ISSPOL</t>
  </si>
  <si>
    <t>%  Afiliados Dep. Totales RC</t>
  </si>
  <si>
    <t>Sep.15</t>
  </si>
  <si>
    <t>Cobertura Afiliación RS</t>
  </si>
  <si>
    <t>Fecha no Disponible N/D</t>
  </si>
  <si>
    <t>Oct. 2009</t>
  </si>
  <si>
    <r>
      <rPr>
        <b/>
        <sz val="16"/>
        <color theme="1"/>
        <rFont val="Calibri"/>
        <family val="2"/>
        <scheme val="minor"/>
      </rPr>
      <t>Nota:</t>
    </r>
    <r>
      <rPr>
        <sz val="16"/>
        <color theme="1"/>
        <rFont val="Calibri"/>
        <family val="2"/>
        <scheme val="minor"/>
      </rPr>
      <t xml:space="preserve"> Incluye SFS RC y RS
</t>
    </r>
    <r>
      <rPr>
        <b/>
        <sz val="16"/>
        <color theme="1"/>
        <rFont val="Calibri"/>
        <family val="2"/>
        <scheme val="minor"/>
      </rPr>
      <t>Fuente:</t>
    </r>
    <r>
      <rPr>
        <sz val="16"/>
        <color theme="1"/>
        <rFont val="Calibri"/>
        <family val="2"/>
        <scheme val="minor"/>
      </rPr>
      <t xml:space="preserve"> Superintendencia de Salud y Riesgos Laborales (SISALRIL)</t>
    </r>
  </si>
  <si>
    <t xml:space="preserve">Empleados Afiliados al SDSS por Tipo de Riesgos Laborales Empleados Activos </t>
  </si>
  <si>
    <t>I. Definiciones y Estructura del Sistema Dominicano de Seguridad Social (SDSS)</t>
  </si>
  <si>
    <t>I.1 Ley 87-01</t>
  </si>
  <si>
    <t>I.2 Organización del Sistema</t>
  </si>
  <si>
    <t>I.3 Regímenes y Seguros del SDSS</t>
  </si>
  <si>
    <t>I.4 Seguros y Beneficios del SDSS</t>
  </si>
  <si>
    <t>II. Estadísticas de Empresas del Sistema Dominicano de Seguridad Social (SDSS)</t>
  </si>
  <si>
    <t>II.1 Definiciones del SDSS</t>
  </si>
  <si>
    <t>II.2 Análisis de las Empresas del SDSS</t>
  </si>
  <si>
    <t>II.3 Empresas y Empleados Afiliados Activos al SDSS por Sector</t>
  </si>
  <si>
    <t>II.4 Empresas Afiliadas al SDSS, por Cantidad de Empleados Registrados en TSS</t>
  </si>
  <si>
    <t>II.5 Salario Promedio Mensual de los Empleados Afiliados Activos al SDSS, por Sector</t>
  </si>
  <si>
    <t>II.6 Trabajadores Afiliados Activos al SDSS, por Sexo y Edad</t>
  </si>
  <si>
    <t>III. Estadísticas Afiliación del Sistema Dominicano de Seguridad Social</t>
  </si>
  <si>
    <t>III.1  Estadísticas Afiliación del Seguro Familiar de Salud (SFS)</t>
  </si>
  <si>
    <t>III.1.1 Definiciones del SFS</t>
  </si>
  <si>
    <t>III.1.2 Análisis de Afiliación del SFS</t>
  </si>
  <si>
    <t>III.1.3 Afiliación del SFS a la Población Nacional</t>
  </si>
  <si>
    <t>III.1.4 Afiliación del SFS por Régimen de Financiamiento</t>
  </si>
  <si>
    <t>III.1.5 Cobertura de Afiliación al SFS por Régimen de Financiamiento</t>
  </si>
  <si>
    <t>III.1.6 Afiliación al SFS por Sexo</t>
  </si>
  <si>
    <t>III.1.7 Comportamiento Real y Proyectado de la Cobertura del SFS a la Población Total</t>
  </si>
  <si>
    <t>III.2 Estadísticas Afiliación del Seguro Familiar de Salud (SFS) del Régimen Contributivo (RC)</t>
  </si>
  <si>
    <t>III.2.1 Análisis de Afiliación del SFS del RC</t>
  </si>
  <si>
    <t>III.2.2 Afiliación Anual por Tipo al SFS del Régimen Contributivo (RC)</t>
  </si>
  <si>
    <t>III.2.3 Afiliación Mensual por Tipo al SFS del Régimen Contributivo (RC)</t>
  </si>
  <si>
    <t>III.2.4 Cobertura de Afiliación  Anual por Tipo del Régimen Contributivo (RC)</t>
  </si>
  <si>
    <t>III.2.5 Cobertura de Afiliación Mensual por Tipo del Régimen Contributivo (RC)</t>
  </si>
  <si>
    <t>III.2.6 Afiliados al SFS del RC por Sexo y Tipo</t>
  </si>
  <si>
    <t>III.3 Estadísticas Afiliación del Seguro Familiar de Salud (SFS) del Régimen Subsidiado (RS)</t>
  </si>
  <si>
    <t>III.3.1 Definiciones y Análisis de Afiliación del SFS del RS</t>
  </si>
  <si>
    <t>III.3.2 Afiliación Anual al SFS del Régimen Subsidiado (RS) por Tipo</t>
  </si>
  <si>
    <t>III.3.3 Afiliación Mensual al SFS del Régimen Subsidiado (RS) por Tipo</t>
  </si>
  <si>
    <t xml:space="preserve">III.3.4 Cobertura de Afiliación Anual al SFS el Régimen Subsidiado (RS) por Tipo </t>
  </si>
  <si>
    <t xml:space="preserve">III.3.5 Cobertura de Afiliación Mensual al SFS el Régimen Subsidiado (RS) por Tipo </t>
  </si>
  <si>
    <t>III.3.6 Afiliados al SFS el Régimen Subsidiado (RS) por Sexo y Tipo de Afiliación</t>
  </si>
  <si>
    <t xml:space="preserve">III.3.7 Comportamiento de la Afiliación al SFS del RS con Relación a la Población Pobre del País </t>
  </si>
  <si>
    <t>III.4 Afiliación del Régimen Especial Transitorio (RET) Salud de Pensionados. Ley 1896-379</t>
  </si>
  <si>
    <t xml:space="preserve">III.4.1 Definiciones y Análisis del RET </t>
  </si>
  <si>
    <t>III.4.2 Afiliación Anual de Pensionados al SFS</t>
  </si>
  <si>
    <t>III.4.3 Afiliación Mensual de Pensionados al SFS</t>
  </si>
  <si>
    <t>III.4.4 Cobertura Afiliación Mensual de Pensionados al SFS</t>
  </si>
  <si>
    <t>III.5 Estadísticas Afiliación al Seguro de Vejez, Discapacidad y Sobrevivencia (SVDS)</t>
  </si>
  <si>
    <t>III.5.1  Definiciones del SVDS</t>
  </si>
  <si>
    <t>III.5.2  Análisis de Afiliación del SVDS</t>
  </si>
  <si>
    <t>III.5.3 Cantidad de Afiliados y Cotizantes Anual del RC</t>
  </si>
  <si>
    <t>III.5.4  Afiliación Mensual al SVDS del RC</t>
  </si>
  <si>
    <t>III.5.5  Comparación Anual del Número de Afiliados Cotizantes con la Población Ocupada Formal</t>
  </si>
  <si>
    <t>III.5.6  Cotizantes del SVDS por Rango de Edad</t>
  </si>
  <si>
    <t>III.5.7  Cotizantes del SVDS por Cantidad de Salario Mínimo Cotizable</t>
  </si>
  <si>
    <t>III.5.8  Distribución de los Afiliados Cotizantes por AFP`s y Fondos de Reparto</t>
  </si>
  <si>
    <t>III.5.9  Población Económicamente Activa Afiliada al SVDS por Género</t>
  </si>
  <si>
    <t>III.5.10 Afiliados y Cotizantes del SVDS por Género</t>
  </si>
  <si>
    <t>III.5.11  Traspaso Totales por Año</t>
  </si>
  <si>
    <t>III.5.12 Traspasos Recibidos en Entidades de CCI y Reparto</t>
  </si>
  <si>
    <t>III.5.13 Traspaso Cedidos en Entidades de CCI y Reparto</t>
  </si>
  <si>
    <t>III.5.14 Traspaso Netos en Entidades de CCI y Reparto</t>
  </si>
  <si>
    <t>III.5.15 Distribución de Afiliados de las AFP por Provincias</t>
  </si>
  <si>
    <t>III.6  Estadísticas de Afiliación al Seguro de Riesgos Laborales</t>
  </si>
  <si>
    <t>III.6.1 Definiciones de SRL</t>
  </si>
  <si>
    <t>III.6.2 Análisis de la Afiliación del SRL</t>
  </si>
  <si>
    <t>III.6.3 Comparativo Afiliación al SRL en Relación a la Población Ocupada en el Sector Formal</t>
  </si>
  <si>
    <t>III.6.4 Afiliación al SRL por Grupo de Edad y Género</t>
  </si>
  <si>
    <t>III.6.5 Empleados Afiliados Activos al SDSS por Tipo de Riesgos Laborales de sus Empresas</t>
  </si>
  <si>
    <t>III.6.6 Accidentabilidad Laboral de los Afiliados al SRL</t>
  </si>
  <si>
    <t>IV. Estadísticas Ingreso y Egreso del Sistema Dominicano de Seguridad Social</t>
  </si>
  <si>
    <t>IV.1 Ingreso y Egreso del SDSS</t>
  </si>
  <si>
    <t>IV.I.1  Definiciones Ingresos y Egresos del SDSS</t>
  </si>
  <si>
    <t>IV.I.2  Análisis de Ingresos y Egresos del SDSS</t>
  </si>
  <si>
    <t>IV.I.3  Ingreso y egreso Anuales del SDSS</t>
  </si>
  <si>
    <t>IV.I.4  Recaudo del RC del SDSS por Origen por Sector Económico</t>
  </si>
  <si>
    <t>IV.I.5  Recaudo del RC del SDSS por Origen de los Aportes</t>
  </si>
  <si>
    <t>IV.I.6   Aportes del Gobierno a la Seguridad Social</t>
  </si>
  <si>
    <t>IV.2 Ingreso y Egreso por Seguros</t>
  </si>
  <si>
    <t>IV.2.1  Análisis de Ingresos y Egresos por Seguros</t>
  </si>
  <si>
    <t>IV.2.2  Fondos Pagados Anualmente por Cuentas al SFS del RC</t>
  </si>
  <si>
    <t>IV.2.3  Fondos Pagados Mensualmente por Cuentas al SFS del RC</t>
  </si>
  <si>
    <t>IV.2.4  Fondos Pagados a las ARS del SFS del RC</t>
  </si>
  <si>
    <t>IV.2.5  Fondos Pagados del RC a las ARS del SFS</t>
  </si>
  <si>
    <t>IV.2.6 Distribución de las Inversiones de la Cuenta de la Salud por Instrumento</t>
  </si>
  <si>
    <t>IV.2.7 Distribución de las Inversiones del SFS del RC</t>
  </si>
  <si>
    <t>IV.2.8 Aportes del Gobierno Central y Pago a SENASA</t>
  </si>
  <si>
    <t>IV.2.9 Aportes y Pagos Mensual del SFS en el RS</t>
  </si>
  <si>
    <t>IV.2.10 Pagos Anuales del SFSP Ley 1896-379</t>
  </si>
  <si>
    <t>IV.2.11 Pagos Mensuales del SFSP por ARS</t>
  </si>
  <si>
    <t>IV.3  Ingreso y Egreso del SVDS</t>
  </si>
  <si>
    <t>IV.3.1  Análisis de Ingresos y Egresos del SVDS</t>
  </si>
  <si>
    <t>IV.3.2 Dispersión Histórica del SVDS</t>
  </si>
  <si>
    <t>IV.3.3  Pago Anual al SVDS por Cuentas del SVDS</t>
  </si>
  <si>
    <t>IV.3.4  Pagos a Entidades del Seguro de Vejez, Discapacidad y Sobrevivencia</t>
  </si>
  <si>
    <t>IV.3.5  Patrimonio de los Fondos de Pensiones por Año</t>
  </si>
  <si>
    <t>IV.3.6 Composición de la Cartera Total de Inversión de los Fondos de Pensiones por Tipo de Emisor</t>
  </si>
  <si>
    <t>IV.3.7 Composición de la Cartera Total de Inversión de los Fondos de Pensiones por Instrumento</t>
  </si>
  <si>
    <t>IV.3.8  Rentabilidad Nominal Promedio de los Fondos de Pensiones</t>
  </si>
  <si>
    <t>IV.3.9 Rentabilidad Promedio de los Fondos de Pensiones</t>
  </si>
  <si>
    <t>IV.4  Ingreso y Egreso del  SRL</t>
  </si>
  <si>
    <t>IV.4.1  Análisis del SRL</t>
  </si>
  <si>
    <t>IV.4.2 Pagos Anuales al ARL por Cuentas</t>
  </si>
  <si>
    <t>IV.4.3 Pagos Mensuales por Cuentas al Seguro de Riesgo Laborales</t>
  </si>
  <si>
    <t>V. Estadísticas Beneficios, Solicitudes de Beneficios y Beneficiarios del Sistema Dominicano de Seguridad Social</t>
  </si>
  <si>
    <t>V.1 Beneficiarios y Beneficios de las Estancias Infantiles</t>
  </si>
  <si>
    <t>V. 1.1  Definiciones EI</t>
  </si>
  <si>
    <t>V. 1.2 Análisis de las Estancias Infantiles</t>
  </si>
  <si>
    <t>V. 1.3 Niños Afiliados de las Estancias Infantiles del RC</t>
  </si>
  <si>
    <t>V. 1.4 Pagos a las Estancias Infantiles</t>
  </si>
  <si>
    <t>V.2 Beneficiarios y Beneficios de Subsidios del SFS</t>
  </si>
  <si>
    <t>V.2.1  Definiciones Subsidios</t>
  </si>
  <si>
    <t>V.2.2 Análisis de Subsidio de Maternidad, Lactancia y Enfermedad Común</t>
  </si>
  <si>
    <t>V.2.3 Afiliados Beneficiarios por Subsidios de Maternidad, Lactancia y Enfermedad Común</t>
  </si>
  <si>
    <t>V.2.4 Montos Aprobados en Millones de RD$ por Concepto de Subsidios por Maternidad, Lactancia y Enfermedad Común</t>
  </si>
  <si>
    <t>V.3 Beneficiarios y Beneficios de Subsidios del SVDS</t>
  </si>
  <si>
    <t>V.3.1  Definiciones Subsidios SVDS</t>
  </si>
  <si>
    <t>V.3.2 Análisis de Subsidio de SVDS</t>
  </si>
  <si>
    <t>V.3.3 Pensiones Otorgadas por Año del SVDS</t>
  </si>
  <si>
    <t>V.3.4 Monto de Pensión Promedio por Tipo de Discapacidad Según AFP</t>
  </si>
  <si>
    <t>V.3.5 Pensión Promedio de Sobrevivencia y Discapacidad (RD$) del SVDS</t>
  </si>
  <si>
    <t>V.4 Solicitud de Beneficios de la Administradora de Riesgos Laborales</t>
  </si>
  <si>
    <t>V.4.1 Análisis de Beneficios de la Administradora de Riesgos Laborales</t>
  </si>
  <si>
    <t>V.4.2 Reporte de Accidente Laborales y Enfermedades Profesionales</t>
  </si>
  <si>
    <t>V.4.3  Reporte de Accidente Laborales y Enfermedades Profesionales por Región</t>
  </si>
  <si>
    <t>V.4.4 Reporte de Accidentes Laborales y Enfermedades Profesionales por Provincia</t>
  </si>
  <si>
    <t>V.4.5 Reporte de Accidentes Laborales y Enfermedades Profesionales por Zona de Procedencia</t>
  </si>
  <si>
    <t>V.4.6 Reporte de Accidente Laborales y Enfermedades Profesionales por Tipo Sector</t>
  </si>
  <si>
    <t>V.4.7 Reporte de Accidentes Laborales y Enfermedades Profesionales por Sexo</t>
  </si>
  <si>
    <t>V.4.8 Reporte de Accidentes Laborales y Enfermedades Profesionales por Rango de Edad</t>
  </si>
  <si>
    <t>V.4.9 Reporte de Accidentes Laborales y Enfermedades Profesionales por Nivel de Escolaridad</t>
  </si>
  <si>
    <t>V.4.10 Comparación Reporte de Accidentes Laborales y Enfermedades Profesionales y Afiliación al SRL por Sector</t>
  </si>
  <si>
    <t>V.4.11 Comparación Reporte de Accidentes laborales y Enfermedades Profesionales y Afiliación al SRL por Sexo</t>
  </si>
  <si>
    <t>V.4.12 Comparación  Reporte de Accidentes Laborales y Enfermedades Profesionales y Afiliación al SRL por Edad</t>
  </si>
  <si>
    <t>V.4.13 Cantidad de Expedientes Calificados por la ARL Vs Casos Reportados</t>
  </si>
  <si>
    <t xml:space="preserve">V.4.14 Cantidad de Expedientes de Accidentes Laborales Calificados por la ARL </t>
  </si>
  <si>
    <t>V.4.15 Cantidad de Expedientes Calificados por la ARL por Tipo de Accidente</t>
  </si>
  <si>
    <t>V.4.16 Cantidad de Expedientes Calificados por la ARL por Grado de Lesión</t>
  </si>
  <si>
    <t>V.4.17 Cantidad de Expedientes Calificados por la ARL  Según Circunstancia del Suceso</t>
  </si>
  <si>
    <t>V.4.18 Cantidad de Expedientes Calificados por la ARL Según Agente Dañino</t>
  </si>
  <si>
    <t>V.4.19 Cantidad de Expedientes Calificados por la ARL Según Lugar de Accidente</t>
  </si>
  <si>
    <t>V.4.20 Cantidad de Expedientes Calificados por la ARL con Accidentes Laborales con Lesiones Discapacitantes</t>
  </si>
  <si>
    <t>V.4.21 Cantidad de Expedientes de Enfermedades Profesionales Calificados en Proceso de Investigación</t>
  </si>
  <si>
    <t>V.4.22 Cantidad de Expedientes de Accidentes Laborales Calificados en Proceso de Reinvestigación</t>
  </si>
  <si>
    <t>V.4.23 Casos Aprobados en Proceso de Reinvestigación por Tipo de Accidente</t>
  </si>
  <si>
    <t>V.4.24 Casos Aprobados en Proceso de Reinvestigación por Grado de Lesión</t>
  </si>
  <si>
    <t>V.4.25 Casos Aprobados en Proceso de Reinvestigación por Circunstancia del Suceso</t>
  </si>
  <si>
    <t>VI. Estadísticas Comisiones Médicas Nacional y Regional del Sistema Dominicano de Seguridad Social</t>
  </si>
  <si>
    <t>VI.1 Análisis de CMNR</t>
  </si>
  <si>
    <t>VI.2  Solicitudes Recibidas en las Comisiones Médicas por Estatus</t>
  </si>
  <si>
    <t>VI.3 Apelaciones de Dictámenes de la CMNR</t>
  </si>
  <si>
    <t>VI.4 Apelaciones por Entidad Receptora y Origen</t>
  </si>
  <si>
    <t>Introducción</t>
  </si>
  <si>
    <t>Reintroducción</t>
  </si>
  <si>
    <t>Total de Solicitudes</t>
  </si>
  <si>
    <r>
      <rPr>
        <b/>
        <sz val="11"/>
        <color theme="1"/>
        <rFont val="Calibri"/>
        <family val="2"/>
        <scheme val="minor"/>
      </rPr>
      <t>Fuente:</t>
    </r>
    <r>
      <rPr>
        <sz val="11"/>
        <color theme="1"/>
        <rFont val="Calibri"/>
        <family val="2"/>
        <scheme val="minor"/>
      </rPr>
      <t xml:space="preserve"> Consejo Nacional de Seguridad Social (CNSS).</t>
    </r>
  </si>
  <si>
    <t>Solicitudes Concluidas</t>
  </si>
  <si>
    <t xml:space="preserve">Solicitudes </t>
  </si>
  <si>
    <t>DIDA (TSS,IDSS,CGRD)</t>
  </si>
  <si>
    <t>En Espera de Documentos</t>
  </si>
  <si>
    <t>Respuesta a España FORM DO ES 01</t>
  </si>
  <si>
    <t xml:space="preserve">Solicitud de Pensión desde RD FORM DO ES 02  </t>
  </si>
  <si>
    <t>Descentralizadas</t>
  </si>
  <si>
    <t>% Solicitudes Concluidas</t>
  </si>
  <si>
    <t>2015</t>
  </si>
  <si>
    <t>N/D</t>
  </si>
  <si>
    <t xml:space="preserve"> Incapacidad/Discapacidad</t>
  </si>
  <si>
    <t xml:space="preserve"> Jubilación/Vejez</t>
  </si>
  <si>
    <t xml:space="preserve"> Supervivencia/Sobrevivencia</t>
  </si>
  <si>
    <t>Certificación/Período Cotizado/Cuantía</t>
  </si>
  <si>
    <t>Desplazados o Eximición de Cotización</t>
  </si>
  <si>
    <t>Tipo de Beneficio</t>
  </si>
  <si>
    <t>Tipo de Trámite</t>
  </si>
  <si>
    <t>Cooperación Admistrativa</t>
  </si>
  <si>
    <t>VIII. Estadísticas Encuesta Nacional de Fuerza de Trabajo del Banco Central</t>
  </si>
  <si>
    <t>IX.Definiciones y Logros del Sistema Dominicano de Seguridad Social</t>
  </si>
  <si>
    <t>VII. Estadísticas del Convenio Bilateral de Seguridad Social entre España y la República Dominicana</t>
  </si>
  <si>
    <t>VII.3 Cantidad de Solicitantes por Año y Tipo de Beneficio</t>
  </si>
  <si>
    <t>VII.1 Analisis del Convenio Bilateral</t>
  </si>
  <si>
    <t>VIII.1  Distribución de la Población Ocupada Formal por Rama de Actividad</t>
  </si>
  <si>
    <t>VIII.2 Población Total República Dominicana y por Tipo de Ocupación</t>
  </si>
  <si>
    <t>IX.1  Definiciones de Sistema Dominicano de Seguridad Social</t>
  </si>
  <si>
    <t>IX.2 Logros del Sistema Dominicano de Seguridad Social</t>
  </si>
  <si>
    <t>VII.2 Cantidad de Solicitudes por año y tipo de trámite</t>
  </si>
  <si>
    <t xml:space="preserve">VII.4  Cantidad de Solicitudes y Tramitaciones Concluidas </t>
  </si>
  <si>
    <t>VII.5  Cantidad de Expedientes Enviados a España en Espera de Documentación o Resolución Conclusiva</t>
  </si>
  <si>
    <t>VII.6 Cantidad de Expedientes con Solicitud de Certificación a Entidades Dominicanas</t>
  </si>
  <si>
    <t>Oct.15</t>
  </si>
  <si>
    <r>
      <rPr>
        <b/>
        <sz val="11"/>
        <color theme="1"/>
        <rFont val="Calibri"/>
        <family val="2"/>
        <scheme val="minor"/>
      </rPr>
      <t>Fuente:</t>
    </r>
    <r>
      <rPr>
        <sz val="11"/>
        <color theme="1"/>
        <rFont val="Calibri"/>
        <family val="2"/>
        <scheme val="minor"/>
      </rPr>
      <t xml:space="preserve"> SIPEN</t>
    </r>
  </si>
  <si>
    <r>
      <t xml:space="preserve"> Los subsidios son prestaciones en dinero contemplados en la Ley 87-01,  a la que tienen derecho de acceder los afiliados del Seguro Familiar de Salud del Régimen Contributivo. A la cuenta de subsidio se asigna el 0.43% del total de los aportes al SFS por cada trabajador asalariado, el cual equivale al 10.13% del salario cotizable. La administración y otorgamiento de esta prestación esta a cargo de la Superintendencia de Salud y Riesgos Laborales (SISALRIL), la cual tiene la potestad de subrogarla o administrarla directamente. 
</t>
    </r>
    <r>
      <rPr>
        <b/>
        <sz val="13"/>
        <color theme="1"/>
        <rFont val="Calibri"/>
        <family val="2"/>
        <scheme val="minor"/>
      </rPr>
      <t xml:space="preserve">
Esta prestación tiene tres tipos de subsidios:</t>
    </r>
    <r>
      <rPr>
        <sz val="13"/>
        <color theme="1"/>
        <rFont val="Calibri"/>
        <family val="2"/>
        <scheme val="minor"/>
      </rPr>
      <t xml:space="preserve">
  </t>
    </r>
    <r>
      <rPr>
        <b/>
        <sz val="13"/>
        <color theme="1"/>
        <rFont val="Calibri"/>
        <family val="2"/>
        <scheme val="minor"/>
      </rPr>
      <t xml:space="preserve"> 
a) Subsidio por Enfermedad</t>
    </r>
    <r>
      <rPr>
        <sz val="13"/>
        <color theme="1"/>
        <rFont val="Calibri"/>
        <family val="2"/>
        <scheme val="minor"/>
      </rPr>
      <t xml:space="preserve">
En caso de enfermedad común, accidente no laboral o por una incapacidad ocasionada por el estado de embarazo, el afiliado(a) del Régimen Contributivo tiene derecho a un subsidio en dinero por incapacidad temporal para el trabajo. El mismo se otorga a partir del cuarto día de la incapacidad hasta un límite de veinte y seis semanas, siempre que haya cotizado durante los doces últimos meses anteriores a la incapacidad, y es equivalente al 60% de los últimos seis meses cuando reciba asistencia ambulatoria, y al 40% si la atención es hospitalaria.
  </t>
    </r>
    <r>
      <rPr>
        <b/>
        <sz val="13"/>
        <color theme="1"/>
        <rFont val="Calibri"/>
        <family val="2"/>
        <scheme val="minor"/>
      </rPr>
      <t xml:space="preserve">  b) Subsidio por Maternidad</t>
    </r>
    <r>
      <rPr>
        <sz val="13"/>
        <color theme="1"/>
        <rFont val="Calibri"/>
        <family val="2"/>
        <scheme val="minor"/>
      </rPr>
      <t xml:space="preserve">
La trabajadora asalariada afiliada tiene derecho a un subsidio por maternidad, sin distinción en cuanto a las condiciones de  contratación, jornada laboral, ni estado civil, equivalente a tres meses del salario cotizable. Para tener derecho a esta prestación la afiliada deberá haber cotizado durante por lo menos ocho meses del período comprendido en los 12 meses anteriores a la fecha de su alumbramiento y no ejecutar trabajo remunerado alguno en dicho período. Esta prestación exime a la empresa de la obligación del pago del salario íntegro a que se refiere el artículo 239 del Código de Trabajo .
en caso de fallecimiento de la madre a causa del parto o durante el descanso de maternidad, tendrá derecho a percibir los subsidios, la persona que la trabajadora haya designado en el Informe de Maternidad o, en su defecto el padre o tutor designado por el Consejo de Familia.
Se tiene derecho a percibir el Subsidio por Maternidad a partir del día en que inicie el descanso por maternidad, o se produzca el alumbramiento, cual de estos eventos ocurra primero, y hasta tanto termine el período de descanso por maternidad, según las estipulaciones del art. 236 del Código de Trabajo de la República Dominicana. 
   </t>
    </r>
    <r>
      <rPr>
        <b/>
        <sz val="13"/>
        <color theme="1"/>
        <rFont val="Calibri"/>
        <family val="2"/>
        <scheme val="minor"/>
      </rPr>
      <t>c) Subsidio por Lactancia</t>
    </r>
    <r>
      <rPr>
        <sz val="13"/>
        <color theme="1"/>
        <rFont val="Calibri"/>
        <family val="2"/>
        <scheme val="minor"/>
      </rPr>
      <t xml:space="preserve">
Con la finalidad de proteger los niños en edad de lactancia, se considera en situación protegida los hijos menores de un año de las trabajadoras afiliadas sl régimen Contributivo con un salario cotizable inferior a tres salarios mínimos nacional, según lo establece el art. 132 de la Ley 87-01. En caso de parto múltiple, la madre recibirá el subsidio por lactancia por cada niño (a) nacido de un mismo parto.
En caso de fallecimiento de la madre durante la vigencia del subsidio tendrá derecho a percibir el pago íntegro del subsidio de lactancia o las sumas que resten del mismo, la persona que la trabajadora haya designado en el Informe de Maternidad o, en su defecto el padre o tutor designado por el Consejo de Familia, siempre que cumpla los requerimientos establecidos por SISALRIL.
Las prestaciones económicas  por subsidio por lactancia son otorgadas mensualmente durante doce meses por la instancia gestora, pudiendo auxiliarse de la intervención del empleador, en caso de ser necesario.
</t>
    </r>
  </si>
  <si>
    <r>
      <rPr>
        <b/>
        <sz val="8"/>
        <color theme="1"/>
        <rFont val="Calibri"/>
        <family val="2"/>
        <scheme val="minor"/>
      </rPr>
      <t>Nota:</t>
    </r>
    <r>
      <rPr>
        <sz val="8"/>
        <color theme="1"/>
        <rFont val="Calibri"/>
        <family val="2"/>
        <scheme val="minor"/>
      </rPr>
      <t xml:space="preserve">  PEA: Banco Central, 2015.  </t>
    </r>
  </si>
  <si>
    <r>
      <t xml:space="preserve">Fuente: </t>
    </r>
    <r>
      <rPr>
        <sz val="14"/>
        <rFont val="Calibri"/>
        <family val="2"/>
        <scheme val="minor"/>
      </rPr>
      <t>Boletín Sipen No.49</t>
    </r>
  </si>
  <si>
    <r>
      <t xml:space="preserve">Fuente: </t>
    </r>
    <r>
      <rPr>
        <sz val="14"/>
        <rFont val="Calibri"/>
        <family val="2"/>
        <scheme val="minor"/>
      </rPr>
      <t>Boletín de SIPEN No. 49</t>
    </r>
  </si>
  <si>
    <t>Fuente: Boletin No. 49 SIPEN</t>
  </si>
  <si>
    <t xml:space="preserve">                                  -  </t>
  </si>
  <si>
    <t>Sep. 2007 -Oct 2015</t>
  </si>
  <si>
    <t xml:space="preserve"> Período </t>
  </si>
  <si>
    <t xml:space="preserve"> Cuidado de la Salud </t>
  </si>
  <si>
    <t xml:space="preserve"> FONAMAT </t>
  </si>
  <si>
    <t xml:space="preserve"> Subsidios  </t>
  </si>
  <si>
    <t xml:space="preserve"> Comisión SISALRIL </t>
  </si>
  <si>
    <t xml:space="preserve"> Estancias Infantiles (Pago cápitas/niños </t>
  </si>
  <si>
    <t xml:space="preserve"> AEISS  (Pago nómina Res. CNSS 369-04)   </t>
  </si>
  <si>
    <t xml:space="preserve">                              -  </t>
  </si>
  <si>
    <t xml:space="preserve"> Nov.14 </t>
  </si>
  <si>
    <t xml:space="preserve"> Dic.14 </t>
  </si>
  <si>
    <t xml:space="preserve"> Ene.15 </t>
  </si>
  <si>
    <t xml:space="preserve">                               -  </t>
  </si>
  <si>
    <t xml:space="preserve"> Feb.15 </t>
  </si>
  <si>
    <t xml:space="preserve"> Mar.15 </t>
  </si>
  <si>
    <t xml:space="preserve"> Abr.15 </t>
  </si>
  <si>
    <t xml:space="preserve"> May.15 </t>
  </si>
  <si>
    <t xml:space="preserve"> Jun.15 </t>
  </si>
  <si>
    <t xml:space="preserve"> Jul.15 </t>
  </si>
  <si>
    <t xml:space="preserve"> Ago.15 </t>
  </si>
  <si>
    <t xml:space="preserve"> Sep.15 </t>
  </si>
  <si>
    <t xml:space="preserve"> Oct.15 </t>
  </si>
  <si>
    <r>
      <rPr>
        <b/>
        <sz val="11"/>
        <color theme="1"/>
        <rFont val="Calibri"/>
        <family val="2"/>
        <scheme val="minor"/>
      </rPr>
      <t>Fuente:</t>
    </r>
    <r>
      <rPr>
        <sz val="11"/>
        <color theme="1"/>
        <rFont val="Calibri"/>
        <family val="2"/>
        <scheme val="minor"/>
      </rPr>
      <t xml:space="preserve"> Boletín No.49 Sipen</t>
    </r>
  </si>
  <si>
    <t>Fuente: Boletín No.49 Sipen</t>
  </si>
  <si>
    <t>Nov.15</t>
  </si>
  <si>
    <t>Nov. 2015</t>
  </si>
  <si>
    <t>Nov.2015</t>
  </si>
  <si>
    <t xml:space="preserve">% Afiliados   titulares </t>
  </si>
  <si>
    <t>Ene-Nov.2015</t>
  </si>
  <si>
    <t>Ene-Nov. 2015</t>
  </si>
  <si>
    <t>Ene. - Nov. 2015</t>
  </si>
  <si>
    <t>Total 
Sep.07 -Nov.2015</t>
  </si>
  <si>
    <t>Sep.07 - Nov.15</t>
  </si>
  <si>
    <t xml:space="preserve">Nov.15 </t>
  </si>
  <si>
    <t>Ene- Nov. 2015</t>
  </si>
  <si>
    <t>Ene.Nov. 2015</t>
  </si>
  <si>
    <t>Ene - Nov.  2015</t>
  </si>
  <si>
    <t>Ene-Nov.15</t>
  </si>
  <si>
    <t>Ene - Nov. 2015</t>
  </si>
  <si>
    <r>
      <rPr>
        <b/>
        <sz val="9"/>
        <color theme="1"/>
        <rFont val="Calibri"/>
        <family val="2"/>
        <scheme val="minor"/>
      </rPr>
      <t>Actividad Conexa:</t>
    </r>
    <r>
      <rPr>
        <sz val="9"/>
        <color theme="1"/>
        <rFont val="Calibri"/>
        <family val="2"/>
        <scheme val="minor"/>
      </rPr>
      <t xml:space="preserve">  Está relacionada con la actividad productiva pero no representa beneficios directos para la empresa o para la actividad en sí.</t>
    </r>
  </si>
  <si>
    <t>Ene- Nov. 15</t>
  </si>
  <si>
    <t>Ene-Nov. 15</t>
  </si>
  <si>
    <t>El 29 de julio 2008 la Superintendencia de Salud y Riesgos Laborales emitió la Resolución 157-08 que definió los procedimientos de solicitud y entrega de los subsidios por Maternidad y Lactancia, establecidos como beneficios para las trabajadoras afiliadas al Régimen  Contributivo del Seguro Familiar de Salud.
Para la ejecución de los subsidios, la SISALRIL suscribió tres acuerdos. Uno con la TSS, mediante el cual se contrató la gestión de los procesos operativos para la administración de los subsidios; otro con BANRESERVAS, para los servicios de pago electrónico del subsidio por Lactancia; y un tercero con el Banco Popular Dominicano, en su calidad en ese entonces de Banco Concentrador del sistema, para el reembolso a los Empleadores de los subsidios por Maternidad.
En septiembre de 2008 se dio inicio la ejecución del componente del Subsidio por Maternidad y Lactancia, las afiladas comenzaron a recibir los beneficios, mientras que el Subsidio por Enfermedad Común entró en vigencia en septiembre de 2009. 
Durante el período comprendido entre la fecha de inicio hasta noviembre 2015, se ha beneficiado a 124,679 parturientas, las cuales han recibido prestaciones económicas por Maternidad por un monto total ascendente a RD$ 4,865,046,394.77 y 95,227 trabajadoras han percibido el subsidio por Lactancia por un monto total de RD$1,308,428,031.60.  La diferencia entre la cantidad de beneficiaras de maternidad y lactancia se debe los topes de salarios de las trabajadoras establecidos para poder acceder al beneficio de lactancia (hasta tres salarios mínimos nacional).
Con relación al Subsidio por Enfermedad Común desde septiembre de 2009 al mes de noviembre 2015 se han beneficiados 272,691 trabajadores, recibiendo beneficios económicos por un monto global de RD$1,195,806,590.89.</t>
  </si>
  <si>
    <r>
      <rPr>
        <b/>
        <sz val="14"/>
        <color theme="1"/>
        <rFont val="Calibri"/>
        <family val="2"/>
        <scheme val="minor"/>
      </rPr>
      <t xml:space="preserve">
El Seguro de Vejez, Discapacidad y Sobrevivencia del Régimen Contributivo contempla las siguientes prestaciones:</t>
    </r>
    <r>
      <rPr>
        <sz val="14"/>
        <color theme="1"/>
        <rFont val="Calibri"/>
        <family val="2"/>
        <scheme val="minor"/>
      </rPr>
      <t xml:space="preserve">
 </t>
    </r>
    <r>
      <rPr>
        <b/>
        <sz val="14"/>
        <color theme="1"/>
        <rFont val="Calibri"/>
        <family val="2"/>
        <scheme val="minor"/>
      </rPr>
      <t xml:space="preserve">  a)</t>
    </r>
    <r>
      <rPr>
        <sz val="14"/>
        <color theme="1"/>
        <rFont val="Calibri"/>
        <family val="2"/>
        <scheme val="minor"/>
      </rPr>
      <t xml:space="preserve"> Pensión por Vejez 
   </t>
    </r>
    <r>
      <rPr>
        <b/>
        <sz val="14"/>
        <color theme="1"/>
        <rFont val="Calibri"/>
        <family val="2"/>
        <scheme val="minor"/>
      </rPr>
      <t>b)</t>
    </r>
    <r>
      <rPr>
        <sz val="14"/>
        <color theme="1"/>
        <rFont val="Calibri"/>
        <family val="2"/>
        <scheme val="minor"/>
      </rPr>
      <t xml:space="preserve"> Pensión por Discapacidad,  total y parcial
</t>
    </r>
    <r>
      <rPr>
        <b/>
        <sz val="14"/>
        <color theme="1"/>
        <rFont val="Calibri"/>
        <family val="2"/>
        <scheme val="minor"/>
      </rPr>
      <t xml:space="preserve">   c)</t>
    </r>
    <r>
      <rPr>
        <sz val="14"/>
        <color theme="1"/>
        <rFont val="Calibri"/>
        <family val="2"/>
        <scheme val="minor"/>
      </rPr>
      <t xml:space="preserve"> Pensión por cesantía por edad avanzada 
   </t>
    </r>
    <r>
      <rPr>
        <b/>
        <sz val="14"/>
        <color theme="1"/>
        <rFont val="Calibri"/>
        <family val="2"/>
        <scheme val="minor"/>
      </rPr>
      <t>d)</t>
    </r>
    <r>
      <rPr>
        <sz val="14"/>
        <color theme="1"/>
        <rFont val="Calibri"/>
        <family val="2"/>
        <scheme val="minor"/>
      </rPr>
      <t xml:space="preserve"> Pensión por Sobrevivencia
La evolución anual  del otorgamiento de las pensiones por Discapacidad y Sobrevivencia. Durante el año 2014, se otorgaron 1,005 pensiones por Discapacidad y 722 pensiones por Sobrevivencia y 7 por retiro programado (vejez) a afiliados de Ingreso Tardío.
Desde su inicio y hasta noviembre de 2015, el Sistema Previsional ha beneficiado un total de 10,383 pensiones, desglosadas de la siguiente manera:  4,960 por Discapacidad;  5,402 por Sobrevivencia y 21 por Retiro Programado (vejez), otorgadas estas últimas a personas de ingreso tardío. Las pensiones de sobrevivencia otorgadas benefician a 12,810 personas a septiembre 2015. 
A septiembre 2015, el monto promedio de pensión por sobrevivencia asciende a RD$ 10,742.74, mientras que el monto promedio de pensión por discapacidad asciende a RD$7,483.05.</t>
    </r>
    <r>
      <rPr>
        <sz val="13"/>
        <color theme="1"/>
        <rFont val="Calibri"/>
        <family val="2"/>
        <scheme val="minor"/>
      </rPr>
      <t xml:space="preserve">
</t>
    </r>
  </si>
  <si>
    <r>
      <rPr>
        <b/>
        <sz val="9"/>
        <color theme="1"/>
        <rFont val="Calibri"/>
        <family val="2"/>
        <scheme val="minor"/>
      </rPr>
      <t xml:space="preserve">Fuente: </t>
    </r>
    <r>
      <rPr>
        <sz val="9"/>
        <color theme="1"/>
        <rFont val="Calibri"/>
        <family val="2"/>
        <scheme val="minor"/>
      </rPr>
      <t>CNSS</t>
    </r>
    <r>
      <rPr>
        <b/>
        <sz val="9"/>
        <color theme="1"/>
        <rFont val="Calibri"/>
        <family val="2"/>
        <scheme val="minor"/>
      </rPr>
      <t xml:space="preserve">
Nota: Form do es 01</t>
    </r>
    <r>
      <rPr>
        <sz val="9"/>
        <color theme="1"/>
        <rFont val="Calibri"/>
        <family val="2"/>
        <scheme val="minor"/>
      </rPr>
      <t xml:space="preserve">  es un formulario, que es utilizado para remitir respuestas a solicitudes de períodos cotizados desde la Rep. Dom.a  España  y</t>
    </r>
    <r>
      <rPr>
        <b/>
        <sz val="9"/>
        <color theme="1"/>
        <rFont val="Calibri"/>
        <family val="2"/>
        <scheme val="minor"/>
      </rPr>
      <t xml:space="preserve"> Form do es 02</t>
    </r>
    <r>
      <rPr>
        <sz val="9"/>
        <color theme="1"/>
        <rFont val="Calibri"/>
        <family val="2"/>
        <scheme val="minor"/>
      </rPr>
      <t xml:space="preserve"> remite la solicitud de pensión por jubilación, incapacidad y/o supervivencia a España.</t>
    </r>
  </si>
  <si>
    <r>
      <rPr>
        <b/>
        <sz val="14"/>
        <color theme="1"/>
        <rFont val="Calibri"/>
        <family val="2"/>
        <scheme val="minor"/>
      </rPr>
      <t>Fuente</t>
    </r>
    <r>
      <rPr>
        <sz val="14"/>
        <color theme="1"/>
        <rFont val="Calibri"/>
        <family val="2"/>
        <scheme val="minor"/>
      </rPr>
      <t>: Portal SISALRIL</t>
    </r>
  </si>
  <si>
    <t>Afiliados por Grupo de Edad</t>
  </si>
  <si>
    <t>Rendimientos Inversiones  *</t>
  </si>
  <si>
    <r>
      <t xml:space="preserve">* Nota: </t>
    </r>
    <r>
      <rPr>
        <sz val="12"/>
        <rFont val="Calibri"/>
        <family val="2"/>
        <scheme val="minor"/>
      </rPr>
      <t>Los rendimientos fueron ajustados según los informes de TSS.</t>
    </r>
  </si>
  <si>
    <t>Aportes del Gob. (SFS RS)</t>
  </si>
  <si>
    <t>Ene - Nov.2015</t>
  </si>
  <si>
    <t>VII.7 Cantidad de Solicitudes por Fecha y Sexo</t>
  </si>
  <si>
    <t>VIII.1 Ocup. formal'!Área_de_impresión</t>
  </si>
  <si>
    <t>* Incluye la dispersión para cubrir a los dependientes adicionales.
   (ADA)  dependientes adicionales</t>
  </si>
  <si>
    <t>Ene-Nov. 2015*</t>
  </si>
  <si>
    <r>
      <t xml:space="preserve">    Fuente:</t>
    </r>
    <r>
      <rPr>
        <sz val="12"/>
        <color theme="1"/>
        <rFont val="Calibri"/>
        <family val="2"/>
        <scheme val="minor"/>
      </rPr>
      <t xml:space="preserve"> Tesoreria de la Seguridad Social (TSS).</t>
    </r>
  </si>
  <si>
    <r>
      <rPr>
        <b/>
        <sz val="12"/>
        <color theme="1"/>
        <rFont val="Calibri"/>
        <family val="2"/>
        <scheme val="minor"/>
      </rPr>
      <t>Fuente:</t>
    </r>
    <r>
      <rPr>
        <sz val="12"/>
        <color theme="1"/>
        <rFont val="Calibri"/>
        <family val="2"/>
        <scheme val="minor"/>
      </rPr>
      <t xml:space="preserve"> Consejo Nacional de Seguridad Social (CNSS).</t>
    </r>
  </si>
  <si>
    <r>
      <rPr>
        <b/>
        <sz val="14"/>
        <color theme="1"/>
        <rFont val="Calibri"/>
        <family val="2"/>
        <scheme val="minor"/>
      </rPr>
      <t>Fuente:</t>
    </r>
    <r>
      <rPr>
        <sz val="14"/>
        <color theme="1"/>
        <rFont val="Calibri"/>
        <family val="2"/>
        <scheme val="minor"/>
      </rPr>
      <t xml:space="preserve"> Afiliación Portal SISALRIL. Comité de Pobreza. 
 Boletín de Estadísticas Oficiales de Pobreza Monetaria RD. Año 1, No.1. Septiembre 2015.</t>
    </r>
  </si>
  <si>
    <t>Grupo Edad</t>
  </si>
  <si>
    <t>* Calculado con el PIB del cierre del año 2014 publicado por el Banco Central</t>
  </si>
  <si>
    <r>
      <rPr>
        <b/>
        <sz val="18"/>
        <color indexed="8"/>
        <rFont val="Calibri"/>
        <family val="2"/>
      </rPr>
      <t xml:space="preserve">                                                                                                                                                                                                                                                                                                                                                                                                         </t>
    </r>
    <r>
      <rPr>
        <b/>
        <sz val="22"/>
        <color indexed="8"/>
        <rFont val="Calibri"/>
        <family val="2"/>
      </rPr>
      <t xml:space="preserve">Sistema Dominicano de Seguridad Social (SDSS)
</t>
    </r>
    <r>
      <rPr>
        <sz val="16"/>
        <color indexed="8"/>
        <rFont val="Calibri"/>
        <family val="2"/>
      </rPr>
      <t xml:space="preserve">Es un Sistema de protección social público creado mediante la Ley 87-01 promulgada el 9 de mayo de 2001. Su carácter es universal, obligatorio, solidario, plural e integral a fin de otorgar los derechos constitucionales a la  población;  regular y desarrollar los deberes y derechos recíprocos del Estado y los ciudadanos en lo referente al financiamiento para la protección de la población contra los riesgos de vejez, discapacidad, cesantía por edad avanzada, sobrevivencia, enfermedad, maternidad, infancia y riesgos  laborales.
Este sistema aglutina, articula, normatiza y supervisa, todas las instituciones públicas, privadas y mixtas dedicadas a actividades principales o complementarias de Seguridad Social en la República Dominicana. 
</t>
    </r>
    <r>
      <rPr>
        <b/>
        <sz val="22"/>
        <color indexed="8"/>
        <rFont val="Calibri"/>
        <family val="2"/>
      </rPr>
      <t xml:space="preserve">I.- Instituciones y Organismos que Componen el SDSS: </t>
    </r>
    <r>
      <rPr>
        <sz val="22"/>
        <color indexed="8"/>
        <rFont val="Calibri"/>
        <family val="2"/>
      </rPr>
      <t xml:space="preserve">
</t>
    </r>
    <r>
      <rPr>
        <sz val="16"/>
        <color indexed="8"/>
        <rFont val="Calibri"/>
        <family val="2"/>
      </rPr>
      <t xml:space="preserve">
</t>
    </r>
    <r>
      <rPr>
        <b/>
        <sz val="18"/>
        <color indexed="8"/>
        <rFont val="Calibri"/>
        <family val="2"/>
      </rPr>
      <t xml:space="preserve">Consejo Nacional de Seguridad Social (CNSS),  </t>
    </r>
    <r>
      <rPr>
        <sz val="16"/>
        <color indexed="8"/>
        <rFont val="Calibri"/>
        <family val="2"/>
      </rPr>
      <t xml:space="preserve">es el órgano superior del Sistema Dominicano de Seguridad Social (SDSS). Se encarga de la dirección y conducción del Sistema, de establecer las políticas y regular el funcionamiento de sus instituciones. Garantiza la extensión de cobertura, defiende a los beneficiarios y vela por el desarrollo institucional, la integralidad de los programas y el equilibrio financiero del SDSS. 
Establece las políticas de seguridad social orientadas a la protección integral y el bienestar general de la población; vela por la elevación de los niveles de equidad, de solidaridad y participación ciudadana para reducir la pobreza, promover a la mujer, proteger la niñez y la vejez, preservar el medio ambiente y realizar los estudios necesarios para extender la protección de la Seguridad Social a los ciudadanos y someter al Poder Ejecutivo las propuestas correspondientes para fines de aprobación
                                                                                                                                                                                                                                                                                                                                                                                                                           </t>
    </r>
    <r>
      <rPr>
        <b/>
        <sz val="18"/>
        <color indexed="8"/>
        <rFont val="Calibri"/>
        <family val="2"/>
      </rPr>
      <t xml:space="preserve">Gerencia General del Consejo Nacional de Seguridad Social (GGCNSS), </t>
    </r>
    <r>
      <rPr>
        <sz val="16"/>
        <color indexed="8"/>
        <rFont val="Calibri"/>
        <family val="2"/>
      </rPr>
      <t xml:space="preserve"> funge como secretaría del CNSS, participa en las reuniones de este organismo con voz, pero sin voto y es la responsable de:
- Ejecutar y hacer ejecutar las decisiones, acuerdos y resoluciones del Consejo Nacional de Seguridad Social; 
- Organizar, controlar y supervisar las dependencias técnica y administrativas del CNSS
- Someter a la aprobación del CNSS los proyectos de reglamentos consignados en el artículo 2 de la Ley 87-01, así como los reglamentos sobre el funcionamiento del propio Consejo Nacional;
- Presentar  al CNSS las iniciativas que sean necesarias para garantizar el cumplimiento de los objetivos y metas  del SDSS, entre otras.
  </t>
    </r>
    <r>
      <rPr>
        <b/>
        <sz val="18"/>
        <color indexed="8"/>
        <rFont val="Calibri"/>
        <family val="2"/>
      </rPr>
      <t xml:space="preserve">Tesorería de la Seguridad Social (TSS), </t>
    </r>
    <r>
      <rPr>
        <sz val="18"/>
        <color indexed="8"/>
        <rFont val="Calibri"/>
        <family val="2"/>
      </rPr>
      <t xml:space="preserve">es la </t>
    </r>
    <r>
      <rPr>
        <b/>
        <sz val="18"/>
        <color indexed="8"/>
        <rFont val="Calibri"/>
        <family val="2"/>
      </rPr>
      <t>e</t>
    </r>
    <r>
      <rPr>
        <sz val="16"/>
        <color indexed="8"/>
        <rFont val="Calibri"/>
        <family val="2"/>
      </rPr>
      <t xml:space="preserve">ntidad responsable del recaudo, distribución y pago de los recursos financieros del SDSS, y de la administración del Sistema Único de Información y Recaudo (SUIR).
</t>
    </r>
    <r>
      <rPr>
        <b/>
        <sz val="18"/>
        <color indexed="8"/>
        <rFont val="Calibri"/>
        <family val="2"/>
      </rPr>
      <t xml:space="preserve">Dirección de Información y Defensa de los Afiliados a la Seguridad Social (DIDA), </t>
    </r>
    <r>
      <rPr>
        <sz val="16"/>
        <color indexed="8"/>
        <rFont val="Calibri"/>
        <family val="2"/>
      </rPr>
      <t xml:space="preserve">es una dependencia técnica del Consejo Nacional de Seguridad Social (CNSS) dotada de presupuesto definido y autonomía operativa. Es un instrumento de defensa y orientación de los afiliados al SDSS.
</t>
    </r>
    <r>
      <rPr>
        <b/>
        <sz val="18"/>
        <color indexed="8"/>
        <rFont val="Calibri"/>
        <family val="2"/>
      </rPr>
      <t xml:space="preserve">Contraloría del Sistema Dominicano de Seguridad Social, </t>
    </r>
    <r>
      <rPr>
        <sz val="16"/>
        <color indexed="8"/>
        <rFont val="Calibri"/>
        <family val="2"/>
      </rPr>
      <t xml:space="preserve">es una entidad dependiente del Consejo Nacional de Seguridad Social (CNSS), que tiene como función auditar las operaciones de las instituciones del sistema.
</t>
    </r>
    <r>
      <rPr>
        <b/>
        <sz val="16"/>
        <color indexed="8"/>
        <rFont val="Calibri"/>
        <family val="2"/>
      </rPr>
      <t xml:space="preserve">
</t>
    </r>
    <r>
      <rPr>
        <b/>
        <sz val="18"/>
        <color indexed="8"/>
        <rFont val="Calibri"/>
        <family val="2"/>
      </rPr>
      <t>Superintendencia de Pensiones (SIPEN), e</t>
    </r>
    <r>
      <rPr>
        <sz val="16"/>
        <color indexed="8"/>
        <rFont val="Calibri"/>
        <family val="2"/>
      </rPr>
      <t xml:space="preserve">s una entidad estatal, autónoma, con personería jurídica, y patrimonio propio, para que a nombre y representación del Estado Dominicano, ejerza a plenitud, la función de velar por el estricto cumplimiento de la presente ley y de sus normas complementarias en su área de incumbencia, de proteger los intereses de los afiliados, vigilar la solvencia financiera de las Administradoras de Fondos de Pensiones (AFP) y contribuir a fortalecer el Sistema Previsional Dominicano.
</t>
    </r>
    <r>
      <rPr>
        <b/>
        <sz val="18"/>
        <color indexed="8"/>
        <rFont val="Calibri"/>
        <family val="2"/>
      </rPr>
      <t xml:space="preserve">Superintendencia de Salud y Riesgos Laborales (SISALRIL) </t>
    </r>
    <r>
      <rPr>
        <sz val="16"/>
        <color indexed="8"/>
        <rFont val="Calibri"/>
        <family val="2"/>
      </rPr>
      <t xml:space="preserve">es una entidad estatal autónoma, con personería jurídica y patrimonio propio, que a nombre y representación del Estado Dominicano ejerce las funciones establecidas en la Ley de Seguridad Social y sus normas complementarias, de proteger los intereses de los afiliados, de vigilar la solvencia financiera de las Administradoras de Riesgos de Salud (ARS), supervisar el pago puntual a dichas administradoras y de éstas a las Prestadoras de Servicios de Salud (PSS) y contribuir a fortalecer el Sistema Nacional de Salud.
</t>
    </r>
    <r>
      <rPr>
        <b/>
        <sz val="18"/>
        <color indexed="8"/>
        <rFont val="Calibri"/>
        <family val="2"/>
      </rPr>
      <t>Administradoras de Fondos de Pensiones (AFP</t>
    </r>
    <r>
      <rPr>
        <sz val="16"/>
        <color indexed="8"/>
        <rFont val="Calibri"/>
        <family val="2"/>
      </rPr>
      <t xml:space="preserve">), son sociedades financieras constituidas de acuerdo a las leyes del país, con el objeto exclusivo de administrar las cuentas personales de los afiliados e invertir adecuadamente los fondos de pensiones, otorgar y administrar las prestaciones del sistema previsional. Estas pueden ser públicas, privadas o mixtas.
</t>
    </r>
    <r>
      <rPr>
        <b/>
        <sz val="18"/>
        <color indexed="8"/>
        <rFont val="Calibri"/>
        <family val="2"/>
      </rPr>
      <t xml:space="preserve">Administradoras de Riesgos de Salud (ARS), </t>
    </r>
    <r>
      <rPr>
        <sz val="16"/>
        <color indexed="8"/>
        <rFont val="Calibri"/>
        <family val="2"/>
      </rPr>
      <t xml:space="preserve">son entidades públicas, privadas o mixtas, descentralizadas, con patrimonio propio y personería jurídica, autorizada por la Superintendencia de Salud y Riesgos Laborales a asumir y administrar el riesgo de la provisión del Plan Básico de Salud, a una determinada cantidad de beneficiarios, mediante un pago per cápita previamente establecido por el Consejo Nacional de Seguridad Social.
</t>
    </r>
    <r>
      <rPr>
        <b/>
        <sz val="18"/>
        <color indexed="8"/>
        <rFont val="Calibri"/>
        <family val="2"/>
      </rPr>
      <t xml:space="preserve">Seguro Nacional de Salud (SENASA), </t>
    </r>
    <r>
      <rPr>
        <sz val="16"/>
        <color indexed="8"/>
        <rFont val="Calibri"/>
        <family val="2"/>
      </rPr>
      <t xml:space="preserve">es una ARS pública, descentralizada, con patrimonio propio y personería jurídica, autorizada a asumir y administrar el riesgo de la provisión del Plan Básico de Salud a los empleados públicos, los de instituciones descentralizadas, a los trabajadores del Régimen Contributivo Subsidiado, así como los beneficiarios del Régimen Subsidiado y a los empleados privados que lo deseen.
</t>
    </r>
    <r>
      <rPr>
        <b/>
        <sz val="18"/>
        <color indexed="8"/>
        <rFont val="Calibri"/>
        <family val="2"/>
      </rPr>
      <t/>
    </r>
  </si>
  <si>
    <r>
      <rPr>
        <b/>
        <sz val="20"/>
        <color indexed="8"/>
        <rFont val="Calibri"/>
        <family val="2"/>
      </rPr>
      <t xml:space="preserve">
</t>
    </r>
    <r>
      <rPr>
        <b/>
        <sz val="22"/>
        <color indexed="8"/>
        <rFont val="Calibri"/>
        <family val="2"/>
      </rPr>
      <t>III.- Regímenes del SDSS:</t>
    </r>
    <r>
      <rPr>
        <b/>
        <sz val="18"/>
        <color indexed="8"/>
        <rFont val="Calibri"/>
        <family val="2"/>
      </rPr>
      <t xml:space="preserve">
Régimen Contributivo, </t>
    </r>
    <r>
      <rPr>
        <sz val="16"/>
        <color indexed="8"/>
        <rFont val="Calibri"/>
        <family val="2"/>
      </rPr>
      <t xml:space="preserve"> integra a los trabajadores asalariados públicos y privados y a los empleadores. Es financiado por los trabajadores y empleadores incluyendo al Estado en su condición de empleador. Comprende los seguros de Vejez, Discapacidad y Sobrevivencia; Familiar de Salud y Riesgos Laborales.</t>
    </r>
    <r>
      <rPr>
        <b/>
        <sz val="16"/>
        <color indexed="8"/>
        <rFont val="Calibri"/>
        <family val="2"/>
      </rPr>
      <t xml:space="preserve">
</t>
    </r>
    <r>
      <rPr>
        <b/>
        <sz val="18"/>
        <color indexed="8"/>
        <rFont val="Calibri"/>
        <family val="2"/>
      </rPr>
      <t xml:space="preserve">
Régimen Subsidiado,</t>
    </r>
    <r>
      <rPr>
        <sz val="18"/>
        <color indexed="8"/>
        <rFont val="Calibri"/>
        <family val="2"/>
      </rPr>
      <t xml:space="preserve">  protege a los trabajadores por cuenta propia con ingresos inestables e inferiores al salario mínimo nacional, así como a los desempleados, discapacitados e indigentes, financiado fundamentalmente por el Estado Dominicano. Comprende los seguros de Vejez, Discapacidad y Sobrevivencia y Familiar de Salud.</t>
    </r>
    <r>
      <rPr>
        <b/>
        <sz val="18"/>
        <color indexed="8"/>
        <rFont val="Calibri"/>
        <family val="2"/>
      </rPr>
      <t xml:space="preserve">
Régimen Contributivo Subsidiado, </t>
    </r>
    <r>
      <rPr>
        <sz val="18"/>
        <color indexed="8"/>
        <rFont val="Calibri"/>
        <family val="2"/>
      </rPr>
      <t xml:space="preserve"> protegerá a los profesionales y técnicos independientes y a los trabajadores por cuenta propia con ingresos promedio, iguales o superiores a un salario mínimo nacional, con aportes del trabajador y un subsidio estatal para suplir la falta de empleador. Comprende los seguros de Vejez, Discapacidad y Sobrevivencia y Familiar de Salud. 
</t>
    </r>
    <r>
      <rPr>
        <b/>
        <sz val="18"/>
        <color indexed="8"/>
        <rFont val="Calibri"/>
        <family val="2"/>
      </rPr>
      <t xml:space="preserve">
</t>
    </r>
    <r>
      <rPr>
        <b/>
        <sz val="22"/>
        <color indexed="8"/>
        <rFont val="Calibri"/>
        <family val="2"/>
      </rPr>
      <t>IV.- Seguros del SDSS:</t>
    </r>
    <r>
      <rPr>
        <b/>
        <sz val="18"/>
        <color indexed="8"/>
        <rFont val="Calibri"/>
        <family val="2"/>
      </rPr>
      <t xml:space="preserve">
Seguro Familiar de Salud (SFS), </t>
    </r>
    <r>
      <rPr>
        <sz val="18"/>
        <color indexed="8"/>
        <rFont val="Calibri"/>
        <family val="2"/>
      </rPr>
      <t>tiene por finalidad, la protección integral de la salud física y mental del afiliado y su familia, así como alcanzar una cobertura universal sin exclusiones por edad, sexo, condición social, laboral o territorial, garantizando el acceso regular de los grupos sociales más vulnerables y velando por el equilibrio financiero, mediante la racionalización del costo de las prestaciones y de la administración del Sistema.</t>
    </r>
    <r>
      <rPr>
        <b/>
        <sz val="18"/>
        <color indexed="8"/>
        <rFont val="Calibri"/>
        <family val="2"/>
      </rPr>
      <t xml:space="preserve">
                                                                                                                                                                                                                                                                                                                                                                                                                   Seguro de Vejez, Discapacidad y Sobrevivencia (SVDS),</t>
    </r>
    <r>
      <rPr>
        <sz val="18"/>
        <color indexed="8"/>
        <rFont val="Calibri"/>
        <family val="2"/>
      </rPr>
      <t xml:space="preserve"> tiene por objetivo remplazar la pérdida o reducción del ingreso por vejez, fallecimiento, discapacidad, cesantía en edad avanzada y sobrevivencia.</t>
    </r>
    <r>
      <rPr>
        <b/>
        <sz val="18"/>
        <color indexed="8"/>
        <rFont val="Calibri"/>
        <family val="2"/>
      </rPr>
      <t xml:space="preserve">
Seguro de Riesgos Laborales (SRL), </t>
    </r>
    <r>
      <rPr>
        <sz val="18"/>
        <color indexed="8"/>
        <rFont val="Calibri"/>
        <family val="2"/>
      </rPr>
      <t>el propósito de este seguro es prevenir y cubrir los daños ocasionados por accidentes de trabajo y/o enfermedades profesionales. Comprende toda lesión corporal y todo estado mórbido que el trabajador sufra en ocasión o por consecuencia del trabajo que presta por cuenta ajena. Incluye los accidentes de tránsito en horas laborables y/o en la ruta hacia o desde el centro de trabajo.</t>
    </r>
    <r>
      <rPr>
        <b/>
        <sz val="18"/>
        <color indexed="8"/>
        <rFont val="Calibri"/>
        <family val="2"/>
      </rPr>
      <t xml:space="preserve">
                                                                                                                                                                                                                                                                                                                                                                                                                            </t>
    </r>
    <r>
      <rPr>
        <b/>
        <sz val="22"/>
        <color indexed="8"/>
        <rFont val="Calibri"/>
        <family val="2"/>
      </rPr>
      <t xml:space="preserve">IV.- Beneficios y prestaciones: </t>
    </r>
    <r>
      <rPr>
        <sz val="16"/>
        <color indexed="8"/>
        <rFont val="Calibri"/>
        <family val="2"/>
      </rPr>
      <t xml:space="preserve">
 </t>
    </r>
    <r>
      <rPr>
        <b/>
        <sz val="16"/>
        <color indexed="8"/>
        <rFont val="Calibri"/>
        <family val="2"/>
      </rPr>
      <t>Los beneficios en el Seguro Familiar de Salud (SFS) son:</t>
    </r>
    <r>
      <rPr>
        <sz val="16"/>
        <color indexed="8"/>
        <rFont val="Calibri"/>
        <family val="2"/>
      </rPr>
      <t xml:space="preserve">
</t>
    </r>
    <r>
      <rPr>
        <b/>
        <sz val="16"/>
        <color indexed="8"/>
        <rFont val="Calibri"/>
        <family val="2"/>
      </rPr>
      <t xml:space="preserve"> Prestaciones en especie:</t>
    </r>
    <r>
      <rPr>
        <sz val="16"/>
        <color indexed="8"/>
        <rFont val="Calibri"/>
        <family val="2"/>
      </rPr>
      <t xml:space="preserve">
-  Plan Básico de Salud.
- Estancias infantiles
</t>
    </r>
    <r>
      <rPr>
        <b/>
        <sz val="16"/>
        <color indexed="8"/>
        <rFont val="Calibri"/>
        <family val="2"/>
      </rPr>
      <t xml:space="preserve"> Prestaciones en dinero</t>
    </r>
    <r>
      <rPr>
        <sz val="16"/>
        <color indexed="8"/>
        <rFont val="Calibri"/>
        <family val="2"/>
      </rPr>
      <t xml:space="preserve">:
- Subsidio por Enfermedad.
- Subsidio por Maternidad y lactancia
</t>
    </r>
    <r>
      <rPr>
        <b/>
        <sz val="16"/>
        <color indexed="8"/>
        <rFont val="Calibri"/>
        <family val="2"/>
      </rPr>
      <t xml:space="preserve">Plan Básico de Salud (PBS), </t>
    </r>
    <r>
      <rPr>
        <sz val="16"/>
        <color indexed="8"/>
        <rFont val="Calibri"/>
        <family val="2"/>
      </rPr>
      <t xml:space="preserve">es el conjunto de servicios de atención a la salud de las personas a los que tienen derecho todos los afiliados a los regímenes Contributivo, Contributivo Subsidiado y Subsidiado, cuyos contenidos están definidos en el reglamento correspondiente y su forma de prestación estará normatizada y regulada por los manuales de procedimientos y guías de atención integral que se elaboran para tal efecto.
</t>
    </r>
    <r>
      <rPr>
        <b/>
        <sz val="18"/>
        <color indexed="8"/>
        <rFont val="Calibri"/>
        <family val="2"/>
      </rPr>
      <t xml:space="preserve">Plan de Servicios de Salud (PDSS) </t>
    </r>
    <r>
      <rPr>
        <sz val="16"/>
        <color indexed="8"/>
        <rFont val="Calibri"/>
        <family val="2"/>
      </rPr>
      <t xml:space="preserve">es el plan de Servicios de Salud producto del acuerdo firmado por todos los sectores del Sistema Dominicano de Seguridad Social (SDSS), el 19 de diciembre de 2006, ratificado mediante la Resolución No. 151-05 del Consejo Nacional de la Seguridad Social (CNSS) en fecha 11/01/2007, para posibilitar la entrada en vigencia del Seguro Familiar de Salud del Régimen Contributivo; es considerado como una primera etapa de aplicación del Plan Básico de Salud (PBS).
</t>
    </r>
    <r>
      <rPr>
        <b/>
        <sz val="16"/>
        <color indexed="8"/>
        <rFont val="Calibri"/>
        <family val="2"/>
      </rPr>
      <t xml:space="preserve">
Las prestaciones del PDSS son:</t>
    </r>
    <r>
      <rPr>
        <sz val="16"/>
        <color indexed="8"/>
        <rFont val="Calibri"/>
        <family val="2"/>
      </rPr>
      <t xml:space="preserve">
- Prevención y Promoción
- Atención Ambulatoria
- Servicios Odontológicos
- Emergencia
- Hospitalización
- Partos
- Cirugía
- Apoyo Diagnóstico (Rx) en Internamiento y Ambulatorio
- Atenciones de Alto Costo y de Máximo Nivel de Complejidad
- Rehabilitación
- Medicamentos Ambulatorios
</t>
    </r>
    <r>
      <rPr>
        <b/>
        <sz val="16"/>
        <color indexed="8"/>
        <rFont val="Calibri"/>
        <family val="2"/>
      </rPr>
      <t xml:space="preserve">Diferencia entre el Plan Básico de Salud (PBS) y el Plan de Servicios de Salud (PDSS)
</t>
    </r>
    <r>
      <rPr>
        <sz val="16"/>
        <color indexed="8"/>
        <rFont val="Calibri"/>
        <family val="2"/>
      </rPr>
      <t xml:space="preserve">
El Plan Básico de Salud (PBS) tiene un catálogo definido con todos los servicios de salud, el Plan de Servicios de Salud (PDSS) define gradualidad en la entrega de esos servicios, establece copagos, topes y cuotas moderadoras.
</t>
    </r>
  </si>
</sst>
</file>

<file path=xl/styles.xml><?xml version="1.0" encoding="utf-8"?>
<styleSheet xmlns="http://schemas.openxmlformats.org/spreadsheetml/2006/main" xmlns:mc="http://schemas.openxmlformats.org/markup-compatibility/2006" xmlns:x14ac="http://schemas.microsoft.com/office/spreadsheetml/2009/9/ac" mc:Ignorable="x14ac">
  <numFmts count="42">
    <numFmt numFmtId="41" formatCode="_(* #,##0_);_(* \(#,##0\);_(* &quot;-&quot;_);_(@_)"/>
    <numFmt numFmtId="44" formatCode="_(&quot;$&quot;* #,##0.00_);_(&quot;$&quot;* \(#,##0.00\);_(&quot;$&quot;* &quot;-&quot;??_);_(@_)"/>
    <numFmt numFmtId="43" formatCode="_(* #,##0.00_);_(* \(#,##0.00\);_(* &quot;-&quot;??_);_(@_)"/>
    <numFmt numFmtId="164" formatCode="_(&quot;RD$&quot;* #,##0.00_);_(&quot;RD$&quot;* \(#,##0.00\);_(&quot;RD$&quot;* &quot;-&quot;??_);_(@_)"/>
    <numFmt numFmtId="165" formatCode="_-* #,##0.00\ &quot;€&quot;_-;\-* #,##0.00\ &quot;€&quot;_-;_-* &quot;-&quot;??\ &quot;€&quot;_-;_-@_-"/>
    <numFmt numFmtId="166" formatCode="_-* #,##0.00\ _€_-;\-* #,##0.00\ _€_-;_-* &quot;-&quot;??\ _€_-;_-@_-"/>
    <numFmt numFmtId="167" formatCode="_(* #,##0_);_(* \(#,##0\);_(* &quot;-&quot;??_);_(@_)"/>
    <numFmt numFmtId="168" formatCode="&quot;RD$&quot;#,##0"/>
    <numFmt numFmtId="169" formatCode="&quot;RD$&quot;#,##0.00"/>
    <numFmt numFmtId="170" formatCode="[&lt;=9999999]###\-####;\(###\)\ ###\-####"/>
    <numFmt numFmtId="171" formatCode="0.0%"/>
    <numFmt numFmtId="172" formatCode="_(* #,##0.00_);_(* \(#,##0.00\);_(* &quot;-&quot;????_);_(@_)"/>
    <numFmt numFmtId="173" formatCode="_(* #,##0.0_);_(* \(#,##0.0\);_(* &quot;-&quot;??_);_(@_)"/>
    <numFmt numFmtId="174" formatCode="_([$€-2]* #,##0_);_([$€-2]* \(#,##0\);_([$€-2]* &quot;-&quot;??_)"/>
    <numFmt numFmtId="175" formatCode="#,##0.0"/>
    <numFmt numFmtId="176" formatCode="0.000%"/>
    <numFmt numFmtId="177" formatCode="0.000"/>
    <numFmt numFmtId="178" formatCode="_-* #,##0.00\ _P_t_s_-;\-* #,##0.00\ _P_t_s_-;_-* &quot;-&quot;??\ _P_t_s_-;_-@_-"/>
    <numFmt numFmtId="179" formatCode="#,##0;[Red]#,##0"/>
    <numFmt numFmtId="180" formatCode="_([$€-2]* #,##0.00_);_([$€-2]* \(#,##0.00\);_([$€-2]* &quot;-&quot;??_)"/>
    <numFmt numFmtId="181" formatCode="_(* #,##0.00_);_(* \(#,##0.00\);_(* &quot;-&quot;_);_(@_)"/>
    <numFmt numFmtId="182" formatCode="_([$€-2]* #,##0.0000_);_([$€-2]* \(#,##0.0000\);_([$€-2]* &quot;-&quot;??_)"/>
    <numFmt numFmtId="183" formatCode="_([$€-2]* #,##0.0_);_([$€-2]* \(#,##0.0\);_([$€-2]* &quot;-&quot;??_)"/>
    <numFmt numFmtId="184" formatCode="_-* #,##0.00\ [$€]_-;\-* #,##0.00\ [$€]_-;_-* &quot;-&quot;??\ [$€]_-;_-@_-"/>
    <numFmt numFmtId="185" formatCode="_-* #,##0.00\ &quot;Pts&quot;_-;\-* #,##0.00\ &quot;Pts&quot;_-;_-* &quot;-&quot;??\ &quot;Pts&quot;_-;_-@_-"/>
    <numFmt numFmtId="186" formatCode="0.0"/>
    <numFmt numFmtId="187" formatCode="0.00000"/>
    <numFmt numFmtId="188" formatCode="_([$€-2]\ * #,##0.00_);_([$€-2]\ * \(#,##0.00\);_([$€-2]\ * &quot;-&quot;??_);_(@_)"/>
    <numFmt numFmtId="189" formatCode="_([$€-2]* #,##0.000_);_([$€-2]* \(#,##0.000\);_([$€-2]* &quot;-&quot;??_)"/>
    <numFmt numFmtId="190" formatCode="#,##0.00;[Red]#,##0.00"/>
    <numFmt numFmtId="191" formatCode="General_)"/>
    <numFmt numFmtId="192" formatCode="_([$€-2]* #,##0.000000_);_([$€-2]* \(#,##0.000000\);_([$€-2]* &quot;-&quot;??_)"/>
    <numFmt numFmtId="193" formatCode="_([$€-2]* #,##0.00000_);_([$€-2]* \(#,##0.00000\);_([$€-2]* &quot;-&quot;??_)"/>
    <numFmt numFmtId="194" formatCode="#,##0.000"/>
    <numFmt numFmtId="195" formatCode="_([$€-2]\ * #,##0.0_);_([$€-2]\ * \(#,##0.0\);_([$€-2]\ * &quot;-&quot;??_);_(@_)"/>
    <numFmt numFmtId="196" formatCode="#,##0.000000_);[Red]\(#,##0.000000\)"/>
    <numFmt numFmtId="197" formatCode="&quot;$&quot;#,##0.00"/>
    <numFmt numFmtId="198" formatCode="0.00_);\(0.00\)"/>
    <numFmt numFmtId="199" formatCode="#,##0.0000"/>
    <numFmt numFmtId="200" formatCode="[$-1C0A]d&quot; de &quot;mmmm&quot; de &quot;yyyy;@"/>
    <numFmt numFmtId="201" formatCode="dd/mm/yyyy;@"/>
    <numFmt numFmtId="202" formatCode="#,##0.00000_);[Red]\(#,##0.00000\)"/>
  </numFmts>
  <fonts count="167">
    <font>
      <sz val="11"/>
      <color theme="1"/>
      <name val="Calibri"/>
      <family val="2"/>
      <scheme val="minor"/>
    </font>
    <font>
      <b/>
      <sz val="11"/>
      <color indexed="8"/>
      <name val="Calibri"/>
      <family val="2"/>
    </font>
    <font>
      <sz val="10"/>
      <name val="Arial"/>
      <family val="2"/>
    </font>
    <font>
      <b/>
      <sz val="10"/>
      <name val="Arial"/>
      <family val="2"/>
    </font>
    <font>
      <b/>
      <sz val="8"/>
      <color indexed="81"/>
      <name val="Tahoma"/>
      <family val="2"/>
    </font>
    <font>
      <sz val="8"/>
      <color indexed="81"/>
      <name val="Tahoma"/>
      <family val="2"/>
    </font>
    <font>
      <sz val="11"/>
      <name val="Arial"/>
      <family val="2"/>
    </font>
    <font>
      <b/>
      <sz val="18"/>
      <color indexed="8"/>
      <name val="Calibri"/>
      <family val="2"/>
    </font>
    <font>
      <b/>
      <sz val="12"/>
      <color indexed="8"/>
      <name val="Calibri"/>
      <family val="2"/>
    </font>
    <font>
      <sz val="11"/>
      <name val="Calibri"/>
      <family val="2"/>
    </font>
    <font>
      <b/>
      <sz val="14"/>
      <color indexed="8"/>
      <name val="Calibri"/>
      <family val="2"/>
    </font>
    <font>
      <sz val="14"/>
      <color indexed="8"/>
      <name val="Calibri"/>
      <family val="2"/>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5"/>
      <color indexed="56"/>
      <name val="Calibri"/>
      <family val="2"/>
    </font>
    <font>
      <b/>
      <sz val="13"/>
      <color indexed="56"/>
      <name val="Calibri"/>
      <family val="2"/>
    </font>
    <font>
      <b/>
      <sz val="18"/>
      <color indexed="56"/>
      <name val="Cambria"/>
      <family val="2"/>
    </font>
    <font>
      <b/>
      <sz val="11"/>
      <color indexed="8"/>
      <name val="Calibri"/>
      <family val="2"/>
    </font>
    <font>
      <b/>
      <sz val="10"/>
      <color indexed="18"/>
      <name val="Century Gothic"/>
      <family val="2"/>
    </font>
    <font>
      <sz val="10"/>
      <name val="Tahoma"/>
      <family val="2"/>
    </font>
    <font>
      <sz val="9"/>
      <color indexed="18"/>
      <name val="Century Gothic"/>
      <family val="2"/>
    </font>
    <font>
      <sz val="12"/>
      <name val="Calibri"/>
      <family val="2"/>
    </font>
    <font>
      <u/>
      <sz val="10"/>
      <color indexed="12"/>
      <name val="Arial"/>
      <family val="2"/>
    </font>
    <font>
      <sz val="14"/>
      <name val="Arial"/>
      <family val="2"/>
    </font>
    <font>
      <sz val="10"/>
      <name val="Arial"/>
      <family val="2"/>
    </font>
    <font>
      <sz val="16"/>
      <color indexed="8"/>
      <name val="Calibri"/>
      <family val="2"/>
    </font>
    <font>
      <sz val="18"/>
      <color indexed="8"/>
      <name val="Calibri"/>
      <family val="2"/>
    </font>
    <font>
      <b/>
      <sz val="16"/>
      <color indexed="8"/>
      <name val="Calibri"/>
      <family val="2"/>
    </font>
    <font>
      <sz val="11"/>
      <color indexed="18"/>
      <name val="Arial"/>
      <family val="2"/>
    </font>
    <font>
      <b/>
      <sz val="22"/>
      <color indexed="8"/>
      <name val="Calibri"/>
      <family val="2"/>
    </font>
    <font>
      <b/>
      <sz val="14"/>
      <color indexed="9"/>
      <name val="Calibri"/>
      <family val="2"/>
    </font>
    <font>
      <sz val="9"/>
      <name val="Century Gothic"/>
      <family val="2"/>
    </font>
    <font>
      <sz val="14"/>
      <color indexed="9"/>
      <name val="Calibri"/>
      <family val="2"/>
    </font>
    <font>
      <sz val="10"/>
      <name val="Arial"/>
      <family val="2"/>
    </font>
    <font>
      <b/>
      <sz val="20"/>
      <color indexed="8"/>
      <name val="Calibri"/>
      <family val="2"/>
    </font>
    <font>
      <sz val="22"/>
      <color indexed="8"/>
      <name val="Calibri"/>
      <family val="2"/>
    </font>
    <font>
      <sz val="11"/>
      <color theme="1"/>
      <name val="Calibri"/>
      <family val="2"/>
      <scheme val="minor"/>
    </font>
    <font>
      <sz val="11"/>
      <color theme="0"/>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b/>
      <sz val="14"/>
      <color theme="1"/>
      <name val="Calibri"/>
      <family val="2"/>
      <scheme val="minor"/>
    </font>
    <font>
      <sz val="12"/>
      <name val="Calibri"/>
      <family val="2"/>
      <scheme val="minor"/>
    </font>
    <font>
      <b/>
      <sz val="20"/>
      <color theme="0"/>
      <name val="Calibri"/>
      <family val="2"/>
      <scheme val="minor"/>
    </font>
    <font>
      <sz val="11"/>
      <name val="Calibri"/>
      <family val="2"/>
      <scheme val="minor"/>
    </font>
    <font>
      <b/>
      <sz val="18"/>
      <name val="Calibri"/>
      <family val="2"/>
      <scheme val="minor"/>
    </font>
    <font>
      <b/>
      <sz val="9"/>
      <color theme="1"/>
      <name val="Calibri"/>
      <family val="2"/>
      <scheme val="minor"/>
    </font>
    <font>
      <sz val="11"/>
      <color rgb="FF000000"/>
      <name val="Calibri"/>
      <family val="2"/>
      <scheme val="minor"/>
    </font>
    <font>
      <b/>
      <sz val="18"/>
      <color theme="1"/>
      <name val="Calibri"/>
      <family val="2"/>
      <scheme val="minor"/>
    </font>
    <font>
      <b/>
      <sz val="18"/>
      <color theme="0"/>
      <name val="Calibri"/>
      <family val="2"/>
      <scheme val="minor"/>
    </font>
    <font>
      <sz val="12"/>
      <color theme="1"/>
      <name val="Calibri"/>
      <family val="2"/>
      <scheme val="minor"/>
    </font>
    <font>
      <b/>
      <sz val="10"/>
      <name val="Calibri"/>
      <family val="2"/>
      <scheme val="minor"/>
    </font>
    <font>
      <sz val="10"/>
      <color theme="1"/>
      <name val="Calibri"/>
      <family val="2"/>
      <scheme val="minor"/>
    </font>
    <font>
      <sz val="16"/>
      <name val="Calibri"/>
      <family val="2"/>
      <scheme val="minor"/>
    </font>
    <font>
      <b/>
      <sz val="10"/>
      <color theme="1"/>
      <name val="Calibri"/>
      <family val="2"/>
      <scheme val="minor"/>
    </font>
    <font>
      <b/>
      <sz val="11"/>
      <name val="Calibri"/>
      <family val="2"/>
      <scheme val="minor"/>
    </font>
    <font>
      <sz val="14"/>
      <color theme="1"/>
      <name val="Calibri"/>
      <family val="2"/>
      <scheme val="minor"/>
    </font>
    <font>
      <b/>
      <sz val="12"/>
      <color theme="1"/>
      <name val="Calibri"/>
      <family val="2"/>
      <scheme val="minor"/>
    </font>
    <font>
      <b/>
      <sz val="12"/>
      <name val="Calibri"/>
      <family val="2"/>
      <scheme val="minor"/>
    </font>
    <font>
      <sz val="12"/>
      <color theme="0"/>
      <name val="Calibri"/>
      <family val="2"/>
      <scheme val="minor"/>
    </font>
    <font>
      <b/>
      <sz val="22"/>
      <color theme="0"/>
      <name val="Calibri"/>
      <family val="2"/>
      <scheme val="minor"/>
    </font>
    <font>
      <b/>
      <sz val="20"/>
      <name val="Calibri"/>
      <family val="2"/>
      <scheme val="minor"/>
    </font>
    <font>
      <b/>
      <sz val="16"/>
      <color theme="1"/>
      <name val="Calibri"/>
      <family val="2"/>
      <scheme val="minor"/>
    </font>
    <font>
      <sz val="16"/>
      <color theme="1"/>
      <name val="Calibri"/>
      <family val="2"/>
      <scheme val="minor"/>
    </font>
    <font>
      <b/>
      <sz val="10"/>
      <color rgb="FF000000"/>
      <name val="Calibri"/>
      <family val="2"/>
      <scheme val="minor"/>
    </font>
    <font>
      <b/>
      <sz val="8"/>
      <color theme="1"/>
      <name val="Calibri"/>
      <family val="2"/>
      <scheme val="minor"/>
    </font>
    <font>
      <sz val="14"/>
      <color rgb="FFFF0000"/>
      <name val="Calibri"/>
      <family val="2"/>
      <scheme val="minor"/>
    </font>
    <font>
      <b/>
      <sz val="22"/>
      <color theme="1"/>
      <name val="Calibri"/>
      <family val="2"/>
      <scheme val="minor"/>
    </font>
    <font>
      <b/>
      <sz val="12"/>
      <color theme="0"/>
      <name val="Calibri"/>
      <family val="2"/>
      <scheme val="minor"/>
    </font>
    <font>
      <sz val="9"/>
      <color theme="1"/>
      <name val="Calibri"/>
      <family val="2"/>
      <scheme val="minor"/>
    </font>
    <font>
      <sz val="10"/>
      <name val="Calibri"/>
      <family val="2"/>
      <scheme val="minor"/>
    </font>
    <font>
      <b/>
      <sz val="14"/>
      <name val="Calibri"/>
      <family val="2"/>
      <scheme val="minor"/>
    </font>
    <font>
      <sz val="14"/>
      <name val="Calibri"/>
      <family val="2"/>
      <scheme val="minor"/>
    </font>
    <font>
      <b/>
      <sz val="11"/>
      <color theme="0"/>
      <name val="Arial"/>
      <family val="2"/>
    </font>
    <font>
      <b/>
      <sz val="16"/>
      <name val="Calibri"/>
      <family val="2"/>
      <scheme val="minor"/>
    </font>
    <font>
      <b/>
      <sz val="16"/>
      <color theme="0"/>
      <name val="Calibri"/>
      <family val="2"/>
      <scheme val="minor"/>
    </font>
    <font>
      <b/>
      <sz val="24"/>
      <color theme="0"/>
      <name val="Calibri"/>
      <family val="2"/>
      <scheme val="minor"/>
    </font>
    <font>
      <sz val="18"/>
      <color theme="1"/>
      <name val="Calibri"/>
      <family val="2"/>
      <scheme val="minor"/>
    </font>
    <font>
      <b/>
      <sz val="14"/>
      <color theme="0"/>
      <name val="Calibri"/>
      <family val="2"/>
      <scheme val="minor"/>
    </font>
    <font>
      <b/>
      <sz val="11"/>
      <name val="Century Gothic"/>
      <family val="2"/>
    </font>
    <font>
      <sz val="10"/>
      <name val="Arial"/>
      <family val="2"/>
    </font>
    <font>
      <b/>
      <sz val="10"/>
      <color theme="0"/>
      <name val="Calibri"/>
      <family val="2"/>
      <scheme val="minor"/>
    </font>
    <font>
      <b/>
      <sz val="14"/>
      <color theme="0"/>
      <name val="Calibri"/>
      <family val="2"/>
    </font>
    <font>
      <b/>
      <sz val="26"/>
      <color theme="0"/>
      <name val="Calibri"/>
      <family val="2"/>
      <scheme val="minor"/>
    </font>
    <font>
      <sz val="13"/>
      <name val="Calibri"/>
      <family val="2"/>
      <scheme val="minor"/>
    </font>
    <font>
      <sz val="9"/>
      <color theme="1"/>
      <name val="Arial"/>
      <family val="2"/>
    </font>
    <font>
      <b/>
      <sz val="11"/>
      <color indexed="18"/>
      <name val="Arial"/>
      <family val="2"/>
    </font>
    <font>
      <sz val="13"/>
      <color theme="1"/>
      <name val="Calibri"/>
      <family val="2"/>
      <scheme val="minor"/>
    </font>
    <font>
      <sz val="10"/>
      <name val="Arial"/>
      <family val="2"/>
    </font>
    <font>
      <sz val="8"/>
      <color theme="1"/>
      <name val="Calibri"/>
      <family val="2"/>
      <scheme val="minor"/>
    </font>
    <font>
      <sz val="8"/>
      <name val="Calibri"/>
      <family val="2"/>
      <scheme val="minor"/>
    </font>
    <font>
      <b/>
      <sz val="28"/>
      <color theme="0"/>
      <name val="Calibri"/>
      <family val="2"/>
      <scheme val="minor"/>
    </font>
    <font>
      <sz val="11"/>
      <color rgb="FFC00000"/>
      <name val="Calibri"/>
      <family val="2"/>
      <scheme val="minor"/>
    </font>
    <font>
      <b/>
      <sz val="13"/>
      <name val="Calibri"/>
      <family val="2"/>
      <scheme val="minor"/>
    </font>
    <font>
      <b/>
      <sz val="8"/>
      <name val="Calibri"/>
      <family val="2"/>
      <scheme val="minor"/>
    </font>
    <font>
      <sz val="9"/>
      <name val="Calibri"/>
      <family val="2"/>
      <scheme val="minor"/>
    </font>
    <font>
      <b/>
      <sz val="12"/>
      <name val="Century Gothic"/>
      <family val="2"/>
    </font>
    <font>
      <b/>
      <sz val="8"/>
      <color indexed="9"/>
      <name val="Century Gothic"/>
      <family val="2"/>
    </font>
    <font>
      <b/>
      <sz val="12"/>
      <color theme="0"/>
      <name val="Century Gothic"/>
      <family val="2"/>
    </font>
    <font>
      <b/>
      <sz val="9"/>
      <name val="Calibri"/>
      <family val="2"/>
      <scheme val="minor"/>
    </font>
    <font>
      <b/>
      <sz val="8"/>
      <color theme="0"/>
      <name val="Century Gothic"/>
      <family val="2"/>
    </font>
    <font>
      <b/>
      <sz val="11"/>
      <color theme="0"/>
      <name val="Century Gothic"/>
      <family val="2"/>
    </font>
    <font>
      <b/>
      <sz val="10"/>
      <name val="Century Gothic"/>
      <family val="2"/>
    </font>
    <font>
      <sz val="18"/>
      <name val="Calibri"/>
      <family val="2"/>
      <scheme val="minor"/>
    </font>
    <font>
      <sz val="11"/>
      <color rgb="FF333333"/>
      <name val="Arial"/>
      <family val="2"/>
    </font>
    <font>
      <b/>
      <sz val="36"/>
      <color theme="0"/>
      <name val="Calibri"/>
      <family val="2"/>
      <scheme val="minor"/>
    </font>
    <font>
      <b/>
      <sz val="10"/>
      <color indexed="64"/>
      <name val="Arial"/>
      <family val="2"/>
    </font>
    <font>
      <u/>
      <sz val="12"/>
      <color indexed="36"/>
      <name val="Times New Roman"/>
      <family val="1"/>
    </font>
    <font>
      <u/>
      <sz val="12"/>
      <color indexed="12"/>
      <name val="Times New Roman"/>
      <family val="1"/>
    </font>
    <font>
      <sz val="20"/>
      <color theme="1"/>
      <name val="Calibri"/>
      <family val="2"/>
      <scheme val="minor"/>
    </font>
    <font>
      <b/>
      <sz val="16"/>
      <name val="Century Gothic"/>
      <family val="2"/>
    </font>
    <font>
      <b/>
      <sz val="14"/>
      <name val="Calibri"/>
      <family val="2"/>
    </font>
    <font>
      <sz val="14"/>
      <color rgb="FF002060"/>
      <name val="Calibri"/>
      <family val="2"/>
      <scheme val="minor"/>
    </font>
    <font>
      <b/>
      <sz val="14"/>
      <color rgb="FF002060"/>
      <name val="Calibri"/>
      <family val="2"/>
      <scheme val="minor"/>
    </font>
    <font>
      <sz val="12"/>
      <name val="Arial MT"/>
    </font>
    <font>
      <sz val="10"/>
      <name val="Arial"/>
      <family val="2"/>
    </font>
    <font>
      <b/>
      <sz val="15"/>
      <color theme="0"/>
      <name val="Calibri"/>
      <family val="2"/>
      <scheme val="minor"/>
    </font>
    <font>
      <sz val="10"/>
      <name val="Arial"/>
      <family val="2"/>
    </font>
    <font>
      <sz val="10"/>
      <name val="Arial"/>
      <family val="2"/>
    </font>
    <font>
      <sz val="15"/>
      <color rgb="FF000000"/>
      <name val="Calibri"/>
      <family val="2"/>
      <scheme val="minor"/>
    </font>
    <font>
      <b/>
      <sz val="13"/>
      <color theme="1"/>
      <name val="Calibri"/>
      <family val="2"/>
      <scheme val="minor"/>
    </font>
    <font>
      <b/>
      <sz val="48"/>
      <color rgb="FF0070C0"/>
      <name val="Calibri"/>
      <family val="2"/>
      <scheme val="minor"/>
    </font>
    <font>
      <b/>
      <sz val="16"/>
      <color rgb="FFFFFFFF"/>
      <name val="Calibri"/>
      <family val="2"/>
      <scheme val="minor"/>
    </font>
    <font>
      <b/>
      <sz val="20"/>
      <color theme="1"/>
      <name val="Calibri"/>
      <family val="2"/>
      <scheme val="minor"/>
    </font>
    <font>
      <sz val="10"/>
      <color indexed="56"/>
      <name val="Century Gothic"/>
      <family val="2"/>
    </font>
    <font>
      <sz val="22"/>
      <color theme="1"/>
      <name val="Calibri"/>
      <family val="2"/>
      <scheme val="minor"/>
    </font>
    <font>
      <sz val="22"/>
      <name val="Calibri"/>
      <family val="2"/>
      <scheme val="minor"/>
    </font>
    <font>
      <b/>
      <u/>
      <sz val="11"/>
      <color theme="1"/>
      <name val="Calibri"/>
      <family val="2"/>
      <scheme val="minor"/>
    </font>
    <font>
      <b/>
      <sz val="12"/>
      <color indexed="81"/>
      <name val="Tahoma"/>
      <family val="2"/>
    </font>
    <font>
      <sz val="12"/>
      <color indexed="81"/>
      <name val="Tahoma"/>
      <family val="2"/>
    </font>
    <font>
      <sz val="10"/>
      <name val="Arial"/>
      <family val="2"/>
    </font>
    <font>
      <b/>
      <sz val="14"/>
      <name val="Arial"/>
      <family val="2"/>
    </font>
    <font>
      <sz val="10"/>
      <name val="Arial"/>
      <family val="2"/>
    </font>
    <font>
      <b/>
      <sz val="10"/>
      <color theme="0"/>
      <name val="Century Gothic"/>
      <family val="2"/>
    </font>
    <font>
      <sz val="10"/>
      <color theme="0"/>
      <name val="Calibri"/>
      <family val="2"/>
      <scheme val="minor"/>
    </font>
    <font>
      <b/>
      <sz val="20"/>
      <color rgb="FFFF0000"/>
      <name val="Calibri"/>
      <family val="2"/>
      <scheme val="minor"/>
    </font>
    <font>
      <b/>
      <sz val="11"/>
      <color rgb="FF002060"/>
      <name val="Calibri"/>
      <family val="2"/>
      <scheme val="minor"/>
    </font>
    <font>
      <sz val="14"/>
      <color rgb="FF000000"/>
      <name val="Calibri"/>
      <family val="2"/>
      <scheme val="minor"/>
    </font>
    <font>
      <b/>
      <sz val="14"/>
      <color rgb="FFFFFF00"/>
      <name val="Calibri"/>
      <family val="2"/>
      <scheme val="minor"/>
    </font>
    <font>
      <b/>
      <sz val="16"/>
      <color rgb="FFFFFF00"/>
      <name val="Calibri"/>
      <family val="2"/>
      <scheme val="minor"/>
    </font>
    <font>
      <sz val="18"/>
      <color rgb="FFFFFF00"/>
      <name val="Calibri"/>
      <family val="2"/>
      <scheme val="minor"/>
    </font>
    <font>
      <b/>
      <sz val="20"/>
      <color rgb="FFFFFF00"/>
      <name val="Calibri"/>
      <family val="2"/>
      <scheme val="minor"/>
    </font>
    <font>
      <b/>
      <sz val="12"/>
      <color rgb="FFFFFF00"/>
      <name val="Calibri"/>
      <family val="2"/>
      <scheme val="minor"/>
    </font>
    <font>
      <sz val="20"/>
      <color rgb="FF9E2C96"/>
      <name val="Calibri"/>
      <family val="2"/>
      <scheme val="minor"/>
    </font>
    <font>
      <sz val="18"/>
      <color rgb="FF9E2C96"/>
      <name val="Calibri"/>
      <family val="2"/>
      <scheme val="minor"/>
    </font>
    <font>
      <sz val="10"/>
      <name val="Arial"/>
      <family val="2"/>
    </font>
    <font>
      <sz val="18"/>
      <color theme="0"/>
      <name val="Calibri"/>
      <family val="2"/>
      <scheme val="minor"/>
    </font>
    <font>
      <b/>
      <sz val="26"/>
      <color rgb="FFFFFF00"/>
      <name val="Calibri"/>
      <family val="2"/>
      <scheme val="minor"/>
    </font>
    <font>
      <sz val="20"/>
      <name val="Calibri"/>
      <family val="2"/>
      <scheme val="minor"/>
    </font>
    <font>
      <b/>
      <sz val="16"/>
      <color rgb="FF002060"/>
      <name val="Calibri"/>
      <family val="2"/>
      <scheme val="minor"/>
    </font>
    <font>
      <sz val="10"/>
      <name val="Arial"/>
      <family val="2"/>
    </font>
    <font>
      <u/>
      <sz val="11"/>
      <color theme="10"/>
      <name val="Calibri"/>
      <family val="2"/>
    </font>
    <font>
      <sz val="22"/>
      <color rgb="FFFF0000"/>
      <name val="Calibri"/>
      <family val="2"/>
      <scheme val="minor"/>
    </font>
    <font>
      <sz val="18"/>
      <color rgb="FF000000"/>
      <name val="Calibri"/>
      <family val="2"/>
      <scheme val="minor"/>
    </font>
    <font>
      <sz val="11"/>
      <color rgb="FFFFFF00"/>
      <name val="Calibri"/>
      <family val="2"/>
      <scheme val="minor"/>
    </font>
    <font>
      <sz val="11"/>
      <color rgb="FF7030A0"/>
      <name val="Calibri"/>
      <family val="2"/>
      <scheme val="minor"/>
    </font>
  </fonts>
  <fills count="38">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2"/>
        <bgColor indexed="64"/>
      </patternFill>
    </fill>
    <fill>
      <patternFill patternType="solid">
        <fgColor indexed="48"/>
        <bgColor indexed="64"/>
      </patternFill>
    </fill>
    <fill>
      <patternFill patternType="solid">
        <fgColor theme="4" tint="0.39997558519241921"/>
        <bgColor indexed="64"/>
      </patternFill>
    </fill>
    <fill>
      <patternFill patternType="solid">
        <fgColor theme="0"/>
        <bgColor indexed="64"/>
      </patternFill>
    </fill>
    <fill>
      <patternFill patternType="solid">
        <fgColor theme="4" tint="0.59999389629810485"/>
        <bgColor indexed="64"/>
      </patternFill>
    </fill>
    <fill>
      <patternFill patternType="solid">
        <fgColor theme="2" tint="-0.499984740745262"/>
        <bgColor indexed="64"/>
      </patternFill>
    </fill>
    <fill>
      <patternFill patternType="solid">
        <fgColor theme="3" tint="0.59999389629810485"/>
        <bgColor indexed="64"/>
      </patternFill>
    </fill>
    <fill>
      <patternFill patternType="solid">
        <fgColor rgb="FFFFFF00"/>
        <bgColor indexed="64"/>
      </patternFill>
    </fill>
    <fill>
      <patternFill patternType="solid">
        <fgColor theme="0" tint="-0.14999847407452621"/>
        <bgColor indexed="64"/>
      </patternFill>
    </fill>
    <fill>
      <patternFill patternType="solid">
        <fgColor rgb="FF0070C0"/>
        <bgColor indexed="64"/>
      </patternFill>
    </fill>
    <fill>
      <patternFill patternType="solid">
        <fgColor rgb="FF00B050"/>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rgb="FFFFFFFF"/>
        <bgColor indexed="64"/>
      </patternFill>
    </fill>
  </fills>
  <borders count="28">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style="medium">
        <color indexed="0"/>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bottom/>
      <diagonal/>
    </border>
    <border>
      <left style="thin">
        <color indexed="64"/>
      </left>
      <right/>
      <top style="thin">
        <color indexed="64"/>
      </top>
      <bottom/>
      <diagonal/>
    </border>
    <border>
      <left/>
      <right style="thin">
        <color indexed="64"/>
      </right>
      <top/>
      <bottom style="thin">
        <color indexed="64"/>
      </bottom>
      <diagonal/>
    </border>
    <border>
      <left/>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style="thin">
        <color rgb="FF000000"/>
      </left>
      <right/>
      <top/>
      <bottom/>
      <diagonal/>
    </border>
    <border>
      <left/>
      <right style="thin">
        <color indexed="64"/>
      </right>
      <top/>
      <bottom/>
      <diagonal/>
    </border>
    <border>
      <left/>
      <right style="thin">
        <color indexed="64"/>
      </right>
      <top style="thin">
        <color indexed="64"/>
      </top>
      <bottom/>
      <diagonal/>
    </border>
  </borders>
  <cellStyleXfs count="1124">
    <xf numFmtId="174" fontId="0" fillId="0" borderId="0"/>
    <xf numFmtId="174" fontId="12" fillId="2" borderId="0" applyNumberFormat="0" applyBorder="0" applyAlignment="0" applyProtection="0"/>
    <xf numFmtId="0" fontId="12" fillId="2" borderId="0" applyNumberFormat="0" applyBorder="0" applyAlignment="0" applyProtection="0"/>
    <xf numFmtId="174" fontId="12" fillId="3" borderId="0" applyNumberFormat="0" applyBorder="0" applyAlignment="0" applyProtection="0"/>
    <xf numFmtId="0" fontId="12" fillId="3" borderId="0" applyNumberFormat="0" applyBorder="0" applyAlignment="0" applyProtection="0"/>
    <xf numFmtId="174" fontId="12" fillId="4" borderId="0" applyNumberFormat="0" applyBorder="0" applyAlignment="0" applyProtection="0"/>
    <xf numFmtId="0" fontId="12" fillId="4" borderId="0" applyNumberFormat="0" applyBorder="0" applyAlignment="0" applyProtection="0"/>
    <xf numFmtId="174" fontId="12" fillId="5" borderId="0" applyNumberFormat="0" applyBorder="0" applyAlignment="0" applyProtection="0"/>
    <xf numFmtId="0" fontId="12" fillId="5" borderId="0" applyNumberFormat="0" applyBorder="0" applyAlignment="0" applyProtection="0"/>
    <xf numFmtId="174" fontId="12" fillId="6" borderId="0" applyNumberFormat="0" applyBorder="0" applyAlignment="0" applyProtection="0"/>
    <xf numFmtId="0" fontId="12" fillId="6" borderId="0" applyNumberFormat="0" applyBorder="0" applyAlignment="0" applyProtection="0"/>
    <xf numFmtId="174" fontId="12" fillId="7" borderId="0" applyNumberFormat="0" applyBorder="0" applyAlignment="0" applyProtection="0"/>
    <xf numFmtId="0" fontId="12" fillId="7" borderId="0" applyNumberFormat="0" applyBorder="0" applyAlignment="0" applyProtection="0"/>
    <xf numFmtId="174" fontId="12" fillId="2" borderId="0" applyNumberFormat="0" applyBorder="0" applyAlignment="0" applyProtection="0"/>
    <xf numFmtId="0" fontId="12" fillId="2" borderId="0" applyNumberFormat="0" applyBorder="0" applyAlignment="0" applyProtection="0"/>
    <xf numFmtId="174" fontId="12" fillId="3" borderId="0" applyNumberFormat="0" applyBorder="0" applyAlignment="0" applyProtection="0"/>
    <xf numFmtId="0" fontId="12" fillId="3" borderId="0" applyNumberFormat="0" applyBorder="0" applyAlignment="0" applyProtection="0"/>
    <xf numFmtId="174" fontId="12" fillId="4" borderId="0" applyNumberFormat="0" applyBorder="0" applyAlignment="0" applyProtection="0"/>
    <xf numFmtId="0" fontId="12" fillId="4" borderId="0" applyNumberFormat="0" applyBorder="0" applyAlignment="0" applyProtection="0"/>
    <xf numFmtId="174" fontId="12" fillId="5" borderId="0" applyNumberFormat="0" applyBorder="0" applyAlignment="0" applyProtection="0"/>
    <xf numFmtId="0" fontId="12" fillId="5" borderId="0" applyNumberFormat="0" applyBorder="0" applyAlignment="0" applyProtection="0"/>
    <xf numFmtId="174" fontId="12" fillId="6" borderId="0" applyNumberFormat="0" applyBorder="0" applyAlignment="0" applyProtection="0"/>
    <xf numFmtId="0" fontId="12" fillId="6" borderId="0" applyNumberFormat="0" applyBorder="0" applyAlignment="0" applyProtection="0"/>
    <xf numFmtId="174" fontId="12" fillId="7" borderId="0" applyNumberFormat="0" applyBorder="0" applyAlignment="0" applyProtection="0"/>
    <xf numFmtId="0" fontId="12" fillId="7" borderId="0" applyNumberFormat="0" applyBorder="0" applyAlignment="0" applyProtection="0"/>
    <xf numFmtId="174" fontId="12" fillId="8" borderId="0" applyNumberFormat="0" applyBorder="0" applyAlignment="0" applyProtection="0"/>
    <xf numFmtId="0" fontId="12" fillId="8" borderId="0" applyNumberFormat="0" applyBorder="0" applyAlignment="0" applyProtection="0"/>
    <xf numFmtId="174" fontId="12" fillId="9" borderId="0" applyNumberFormat="0" applyBorder="0" applyAlignment="0" applyProtection="0"/>
    <xf numFmtId="0" fontId="12" fillId="9" borderId="0" applyNumberFormat="0" applyBorder="0" applyAlignment="0" applyProtection="0"/>
    <xf numFmtId="174" fontId="12" fillId="10" borderId="0" applyNumberFormat="0" applyBorder="0" applyAlignment="0" applyProtection="0"/>
    <xf numFmtId="0" fontId="12" fillId="10" borderId="0" applyNumberFormat="0" applyBorder="0" applyAlignment="0" applyProtection="0"/>
    <xf numFmtId="174" fontId="12" fillId="5" borderId="0" applyNumberFormat="0" applyBorder="0" applyAlignment="0" applyProtection="0"/>
    <xf numFmtId="0" fontId="12" fillId="5" borderId="0" applyNumberFormat="0" applyBorder="0" applyAlignment="0" applyProtection="0"/>
    <xf numFmtId="174" fontId="12" fillId="8" borderId="0" applyNumberFormat="0" applyBorder="0" applyAlignment="0" applyProtection="0"/>
    <xf numFmtId="0" fontId="12" fillId="8" borderId="0" applyNumberFormat="0" applyBorder="0" applyAlignment="0" applyProtection="0"/>
    <xf numFmtId="174" fontId="12" fillId="11" borderId="0" applyNumberFormat="0" applyBorder="0" applyAlignment="0" applyProtection="0"/>
    <xf numFmtId="0" fontId="12" fillId="11" borderId="0" applyNumberFormat="0" applyBorder="0" applyAlignment="0" applyProtection="0"/>
    <xf numFmtId="174" fontId="12" fillId="8" borderId="0" applyNumberFormat="0" applyBorder="0" applyAlignment="0" applyProtection="0"/>
    <xf numFmtId="0" fontId="12" fillId="8" borderId="0" applyNumberFormat="0" applyBorder="0" applyAlignment="0" applyProtection="0"/>
    <xf numFmtId="174" fontId="12" fillId="9" borderId="0" applyNumberFormat="0" applyBorder="0" applyAlignment="0" applyProtection="0"/>
    <xf numFmtId="0" fontId="12" fillId="9" borderId="0" applyNumberFormat="0" applyBorder="0" applyAlignment="0" applyProtection="0"/>
    <xf numFmtId="174" fontId="12" fillId="10" borderId="0" applyNumberFormat="0" applyBorder="0" applyAlignment="0" applyProtection="0"/>
    <xf numFmtId="0" fontId="12" fillId="10" borderId="0" applyNumberFormat="0" applyBorder="0" applyAlignment="0" applyProtection="0"/>
    <xf numFmtId="174" fontId="12" fillId="5" borderId="0" applyNumberFormat="0" applyBorder="0" applyAlignment="0" applyProtection="0"/>
    <xf numFmtId="0" fontId="12" fillId="5" borderId="0" applyNumberFormat="0" applyBorder="0" applyAlignment="0" applyProtection="0"/>
    <xf numFmtId="174" fontId="12" fillId="8" borderId="0" applyNumberFormat="0" applyBorder="0" applyAlignment="0" applyProtection="0"/>
    <xf numFmtId="0" fontId="12" fillId="8" borderId="0" applyNumberFormat="0" applyBorder="0" applyAlignment="0" applyProtection="0"/>
    <xf numFmtId="174" fontId="12" fillId="11" borderId="0" applyNumberFormat="0" applyBorder="0" applyAlignment="0" applyProtection="0"/>
    <xf numFmtId="0" fontId="12" fillId="11" borderId="0" applyNumberFormat="0" applyBorder="0" applyAlignment="0" applyProtection="0"/>
    <xf numFmtId="174" fontId="13" fillId="12" borderId="0" applyNumberFormat="0" applyBorder="0" applyAlignment="0" applyProtection="0"/>
    <xf numFmtId="0" fontId="13" fillId="12" borderId="0" applyNumberFormat="0" applyBorder="0" applyAlignment="0" applyProtection="0"/>
    <xf numFmtId="174" fontId="13" fillId="9" borderId="0" applyNumberFormat="0" applyBorder="0" applyAlignment="0" applyProtection="0"/>
    <xf numFmtId="0" fontId="13" fillId="9" borderId="0" applyNumberFormat="0" applyBorder="0" applyAlignment="0" applyProtection="0"/>
    <xf numFmtId="174" fontId="13" fillId="10" borderId="0" applyNumberFormat="0" applyBorder="0" applyAlignment="0" applyProtection="0"/>
    <xf numFmtId="0" fontId="13" fillId="10" borderId="0" applyNumberFormat="0" applyBorder="0" applyAlignment="0" applyProtection="0"/>
    <xf numFmtId="174" fontId="13" fillId="13" borderId="0" applyNumberFormat="0" applyBorder="0" applyAlignment="0" applyProtection="0"/>
    <xf numFmtId="0" fontId="13" fillId="13" borderId="0" applyNumberFormat="0" applyBorder="0" applyAlignment="0" applyProtection="0"/>
    <xf numFmtId="174" fontId="13" fillId="14" borderId="0" applyNumberFormat="0" applyBorder="0" applyAlignment="0" applyProtection="0"/>
    <xf numFmtId="0" fontId="13" fillId="14" borderId="0" applyNumberFormat="0" applyBorder="0" applyAlignment="0" applyProtection="0"/>
    <xf numFmtId="174" fontId="13" fillId="15" borderId="0" applyNumberFormat="0" applyBorder="0" applyAlignment="0" applyProtection="0"/>
    <xf numFmtId="0" fontId="13" fillId="15" borderId="0" applyNumberFormat="0" applyBorder="0" applyAlignment="0" applyProtection="0"/>
    <xf numFmtId="174" fontId="13" fillId="12" borderId="0" applyNumberFormat="0" applyBorder="0" applyAlignment="0" applyProtection="0"/>
    <xf numFmtId="0" fontId="13" fillId="12" borderId="0" applyNumberFormat="0" applyBorder="0" applyAlignment="0" applyProtection="0"/>
    <xf numFmtId="174" fontId="13" fillId="9" borderId="0" applyNumberFormat="0" applyBorder="0" applyAlignment="0" applyProtection="0"/>
    <xf numFmtId="0" fontId="13" fillId="9" borderId="0" applyNumberFormat="0" applyBorder="0" applyAlignment="0" applyProtection="0"/>
    <xf numFmtId="174" fontId="13" fillId="10" borderId="0" applyNumberFormat="0" applyBorder="0" applyAlignment="0" applyProtection="0"/>
    <xf numFmtId="0" fontId="13" fillId="10" borderId="0" applyNumberFormat="0" applyBorder="0" applyAlignment="0" applyProtection="0"/>
    <xf numFmtId="174" fontId="13" fillId="13" borderId="0" applyNumberFormat="0" applyBorder="0" applyAlignment="0" applyProtection="0"/>
    <xf numFmtId="0" fontId="13" fillId="13" borderId="0" applyNumberFormat="0" applyBorder="0" applyAlignment="0" applyProtection="0"/>
    <xf numFmtId="174" fontId="13" fillId="14" borderId="0" applyNumberFormat="0" applyBorder="0" applyAlignment="0" applyProtection="0"/>
    <xf numFmtId="0" fontId="13" fillId="14" borderId="0" applyNumberFormat="0" applyBorder="0" applyAlignment="0" applyProtection="0"/>
    <xf numFmtId="174" fontId="13" fillId="15" borderId="0" applyNumberFormat="0" applyBorder="0" applyAlignment="0" applyProtection="0"/>
    <xf numFmtId="0" fontId="13" fillId="15" borderId="0" applyNumberFormat="0" applyBorder="0" applyAlignment="0" applyProtection="0"/>
    <xf numFmtId="174" fontId="13" fillId="16" borderId="0" applyNumberFormat="0" applyBorder="0" applyAlignment="0" applyProtection="0"/>
    <xf numFmtId="0" fontId="13" fillId="16" borderId="0" applyNumberFormat="0" applyBorder="0" applyAlignment="0" applyProtection="0"/>
    <xf numFmtId="174" fontId="13" fillId="17" borderId="0" applyNumberFormat="0" applyBorder="0" applyAlignment="0" applyProtection="0"/>
    <xf numFmtId="0" fontId="13" fillId="17" borderId="0" applyNumberFormat="0" applyBorder="0" applyAlignment="0" applyProtection="0"/>
    <xf numFmtId="174" fontId="13" fillId="18" borderId="0" applyNumberFormat="0" applyBorder="0" applyAlignment="0" applyProtection="0"/>
    <xf numFmtId="0" fontId="13" fillId="18" borderId="0" applyNumberFormat="0" applyBorder="0" applyAlignment="0" applyProtection="0"/>
    <xf numFmtId="174" fontId="13" fillId="13" borderId="0" applyNumberFormat="0" applyBorder="0" applyAlignment="0" applyProtection="0"/>
    <xf numFmtId="0" fontId="13" fillId="13" borderId="0" applyNumberFormat="0" applyBorder="0" applyAlignment="0" applyProtection="0"/>
    <xf numFmtId="174" fontId="13" fillId="14" borderId="0" applyNumberFormat="0" applyBorder="0" applyAlignment="0" applyProtection="0"/>
    <xf numFmtId="0" fontId="13" fillId="14" borderId="0" applyNumberFormat="0" applyBorder="0" applyAlignment="0" applyProtection="0"/>
    <xf numFmtId="174" fontId="13" fillId="19" borderId="0" applyNumberFormat="0" applyBorder="0" applyAlignment="0" applyProtection="0"/>
    <xf numFmtId="0" fontId="13" fillId="19" borderId="0" applyNumberFormat="0" applyBorder="0" applyAlignment="0" applyProtection="0"/>
    <xf numFmtId="174" fontId="20" fillId="3" borderId="0" applyNumberFormat="0" applyBorder="0" applyAlignment="0" applyProtection="0"/>
    <xf numFmtId="0" fontId="20" fillId="3" borderId="0" applyNumberFormat="0" applyBorder="0" applyAlignment="0" applyProtection="0"/>
    <xf numFmtId="174" fontId="14" fillId="4" borderId="0" applyNumberFormat="0" applyBorder="0" applyAlignment="0" applyProtection="0"/>
    <xf numFmtId="0" fontId="14" fillId="4" borderId="0" applyNumberFormat="0" applyBorder="0" applyAlignment="0" applyProtection="0"/>
    <xf numFmtId="174" fontId="15" fillId="20" borderId="1" applyNumberFormat="0" applyAlignment="0" applyProtection="0"/>
    <xf numFmtId="0" fontId="15" fillId="20" borderId="1" applyNumberFormat="0" applyAlignment="0" applyProtection="0"/>
    <xf numFmtId="174" fontId="15" fillId="20" borderId="1" applyNumberFormat="0" applyAlignment="0" applyProtection="0"/>
    <xf numFmtId="0" fontId="15" fillId="20" borderId="1" applyNumberFormat="0" applyAlignment="0" applyProtection="0"/>
    <xf numFmtId="174" fontId="16" fillId="21" borderId="2" applyNumberFormat="0" applyAlignment="0" applyProtection="0"/>
    <xf numFmtId="0" fontId="16" fillId="21" borderId="2" applyNumberFormat="0" applyAlignment="0" applyProtection="0"/>
    <xf numFmtId="174" fontId="17" fillId="0" borderId="3" applyNumberFormat="0" applyFill="0" applyAlignment="0" applyProtection="0"/>
    <xf numFmtId="0" fontId="17" fillId="0" borderId="3" applyNumberFormat="0" applyFill="0" applyAlignment="0" applyProtection="0"/>
    <xf numFmtId="174" fontId="16" fillId="21" borderId="2" applyNumberFormat="0" applyAlignment="0" applyProtection="0"/>
    <xf numFmtId="0" fontId="16" fillId="21" borderId="2" applyNumberForma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4" fontId="2" fillId="0" borderId="4"/>
    <xf numFmtId="174" fontId="18" fillId="0" borderId="0" applyNumberFormat="0" applyFill="0" applyBorder="0" applyAlignment="0" applyProtection="0"/>
    <xf numFmtId="0" fontId="18" fillId="0" borderId="0" applyNumberFormat="0" applyFill="0" applyBorder="0" applyAlignment="0" applyProtection="0"/>
    <xf numFmtId="174" fontId="13" fillId="16" borderId="0" applyNumberFormat="0" applyBorder="0" applyAlignment="0" applyProtection="0"/>
    <xf numFmtId="0" fontId="13" fillId="16" borderId="0" applyNumberFormat="0" applyBorder="0" applyAlignment="0" applyProtection="0"/>
    <xf numFmtId="174" fontId="13" fillId="17" borderId="0" applyNumberFormat="0" applyBorder="0" applyAlignment="0" applyProtection="0"/>
    <xf numFmtId="0" fontId="13" fillId="17" borderId="0" applyNumberFormat="0" applyBorder="0" applyAlignment="0" applyProtection="0"/>
    <xf numFmtId="174" fontId="13" fillId="18" borderId="0" applyNumberFormat="0" applyBorder="0" applyAlignment="0" applyProtection="0"/>
    <xf numFmtId="0" fontId="13" fillId="18" borderId="0" applyNumberFormat="0" applyBorder="0" applyAlignment="0" applyProtection="0"/>
    <xf numFmtId="174" fontId="13" fillId="13" borderId="0" applyNumberFormat="0" applyBorder="0" applyAlignment="0" applyProtection="0"/>
    <xf numFmtId="0" fontId="13" fillId="13" borderId="0" applyNumberFormat="0" applyBorder="0" applyAlignment="0" applyProtection="0"/>
    <xf numFmtId="174" fontId="13" fillId="14" borderId="0" applyNumberFormat="0" applyBorder="0" applyAlignment="0" applyProtection="0"/>
    <xf numFmtId="0" fontId="13" fillId="14" borderId="0" applyNumberFormat="0" applyBorder="0" applyAlignment="0" applyProtection="0"/>
    <xf numFmtId="174" fontId="13" fillId="19" borderId="0" applyNumberFormat="0" applyBorder="0" applyAlignment="0" applyProtection="0"/>
    <xf numFmtId="0" fontId="13" fillId="19" borderId="0" applyNumberFormat="0" applyBorder="0" applyAlignment="0" applyProtection="0"/>
    <xf numFmtId="174" fontId="19" fillId="7" borderId="1" applyNumberFormat="0" applyAlignment="0" applyProtection="0"/>
    <xf numFmtId="0" fontId="19" fillId="7" borderId="1" applyNumberFormat="0" applyAlignment="0" applyProtection="0"/>
    <xf numFmtId="174" fontId="2" fillId="0" borderId="0" applyFont="0" applyFill="0" applyBorder="0" applyAlignment="0" applyProtection="0"/>
    <xf numFmtId="174" fontId="24" fillId="0" borderId="0" applyNumberFormat="0" applyFill="0" applyBorder="0" applyAlignment="0" applyProtection="0"/>
    <xf numFmtId="0" fontId="24" fillId="0" borderId="0" applyNumberFormat="0" applyFill="0" applyBorder="0" applyAlignment="0" applyProtection="0"/>
    <xf numFmtId="174" fontId="14" fillId="4" borderId="0" applyNumberFormat="0" applyBorder="0" applyAlignment="0" applyProtection="0"/>
    <xf numFmtId="0" fontId="14" fillId="4" borderId="0" applyNumberFormat="0" applyBorder="0" applyAlignment="0" applyProtection="0"/>
    <xf numFmtId="174" fontId="25" fillId="0" borderId="5" applyNumberFormat="0" applyFill="0" applyAlignment="0" applyProtection="0"/>
    <xf numFmtId="0" fontId="25" fillId="0" borderId="5" applyNumberFormat="0" applyFill="0" applyAlignment="0" applyProtection="0"/>
    <xf numFmtId="174" fontId="26" fillId="0" borderId="6" applyNumberFormat="0" applyFill="0" applyAlignment="0" applyProtection="0"/>
    <xf numFmtId="0" fontId="26" fillId="0" borderId="6" applyNumberFormat="0" applyFill="0" applyAlignment="0" applyProtection="0"/>
    <xf numFmtId="174" fontId="18" fillId="0" borderId="7" applyNumberFormat="0" applyFill="0" applyAlignment="0" applyProtection="0"/>
    <xf numFmtId="0" fontId="18" fillId="0" borderId="7" applyNumberFormat="0" applyFill="0" applyAlignment="0" applyProtection="0"/>
    <xf numFmtId="174" fontId="18" fillId="0" borderId="0" applyNumberFormat="0" applyFill="0" applyBorder="0" applyAlignment="0" applyProtection="0"/>
    <xf numFmtId="0" fontId="18" fillId="0" borderId="0" applyNumberFormat="0" applyFill="0" applyBorder="0" applyAlignment="0" applyProtection="0"/>
    <xf numFmtId="174" fontId="33" fillId="0" borderId="0" applyNumberFormat="0" applyFill="0" applyBorder="0" applyAlignment="0" applyProtection="0">
      <alignment vertical="top"/>
      <protection locked="0"/>
    </xf>
    <xf numFmtId="174" fontId="20" fillId="3" borderId="0" applyNumberFormat="0" applyBorder="0" applyAlignment="0" applyProtection="0"/>
    <xf numFmtId="0" fontId="20" fillId="3" borderId="0" applyNumberFormat="0" applyBorder="0" applyAlignment="0" applyProtection="0"/>
    <xf numFmtId="174" fontId="19" fillId="7" borderId="1" applyNumberFormat="0" applyAlignment="0" applyProtection="0"/>
    <xf numFmtId="0" fontId="19" fillId="7" borderId="1" applyNumberFormat="0" applyAlignment="0" applyProtection="0"/>
    <xf numFmtId="174" fontId="17" fillId="0" borderId="3" applyNumberFormat="0" applyFill="0" applyAlignment="0" applyProtection="0"/>
    <xf numFmtId="0" fontId="17" fillId="0" borderId="3" applyNumberFormat="0" applyFill="0" applyAlignment="0" applyProtection="0"/>
    <xf numFmtId="43" fontId="47" fillId="0" borderId="0" applyFont="0" applyFill="0" applyBorder="0" applyAlignment="0" applyProtection="0"/>
    <xf numFmtId="43" fontId="2" fillId="0" borderId="0" applyFont="0" applyFill="0" applyBorder="0" applyAlignment="0" applyProtection="0"/>
    <xf numFmtId="166" fontId="47"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7" fillId="0" borderId="0" applyFont="0" applyFill="0" applyBorder="0" applyAlignment="0" applyProtection="0"/>
    <xf numFmtId="43" fontId="2" fillId="0" borderId="0" applyFont="0" applyFill="0" applyBorder="0" applyAlignment="0" applyProtection="0"/>
    <xf numFmtId="43" fontId="47" fillId="0" borderId="0" applyFont="0" applyFill="0" applyBorder="0" applyAlignment="0" applyProtection="0"/>
    <xf numFmtId="178" fontId="2" fillId="0" borderId="0" applyFont="0" applyFill="0" applyBorder="0" applyAlignment="0" applyProtection="0"/>
    <xf numFmtId="165" fontId="2" fillId="0" borderId="0" applyFont="0" applyFill="0" applyBorder="0" applyAlignment="0" applyProtection="0"/>
    <xf numFmtId="174" fontId="21" fillId="22" borderId="0" applyNumberFormat="0" applyBorder="0" applyAlignment="0" applyProtection="0"/>
    <xf numFmtId="0" fontId="21" fillId="22" borderId="0" applyNumberFormat="0" applyBorder="0" applyAlignment="0" applyProtection="0"/>
    <xf numFmtId="174" fontId="12" fillId="0" borderId="0"/>
    <xf numFmtId="174" fontId="2" fillId="0" borderId="0"/>
    <xf numFmtId="0" fontId="2" fillId="0" borderId="0"/>
    <xf numFmtId="174" fontId="2" fillId="0" borderId="0"/>
    <xf numFmtId="0" fontId="2" fillId="0" borderId="0"/>
    <xf numFmtId="0" fontId="12" fillId="0" borderId="0"/>
    <xf numFmtId="174" fontId="12" fillId="0" borderId="0"/>
    <xf numFmtId="174" fontId="2" fillId="0" borderId="0"/>
    <xf numFmtId="0" fontId="2" fillId="0" borderId="0"/>
    <xf numFmtId="0" fontId="12" fillId="0" borderId="0"/>
    <xf numFmtId="174" fontId="12" fillId="0" borderId="0"/>
    <xf numFmtId="174" fontId="2" fillId="0" borderId="0"/>
    <xf numFmtId="0" fontId="2" fillId="0" borderId="0"/>
    <xf numFmtId="0" fontId="12" fillId="0" borderId="0"/>
    <xf numFmtId="174" fontId="12" fillId="0" borderId="0"/>
    <xf numFmtId="174" fontId="2" fillId="0" borderId="0"/>
    <xf numFmtId="0" fontId="2" fillId="0" borderId="0"/>
    <xf numFmtId="0" fontId="12" fillId="0" borderId="0"/>
    <xf numFmtId="174" fontId="12" fillId="0" borderId="0"/>
    <xf numFmtId="174" fontId="2" fillId="0" borderId="0"/>
    <xf numFmtId="0" fontId="2" fillId="0" borderId="0"/>
    <xf numFmtId="0" fontId="12" fillId="0" borderId="0"/>
    <xf numFmtId="174" fontId="12" fillId="0" borderId="0"/>
    <xf numFmtId="174" fontId="2" fillId="0" borderId="0"/>
    <xf numFmtId="0" fontId="2" fillId="0" borderId="0"/>
    <xf numFmtId="0" fontId="12" fillId="0" borderId="0"/>
    <xf numFmtId="174" fontId="12" fillId="0" borderId="0"/>
    <xf numFmtId="174" fontId="2" fillId="0" borderId="0"/>
    <xf numFmtId="0" fontId="2" fillId="0" borderId="0"/>
    <xf numFmtId="0" fontId="12" fillId="0" borderId="0"/>
    <xf numFmtId="174" fontId="12" fillId="0" borderId="0"/>
    <xf numFmtId="174" fontId="2" fillId="0" borderId="0"/>
    <xf numFmtId="0" fontId="2" fillId="0" borderId="0"/>
    <xf numFmtId="0" fontId="12" fillId="0" borderId="0"/>
    <xf numFmtId="174" fontId="12" fillId="0" borderId="0"/>
    <xf numFmtId="174" fontId="2" fillId="0" borderId="0"/>
    <xf numFmtId="0" fontId="2" fillId="0" borderId="0"/>
    <xf numFmtId="0" fontId="12" fillId="0" borderId="0"/>
    <xf numFmtId="174" fontId="12" fillId="0" borderId="0"/>
    <xf numFmtId="174" fontId="2" fillId="0" borderId="0"/>
    <xf numFmtId="0" fontId="2" fillId="0" borderId="0"/>
    <xf numFmtId="0" fontId="12" fillId="0" borderId="0"/>
    <xf numFmtId="174" fontId="47" fillId="0" borderId="0"/>
    <xf numFmtId="174" fontId="2" fillId="0" borderId="0"/>
    <xf numFmtId="174" fontId="2" fillId="0" borderId="0"/>
    <xf numFmtId="174" fontId="47" fillId="0" borderId="0"/>
    <xf numFmtId="0" fontId="2" fillId="0" borderId="0"/>
    <xf numFmtId="182" fontId="47" fillId="0" borderId="0"/>
    <xf numFmtId="174"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0"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0" fontId="47" fillId="0" borderId="0"/>
    <xf numFmtId="174" fontId="35" fillId="0" borderId="0"/>
    <xf numFmtId="174" fontId="2" fillId="0" borderId="0"/>
    <xf numFmtId="0" fontId="2" fillId="0" borderId="0"/>
    <xf numFmtId="0" fontId="2" fillId="0" borderId="0"/>
    <xf numFmtId="174" fontId="47" fillId="0" borderId="0"/>
    <xf numFmtId="0" fontId="47" fillId="0" borderId="0"/>
    <xf numFmtId="174" fontId="47" fillId="0" borderId="0"/>
    <xf numFmtId="0" fontId="47" fillId="0" borderId="0"/>
    <xf numFmtId="174" fontId="47" fillId="0" borderId="0"/>
    <xf numFmtId="0" fontId="47" fillId="0" borderId="0"/>
    <xf numFmtId="174" fontId="47" fillId="0" borderId="0"/>
    <xf numFmtId="0" fontId="47" fillId="0" borderId="0"/>
    <xf numFmtId="174" fontId="47" fillId="0" borderId="0"/>
    <xf numFmtId="0" fontId="47" fillId="0" borderId="0"/>
    <xf numFmtId="0" fontId="47" fillId="0" borderId="0"/>
    <xf numFmtId="0" fontId="47" fillId="0" borderId="0"/>
    <xf numFmtId="0" fontId="47" fillId="0" borderId="0"/>
    <xf numFmtId="174" fontId="2" fillId="0" borderId="0"/>
    <xf numFmtId="174" fontId="2" fillId="0" borderId="0"/>
    <xf numFmtId="0" fontId="2" fillId="0" borderId="0"/>
    <xf numFmtId="174" fontId="12" fillId="0" borderId="0"/>
    <xf numFmtId="174" fontId="30" fillId="0" borderId="0"/>
    <xf numFmtId="0" fontId="30" fillId="0" borderId="0"/>
    <xf numFmtId="0" fontId="12" fillId="0" borderId="0"/>
    <xf numFmtId="174" fontId="2" fillId="0" borderId="0"/>
    <xf numFmtId="0" fontId="2" fillId="0" borderId="0"/>
    <xf numFmtId="174" fontId="2" fillId="0" borderId="0"/>
    <xf numFmtId="174" fontId="2" fillId="0" borderId="0"/>
    <xf numFmtId="174" fontId="2" fillId="0" borderId="0"/>
    <xf numFmtId="0" fontId="2" fillId="0" borderId="0"/>
    <xf numFmtId="174" fontId="2"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4" fillId="0" borderId="0"/>
    <xf numFmtId="174" fontId="2" fillId="0" borderId="0"/>
    <xf numFmtId="174" fontId="12" fillId="0" borderId="0"/>
    <xf numFmtId="174" fontId="2" fillId="0" borderId="0"/>
    <xf numFmtId="0" fontId="2" fillId="0" borderId="0"/>
    <xf numFmtId="0" fontId="12" fillId="0" borderId="0"/>
    <xf numFmtId="174" fontId="2" fillId="0" borderId="0"/>
    <xf numFmtId="174" fontId="2" fillId="0" borderId="0"/>
    <xf numFmtId="174" fontId="2" fillId="0" borderId="0"/>
    <xf numFmtId="0" fontId="2" fillId="0" borderId="0"/>
    <xf numFmtId="0" fontId="47" fillId="0" borderId="0"/>
    <xf numFmtId="182" fontId="47" fillId="0" borderId="0"/>
    <xf numFmtId="0" fontId="47" fillId="0" borderId="0"/>
    <xf numFmtId="182" fontId="47" fillId="0" borderId="0"/>
    <xf numFmtId="174" fontId="2" fillId="0" borderId="0"/>
    <xf numFmtId="0" fontId="2" fillId="0" borderId="0"/>
    <xf numFmtId="174" fontId="30" fillId="0" borderId="0"/>
    <xf numFmtId="174" fontId="2" fillId="0" borderId="0"/>
    <xf numFmtId="0" fontId="2" fillId="0" borderId="0"/>
    <xf numFmtId="0" fontId="30" fillId="0" borderId="0"/>
    <xf numFmtId="174" fontId="30" fillId="0" borderId="0"/>
    <xf numFmtId="0" fontId="30"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174" fontId="30" fillId="0" borderId="0"/>
    <xf numFmtId="0" fontId="30" fillId="0" borderId="0"/>
    <xf numFmtId="174" fontId="2" fillId="0" borderId="0"/>
    <xf numFmtId="174" fontId="2" fillId="0" borderId="0"/>
    <xf numFmtId="174" fontId="2" fillId="0" borderId="0"/>
    <xf numFmtId="0" fontId="47" fillId="0" borderId="0"/>
    <xf numFmtId="174" fontId="30" fillId="0" borderId="0"/>
    <xf numFmtId="174" fontId="2" fillId="0" borderId="0"/>
    <xf numFmtId="0" fontId="2" fillId="0" borderId="0"/>
    <xf numFmtId="174" fontId="30" fillId="0" borderId="0"/>
    <xf numFmtId="0" fontId="30" fillId="0" borderId="0"/>
    <xf numFmtId="174" fontId="2" fillId="0" borderId="0"/>
    <xf numFmtId="0" fontId="2" fillId="0" borderId="0"/>
    <xf numFmtId="174" fontId="2" fillId="0" borderId="0"/>
    <xf numFmtId="174" fontId="2" fillId="0" borderId="0"/>
    <xf numFmtId="174" fontId="2" fillId="0" borderId="0"/>
    <xf numFmtId="0" fontId="30" fillId="0" borderId="0"/>
    <xf numFmtId="174" fontId="30" fillId="0" borderId="0"/>
    <xf numFmtId="174" fontId="2" fillId="0" borderId="0"/>
    <xf numFmtId="0" fontId="2" fillId="0" borderId="0"/>
    <xf numFmtId="174" fontId="30" fillId="0" borderId="0"/>
    <xf numFmtId="0" fontId="30" fillId="0" borderId="0"/>
    <xf numFmtId="174" fontId="2" fillId="0" borderId="0"/>
    <xf numFmtId="174" fontId="2" fillId="0" borderId="0"/>
    <xf numFmtId="174" fontId="2" fillId="0" borderId="0"/>
    <xf numFmtId="0" fontId="30" fillId="0" borderId="0"/>
    <xf numFmtId="174" fontId="12" fillId="0" borderId="0"/>
    <xf numFmtId="174" fontId="2" fillId="0" borderId="0"/>
    <xf numFmtId="0" fontId="2" fillId="0" borderId="0"/>
    <xf numFmtId="174" fontId="2" fillId="0" borderId="0"/>
    <xf numFmtId="0" fontId="2" fillId="0" borderId="0"/>
    <xf numFmtId="174" fontId="2" fillId="0" borderId="0"/>
    <xf numFmtId="174" fontId="2" fillId="0" borderId="0"/>
    <xf numFmtId="174" fontId="2" fillId="0" borderId="0"/>
    <xf numFmtId="0" fontId="12" fillId="0" borderId="0"/>
    <xf numFmtId="174" fontId="12" fillId="23" borderId="8" applyNumberFormat="0" applyFont="0" applyAlignment="0" applyProtection="0"/>
    <xf numFmtId="0" fontId="12" fillId="23" borderId="8" applyNumberFormat="0" applyFont="0" applyAlignment="0" applyProtection="0"/>
    <xf numFmtId="174" fontId="2" fillId="23" borderId="8" applyNumberFormat="0" applyFont="0" applyAlignment="0" applyProtection="0"/>
    <xf numFmtId="0" fontId="2" fillId="23" borderId="8" applyNumberFormat="0" applyFont="0" applyAlignment="0" applyProtection="0"/>
    <xf numFmtId="174" fontId="22" fillId="20" borderId="9" applyNumberFormat="0" applyAlignment="0" applyProtection="0"/>
    <xf numFmtId="0" fontId="22" fillId="20" borderId="9" applyNumberFormat="0" applyAlignment="0" applyProtection="0"/>
    <xf numFmtId="9" fontId="4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74" fontId="22" fillId="20" borderId="9" applyNumberFormat="0" applyAlignment="0" applyProtection="0"/>
    <xf numFmtId="0" fontId="22" fillId="20" borderId="9" applyNumberFormat="0" applyAlignment="0" applyProtection="0"/>
    <xf numFmtId="174" fontId="23" fillId="0" borderId="0" applyNumberFormat="0" applyFill="0" applyBorder="0" applyAlignment="0" applyProtection="0"/>
    <xf numFmtId="0" fontId="23" fillId="0" borderId="0" applyNumberFormat="0" applyFill="0" applyBorder="0" applyAlignment="0" applyProtection="0"/>
    <xf numFmtId="174" fontId="24" fillId="0" borderId="0" applyNumberFormat="0" applyFill="0" applyBorder="0" applyAlignment="0" applyProtection="0"/>
    <xf numFmtId="0" fontId="24" fillId="0" borderId="0" applyNumberFormat="0" applyFill="0" applyBorder="0" applyAlignment="0" applyProtection="0"/>
    <xf numFmtId="174" fontId="27" fillId="0" borderId="0" applyNumberFormat="0" applyFill="0" applyBorder="0" applyAlignment="0" applyProtection="0"/>
    <xf numFmtId="0" fontId="27" fillId="0" borderId="0" applyNumberFormat="0" applyFill="0" applyBorder="0" applyAlignment="0" applyProtection="0"/>
    <xf numFmtId="174" fontId="25" fillId="0" borderId="5" applyNumberFormat="0" applyFill="0" applyAlignment="0" applyProtection="0"/>
    <xf numFmtId="0" fontId="25" fillId="0" borderId="5" applyNumberFormat="0" applyFill="0" applyAlignment="0" applyProtection="0"/>
    <xf numFmtId="174" fontId="26" fillId="0" borderId="6" applyNumberFormat="0" applyFill="0" applyAlignment="0" applyProtection="0"/>
    <xf numFmtId="0" fontId="26" fillId="0" borderId="6" applyNumberFormat="0" applyFill="0" applyAlignment="0" applyProtection="0"/>
    <xf numFmtId="174" fontId="18" fillId="0" borderId="7" applyNumberFormat="0" applyFill="0" applyAlignment="0" applyProtection="0"/>
    <xf numFmtId="0" fontId="18" fillId="0" borderId="7" applyNumberFormat="0" applyFill="0" applyAlignment="0" applyProtection="0"/>
    <xf numFmtId="174" fontId="27" fillId="0" borderId="0" applyNumberFormat="0" applyFill="0" applyBorder="0" applyAlignment="0" applyProtection="0"/>
    <xf numFmtId="0" fontId="27" fillId="0" borderId="0" applyNumberFormat="0" applyFill="0" applyBorder="0" applyAlignment="0" applyProtection="0"/>
    <xf numFmtId="174" fontId="28" fillId="0" borderId="10" applyNumberFormat="0" applyFill="0" applyAlignment="0" applyProtection="0"/>
    <xf numFmtId="0" fontId="28" fillId="0" borderId="10" applyNumberFormat="0" applyFill="0" applyAlignment="0" applyProtection="0"/>
    <xf numFmtId="174" fontId="23" fillId="0" borderId="0" applyNumberFormat="0" applyFill="0" applyBorder="0" applyAlignment="0" applyProtection="0"/>
    <xf numFmtId="0" fontId="23" fillId="0" borderId="0" applyNumberFormat="0" applyFill="0" applyBorder="0" applyAlignment="0" applyProtection="0"/>
    <xf numFmtId="0" fontId="47" fillId="0" borderId="0"/>
    <xf numFmtId="0" fontId="1" fillId="0" borderId="10" applyNumberFormat="0" applyFill="0" applyAlignment="0" applyProtection="0"/>
    <xf numFmtId="0" fontId="47" fillId="0" borderId="0"/>
    <xf numFmtId="165" fontId="2" fillId="0" borderId="0" applyFont="0" applyFill="0" applyBorder="0" applyAlignment="0" applyProtection="0"/>
    <xf numFmtId="0" fontId="47" fillId="0" borderId="0"/>
    <xf numFmtId="43" fontId="47" fillId="0" borderId="0" applyFon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174" fontId="47" fillId="0" borderId="0"/>
    <xf numFmtId="174" fontId="47" fillId="0" borderId="0"/>
    <xf numFmtId="174" fontId="2" fillId="0" borderId="0"/>
    <xf numFmtId="174" fontId="47" fillId="0" borderId="0"/>
    <xf numFmtId="0" fontId="47" fillId="0" borderId="0"/>
    <xf numFmtId="0" fontId="1" fillId="0" borderId="10" applyNumberFormat="0" applyFill="0" applyAlignment="0" applyProtection="0"/>
    <xf numFmtId="0" fontId="47" fillId="0" borderId="0"/>
    <xf numFmtId="0" fontId="47" fillId="0" borderId="0"/>
    <xf numFmtId="0" fontId="47" fillId="0" borderId="0"/>
    <xf numFmtId="43" fontId="2" fillId="0" borderId="0" applyFont="0" applyFill="0" applyBorder="0" applyAlignment="0" applyProtection="0"/>
    <xf numFmtId="0" fontId="2" fillId="0" borderId="0">
      <alignment wrapText="1"/>
    </xf>
    <xf numFmtId="0" fontId="2" fillId="0" borderId="0">
      <alignment wrapText="1"/>
    </xf>
    <xf numFmtId="0" fontId="47" fillId="0" borderId="0"/>
    <xf numFmtId="0" fontId="91" fillId="0" borderId="0">
      <alignment wrapText="1"/>
    </xf>
    <xf numFmtId="0" fontId="47" fillId="0" borderId="0"/>
    <xf numFmtId="0" fontId="47" fillId="0" borderId="0"/>
    <xf numFmtId="0" fontId="2" fillId="0" borderId="0">
      <alignment wrapText="1"/>
    </xf>
    <xf numFmtId="0" fontId="47" fillId="0" borderId="0"/>
    <xf numFmtId="0" fontId="47" fillId="0" borderId="0"/>
    <xf numFmtId="0" fontId="47" fillId="0" borderId="0"/>
    <xf numFmtId="0" fontId="99" fillId="0" borderId="0">
      <alignment wrapText="1"/>
    </xf>
    <xf numFmtId="0" fontId="99" fillId="0" borderId="0">
      <alignment wrapText="1"/>
    </xf>
    <xf numFmtId="0" fontId="99" fillId="0" borderId="0">
      <alignment wrapText="1"/>
    </xf>
    <xf numFmtId="0" fontId="99" fillId="0" borderId="0">
      <alignment wrapText="1"/>
    </xf>
    <xf numFmtId="0" fontId="99" fillId="0" borderId="0">
      <alignment wrapText="1"/>
    </xf>
    <xf numFmtId="0" fontId="99" fillId="0" borderId="0">
      <alignment wrapText="1"/>
    </xf>
    <xf numFmtId="0" fontId="99" fillId="0" borderId="0">
      <alignment wrapText="1"/>
    </xf>
    <xf numFmtId="0" fontId="99" fillId="0" borderId="0">
      <alignment wrapText="1"/>
    </xf>
    <xf numFmtId="0" fontId="47" fillId="0" borderId="0"/>
    <xf numFmtId="43" fontId="2" fillId="0" borderId="0" applyFont="0" applyFill="0" applyBorder="0" applyAlignment="0" applyProtection="0"/>
    <xf numFmtId="0" fontId="2" fillId="0" borderId="0"/>
    <xf numFmtId="0" fontId="2" fillId="0" borderId="0"/>
    <xf numFmtId="184" fontId="2" fillId="0" borderId="0" applyFont="0" applyFill="0" applyBorder="0" applyAlignment="0" applyProtection="0"/>
    <xf numFmtId="174" fontId="2" fillId="0" borderId="0"/>
    <xf numFmtId="174" fontId="47" fillId="0" borderId="0"/>
    <xf numFmtId="174" fontId="47" fillId="0" borderId="0"/>
    <xf numFmtId="0"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43" fontId="117" fillId="0" borderId="0" applyFont="0" applyFill="0" applyBorder="0" applyAlignment="0" applyProtection="0"/>
    <xf numFmtId="43" fontId="117" fillId="0" borderId="0" applyFont="0" applyFill="0" applyBorder="0" applyAlignment="0" applyProtection="0"/>
    <xf numFmtId="43" fontId="117" fillId="0" borderId="0" applyFont="0" applyFill="0" applyBorder="0" applyAlignment="0" applyProtection="0"/>
    <xf numFmtId="43" fontId="117" fillId="0" borderId="0" applyFont="0" applyFill="0" applyBorder="0" applyAlignment="0" applyProtection="0"/>
    <xf numFmtId="44" fontId="117" fillId="0" borderId="0" applyFont="0" applyFill="0" applyBorder="0" applyAlignment="0" applyProtection="0"/>
    <xf numFmtId="44" fontId="117" fillId="0" borderId="0" applyFont="0" applyFill="0" applyBorder="0" applyAlignment="0" applyProtection="0"/>
    <xf numFmtId="44" fontId="117" fillId="0" borderId="0" applyFont="0" applyFill="0" applyBorder="0" applyAlignment="0" applyProtection="0"/>
    <xf numFmtId="44" fontId="117" fillId="0" borderId="0" applyFont="0" applyFill="0" applyBorder="0" applyAlignment="0" applyProtection="0"/>
    <xf numFmtId="185" fontId="2" fillId="0" borderId="0" applyFont="0" applyFill="0" applyBorder="0" applyAlignment="0" applyProtection="0"/>
    <xf numFmtId="180" fontId="2" fillId="0" borderId="0" applyFont="0" applyFill="0" applyBorder="0" applyAlignment="0" applyProtection="0"/>
    <xf numFmtId="184" fontId="2" fillId="0" borderId="0" applyFont="0" applyFill="0" applyBorder="0" applyAlignment="0" applyProtection="0"/>
    <xf numFmtId="0" fontId="118" fillId="0" borderId="0" applyNumberFormat="0" applyFill="0" applyBorder="0" applyAlignment="0" applyProtection="0">
      <alignment vertical="top"/>
      <protection locked="0"/>
    </xf>
    <xf numFmtId="0" fontId="118"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43" fontId="2"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2" fillId="0" borderId="0" applyFont="0" applyFill="0" applyBorder="0" applyAlignment="0" applyProtection="0"/>
    <xf numFmtId="43" fontId="2" fillId="0" borderId="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8" fontId="2"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178" fontId="2" fillId="0" borderId="0" applyFont="0" applyFill="0" applyBorder="0" applyAlignment="0" applyProtection="0"/>
    <xf numFmtId="43" fontId="2" fillId="0" borderId="0" applyFont="0" applyFill="0" applyBorder="0" applyAlignment="0" applyProtection="0">
      <alignment wrapText="1"/>
    </xf>
    <xf numFmtId="43" fontId="4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0" fontId="47" fillId="0" borderId="0"/>
    <xf numFmtId="0" fontId="47" fillId="0" borderId="0"/>
    <xf numFmtId="0" fontId="47" fillId="0" borderId="0"/>
    <xf numFmtId="0" fontId="47" fillId="0" borderId="0"/>
    <xf numFmtId="0" fontId="2" fillId="0" borderId="0"/>
    <xf numFmtId="0" fontId="47" fillId="0" borderId="0"/>
    <xf numFmtId="0" fontId="47" fillId="0" borderId="0"/>
    <xf numFmtId="0" fontId="47" fillId="0" borderId="0"/>
    <xf numFmtId="0" fontId="2"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2"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2"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174"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2" fillId="0" borderId="0"/>
    <xf numFmtId="0" fontId="47" fillId="0" borderId="0"/>
    <xf numFmtId="0" fontId="47" fillId="0" borderId="0"/>
    <xf numFmtId="0" fontId="47" fillId="0" borderId="0"/>
    <xf numFmtId="0" fontId="30" fillId="0" borderId="0"/>
    <xf numFmtId="0" fontId="30" fillId="0" borderId="0"/>
    <xf numFmtId="0" fontId="47" fillId="0" borderId="0"/>
    <xf numFmtId="0" fontId="47" fillId="0" borderId="0"/>
    <xf numFmtId="0" fontId="2"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174" fontId="47" fillId="0" borderId="0"/>
    <xf numFmtId="0" fontId="2" fillId="0" borderId="0"/>
    <xf numFmtId="0" fontId="47" fillId="0" borderId="0"/>
    <xf numFmtId="174" fontId="47" fillId="0" borderId="0"/>
    <xf numFmtId="174"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0" fontId="47" fillId="0" borderId="0"/>
    <xf numFmtId="0" fontId="47" fillId="0" borderId="0"/>
    <xf numFmtId="0" fontId="47"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2" fillId="0" borderId="0" applyFont="0" applyFill="0" applyBorder="0" applyAlignment="0" applyProtection="0"/>
    <xf numFmtId="184" fontId="2" fillId="0" borderId="0" applyFont="0" applyFill="0" applyBorder="0" applyAlignment="0" applyProtection="0"/>
    <xf numFmtId="178" fontId="2" fillId="0" borderId="0" applyFont="0" applyFill="0" applyBorder="0" applyAlignment="0" applyProtection="0"/>
    <xf numFmtId="43" fontId="2" fillId="0" borderId="0" applyFont="0" applyFill="0" applyBorder="0" applyAlignment="0" applyProtection="0"/>
    <xf numFmtId="178" fontId="2" fillId="0" borderId="0" applyFont="0" applyFill="0" applyBorder="0" applyAlignment="0" applyProtection="0"/>
    <xf numFmtId="43" fontId="2" fillId="0" borderId="0" applyFont="0" applyFill="0" applyBorder="0" applyAlignment="0" applyProtection="0"/>
    <xf numFmtId="178" fontId="2" fillId="0" borderId="0" applyFont="0" applyFill="0" applyBorder="0" applyAlignment="0" applyProtection="0"/>
    <xf numFmtId="0" fontId="2" fillId="0" borderId="0"/>
    <xf numFmtId="174" fontId="47" fillId="0" borderId="0"/>
    <xf numFmtId="174" fontId="47" fillId="0" borderId="0"/>
    <xf numFmtId="174" fontId="47" fillId="0" borderId="0"/>
    <xf numFmtId="174" fontId="47" fillId="0" borderId="0"/>
    <xf numFmtId="0" fontId="2" fillId="0" borderId="0"/>
    <xf numFmtId="0" fontId="2" fillId="0" borderId="0">
      <alignment wrapText="1"/>
    </xf>
    <xf numFmtId="0" fontId="47" fillId="0" borderId="0"/>
    <xf numFmtId="0" fontId="2" fillId="0" borderId="0">
      <alignment wrapText="1"/>
    </xf>
    <xf numFmtId="0" fontId="30" fillId="0" borderId="0"/>
    <xf numFmtId="0" fontId="2" fillId="0" borderId="0"/>
    <xf numFmtId="0" fontId="30" fillId="0" borderId="0"/>
    <xf numFmtId="0" fontId="47" fillId="0" borderId="0"/>
    <xf numFmtId="0" fontId="47" fillId="0" borderId="0"/>
    <xf numFmtId="0" fontId="47" fillId="0" borderId="0"/>
    <xf numFmtId="0" fontId="2" fillId="0" borderId="0"/>
    <xf numFmtId="0" fontId="30" fillId="0" borderId="0"/>
    <xf numFmtId="0" fontId="30"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91" fontId="125" fillId="0" borderId="0"/>
    <xf numFmtId="0" fontId="126" fillId="0" borderId="0"/>
    <xf numFmtId="178" fontId="126" fillId="0" borderId="0" applyFont="0" applyFill="0" applyBorder="0" applyAlignment="0" applyProtection="0"/>
    <xf numFmtId="9" fontId="126" fillId="0" borderId="0" applyFont="0" applyFill="0" applyBorder="0" applyAlignment="0" applyProtection="0"/>
    <xf numFmtId="0" fontId="47" fillId="0" borderId="0"/>
    <xf numFmtId="0" fontId="47" fillId="0" borderId="0"/>
    <xf numFmtId="182" fontId="47" fillId="0" borderId="0"/>
    <xf numFmtId="0" fontId="128" fillId="0" borderId="0"/>
    <xf numFmtId="184" fontId="2" fillId="0" borderId="0" applyFont="0" applyFill="0" applyBorder="0" applyAlignment="0" applyProtection="0"/>
    <xf numFmtId="178" fontId="2" fillId="0" borderId="0" applyFont="0" applyFill="0" applyBorder="0" applyAlignment="0" applyProtection="0"/>
    <xf numFmtId="9" fontId="2" fillId="0" borderId="0" applyFont="0" applyFill="0" applyBorder="0" applyAlignment="0" applyProtection="0"/>
    <xf numFmtId="0" fontId="2" fillId="0" borderId="0">
      <alignment wrapText="1"/>
    </xf>
    <xf numFmtId="0" fontId="129" fillId="0" borderId="0">
      <alignment wrapText="1"/>
    </xf>
    <xf numFmtId="0" fontId="2" fillId="0" borderId="0"/>
    <xf numFmtId="0" fontId="141" fillId="0" borderId="0"/>
    <xf numFmtId="0" fontId="2" fillId="0" borderId="0">
      <alignment wrapText="1"/>
    </xf>
    <xf numFmtId="0" fontId="143" fillId="0" borderId="0"/>
    <xf numFmtId="0" fontId="156" fillId="0" borderId="0"/>
    <xf numFmtId="178" fontId="156" fillId="0" borderId="0" applyFont="0" applyFill="0" applyBorder="0" applyAlignment="0" applyProtection="0"/>
    <xf numFmtId="9" fontId="156" fillId="0" borderId="0" applyFont="0" applyFill="0" applyBorder="0" applyAlignment="0" applyProtection="0"/>
    <xf numFmtId="0" fontId="2" fillId="0" borderId="0">
      <alignment wrapText="1"/>
    </xf>
    <xf numFmtId="43" fontId="47" fillId="0" borderId="0" applyFont="0" applyFill="0" applyBorder="0" applyAlignment="0" applyProtection="0"/>
    <xf numFmtId="9" fontId="2" fillId="0" borderId="0" applyFont="0" applyFill="0" applyBorder="0" applyAlignment="0" applyProtection="0"/>
    <xf numFmtId="0" fontId="161" fillId="0" borderId="0"/>
    <xf numFmtId="178" fontId="2" fillId="0" borderId="0" applyFont="0" applyFill="0" applyBorder="0" applyAlignment="0" applyProtection="0"/>
    <xf numFmtId="9" fontId="2" fillId="0" borderId="0" applyFont="0" applyFill="0" applyBorder="0" applyAlignment="0" applyProtection="0"/>
    <xf numFmtId="0" fontId="30" fillId="0" borderId="0"/>
    <xf numFmtId="43" fontId="2" fillId="0" borderId="0" applyFont="0" applyFill="0" applyBorder="0" applyAlignment="0" applyProtection="0"/>
    <xf numFmtId="0" fontId="47" fillId="0" borderId="0"/>
    <xf numFmtId="174" fontId="162" fillId="0" borderId="0" applyNumberFormat="0" applyFill="0" applyBorder="0" applyAlignment="0" applyProtection="0">
      <alignment vertical="top"/>
      <protection locked="0"/>
    </xf>
    <xf numFmtId="0" fontId="47" fillId="0" borderId="0"/>
    <xf numFmtId="200" fontId="2" fillId="0" borderId="0"/>
    <xf numFmtId="201" fontId="2" fillId="0" borderId="0" applyFont="0" applyFill="0" applyBorder="0" applyAlignment="0" applyProtection="0"/>
    <xf numFmtId="0" fontId="47" fillId="0" borderId="0"/>
    <xf numFmtId="0" fontId="47" fillId="0" borderId="0"/>
    <xf numFmtId="0" fontId="47" fillId="0" borderId="0"/>
  </cellStyleXfs>
  <cellXfs count="2224">
    <xf numFmtId="174" fontId="0" fillId="0" borderId="0" xfId="0"/>
    <xf numFmtId="174" fontId="47" fillId="0" borderId="0" xfId="388" applyFont="1"/>
    <xf numFmtId="10" fontId="52" fillId="0" borderId="0" xfId="388" applyNumberFormat="1" applyFont="1"/>
    <xf numFmtId="10" fontId="51" fillId="0" borderId="0" xfId="388" applyNumberFormat="1" applyFont="1"/>
    <xf numFmtId="10" fontId="47" fillId="0" borderId="0" xfId="388" applyNumberFormat="1" applyFont="1"/>
    <xf numFmtId="174" fontId="47" fillId="0" borderId="0" xfId="388" applyFont="1" applyFill="1" applyBorder="1"/>
    <xf numFmtId="171" fontId="47" fillId="0" borderId="0" xfId="388" applyNumberFormat="1" applyFont="1"/>
    <xf numFmtId="174" fontId="47" fillId="0" borderId="0" xfId="388" applyNumberFormat="1" applyFont="1"/>
    <xf numFmtId="10" fontId="47" fillId="0" borderId="0" xfId="388" applyNumberFormat="1" applyFont="1" applyBorder="1"/>
    <xf numFmtId="174" fontId="47" fillId="0" borderId="0" xfId="388" applyFont="1" applyBorder="1"/>
    <xf numFmtId="4" fontId="29" fillId="0" borderId="11" xfId="398" applyNumberFormat="1" applyFont="1" applyFill="1" applyBorder="1" applyAlignment="1">
      <alignment horizontal="right" vertical="justify" wrapText="1"/>
    </xf>
    <xf numFmtId="4" fontId="29" fillId="0" borderId="12" xfId="398" applyNumberFormat="1" applyFont="1" applyFill="1" applyBorder="1" applyAlignment="1">
      <alignment horizontal="right" vertical="justify" wrapText="1"/>
    </xf>
    <xf numFmtId="174" fontId="53" fillId="0" borderId="0" xfId="347" applyFont="1"/>
    <xf numFmtId="167" fontId="6" fillId="0" borderId="0" xfId="336" applyNumberFormat="1" applyFont="1" applyFill="1" applyBorder="1"/>
    <xf numFmtId="167" fontId="6" fillId="0" borderId="0" xfId="336" applyNumberFormat="1" applyFont="1" applyFill="1" applyBorder="1" applyAlignment="1">
      <alignment horizontal="right"/>
    </xf>
    <xf numFmtId="43" fontId="6" fillId="0" borderId="0" xfId="336" applyFont="1" applyFill="1" applyBorder="1"/>
    <xf numFmtId="167" fontId="0" fillId="0" borderId="0" xfId="0" applyNumberFormat="1"/>
    <xf numFmtId="174" fontId="52" fillId="0" borderId="0" xfId="0" applyNumberFormat="1" applyFont="1"/>
    <xf numFmtId="10" fontId="0" fillId="0" borderId="0" xfId="0" applyNumberFormat="1"/>
    <xf numFmtId="43" fontId="0" fillId="0" borderId="0" xfId="0" applyNumberFormat="1" applyBorder="1"/>
    <xf numFmtId="10" fontId="0" fillId="0" borderId="0" xfId="0" applyNumberFormat="1" applyBorder="1"/>
    <xf numFmtId="174" fontId="54" fillId="0" borderId="0" xfId="0" applyFont="1" applyFill="1" applyBorder="1" applyAlignment="1">
      <alignment horizontal="center" wrapText="1"/>
    </xf>
    <xf numFmtId="174" fontId="0" fillId="0" borderId="0" xfId="0" applyBorder="1"/>
    <xf numFmtId="43" fontId="0" fillId="0" borderId="0" xfId="0" applyNumberFormat="1"/>
    <xf numFmtId="3" fontId="55" fillId="0" borderId="0" xfId="0" applyNumberFormat="1" applyFont="1" applyFill="1" applyBorder="1" applyAlignment="1" applyProtection="1"/>
    <xf numFmtId="1" fontId="0" fillId="0" borderId="0" xfId="0" applyNumberFormat="1" applyFill="1"/>
    <xf numFmtId="1" fontId="55" fillId="0" borderId="0" xfId="0" applyNumberFormat="1" applyFont="1" applyFill="1" applyBorder="1" applyAlignment="1" applyProtection="1"/>
    <xf numFmtId="1" fontId="0" fillId="0" borderId="0" xfId="0" applyNumberFormat="1"/>
    <xf numFmtId="4" fontId="0" fillId="0" borderId="0" xfId="0" applyNumberFormat="1"/>
    <xf numFmtId="174" fontId="55" fillId="0" borderId="0" xfId="0" applyNumberFormat="1" applyFont="1" applyFill="1"/>
    <xf numFmtId="174" fontId="57" fillId="0" borderId="0" xfId="0" applyNumberFormat="1" applyFont="1"/>
    <xf numFmtId="174" fontId="0" fillId="0" borderId="0" xfId="0" applyNumberFormat="1" applyBorder="1" applyAlignment="1">
      <alignment horizontal="left"/>
    </xf>
    <xf numFmtId="174" fontId="58" fillId="0" borderId="0" xfId="0" applyNumberFormat="1" applyFont="1" applyBorder="1" applyAlignment="1">
      <alignment horizontal="left"/>
    </xf>
    <xf numFmtId="168" fontId="0" fillId="0" borderId="0" xfId="0" applyNumberFormat="1" applyBorder="1" applyAlignment="1">
      <alignment horizontal="left"/>
    </xf>
    <xf numFmtId="43" fontId="59" fillId="0" borderId="0" xfId="0" applyNumberFormat="1" applyFont="1" applyFill="1" applyBorder="1" applyAlignment="1">
      <alignment horizontal="center"/>
    </xf>
    <xf numFmtId="43" fontId="0" fillId="0" borderId="0" xfId="0" applyNumberFormat="1" applyFill="1" applyBorder="1"/>
    <xf numFmtId="43" fontId="0" fillId="0" borderId="0" xfId="0" applyNumberFormat="1" applyFill="1"/>
    <xf numFmtId="174" fontId="0" fillId="0" borderId="0" xfId="0" applyNumberFormat="1"/>
    <xf numFmtId="174" fontId="0" fillId="0" borderId="0" xfId="0" applyFill="1"/>
    <xf numFmtId="174" fontId="0" fillId="0" borderId="0" xfId="0" applyFill="1" applyBorder="1"/>
    <xf numFmtId="43" fontId="34" fillId="0" borderId="0" xfId="328" applyFont="1"/>
    <xf numFmtId="43" fontId="34" fillId="0" borderId="0" xfId="328" applyFont="1" applyAlignment="1">
      <alignment horizontal="right"/>
    </xf>
    <xf numFmtId="174" fontId="0" fillId="0" borderId="0" xfId="0" applyNumberFormat="1" applyAlignment="1">
      <alignment horizontal="right"/>
    </xf>
    <xf numFmtId="174" fontId="0" fillId="0" borderId="0" xfId="0" applyAlignment="1">
      <alignment horizontal="right"/>
    </xf>
    <xf numFmtId="174" fontId="0" fillId="0" borderId="0" xfId="0" applyNumberFormat="1" applyFill="1"/>
    <xf numFmtId="174" fontId="0" fillId="0" borderId="0" xfId="0" applyFont="1"/>
    <xf numFmtId="43" fontId="47" fillId="0" borderId="0" xfId="323" applyFont="1"/>
    <xf numFmtId="174" fontId="55" fillId="0" borderId="0" xfId="0" applyFont="1"/>
    <xf numFmtId="10" fontId="47" fillId="0" borderId="0" xfId="551" applyNumberFormat="1" applyFont="1"/>
    <xf numFmtId="167" fontId="47" fillId="0" borderId="0" xfId="323" applyNumberFormat="1" applyFont="1"/>
    <xf numFmtId="174" fontId="51" fillId="0" borderId="0" xfId="0" applyFont="1"/>
    <xf numFmtId="174" fontId="63" fillId="0" borderId="0" xfId="0" applyNumberFormat="1" applyFont="1" applyAlignment="1">
      <alignment horizontal="left" wrapText="1"/>
    </xf>
    <xf numFmtId="174" fontId="50" fillId="0" borderId="0" xfId="0" applyNumberFormat="1" applyFont="1" applyFill="1" applyBorder="1"/>
    <xf numFmtId="174" fontId="50" fillId="0" borderId="0" xfId="0" applyFont="1" applyFill="1" applyBorder="1"/>
    <xf numFmtId="174" fontId="48" fillId="0" borderId="0" xfId="0" applyFont="1"/>
    <xf numFmtId="174" fontId="48" fillId="0" borderId="0" xfId="0" applyFont="1" applyFill="1" applyBorder="1"/>
    <xf numFmtId="43" fontId="48" fillId="0" borderId="0" xfId="0" applyNumberFormat="1" applyFont="1" applyFill="1" applyBorder="1"/>
    <xf numFmtId="174" fontId="48" fillId="0" borderId="0" xfId="0" applyFont="1" applyFill="1" applyBorder="1" applyAlignment="1"/>
    <xf numFmtId="174" fontId="0" fillId="0" borderId="0" xfId="0" applyFill="1" applyBorder="1" applyAlignment="1"/>
    <xf numFmtId="173" fontId="47" fillId="0" borderId="0" xfId="323" applyNumberFormat="1" applyFont="1" applyFill="1"/>
    <xf numFmtId="43" fontId="47" fillId="0" borderId="0" xfId="323" applyFont="1" applyFill="1"/>
    <xf numFmtId="174" fontId="55" fillId="0" borderId="0" xfId="0" applyNumberFormat="1" applyFont="1" applyFill="1" applyBorder="1" applyAlignment="1" applyProtection="1"/>
    <xf numFmtId="3" fontId="64" fillId="0" borderId="0" xfId="0" applyNumberFormat="1" applyFont="1" applyFill="1" applyBorder="1" applyAlignment="1" applyProtection="1"/>
    <xf numFmtId="3" fontId="55" fillId="0" borderId="13" xfId="0" applyNumberFormat="1" applyFont="1" applyFill="1" applyBorder="1" applyAlignment="1" applyProtection="1"/>
    <xf numFmtId="167" fontId="51" fillId="26" borderId="13" xfId="0" applyNumberFormat="1" applyFont="1" applyFill="1" applyBorder="1"/>
    <xf numFmtId="43" fontId="47" fillId="0" borderId="0" xfId="323" applyFont="1" applyBorder="1"/>
    <xf numFmtId="174" fontId="67" fillId="0" borderId="0" xfId="0" applyFont="1" applyBorder="1" applyAlignment="1">
      <alignment vertical="top" wrapText="1"/>
    </xf>
    <xf numFmtId="174" fontId="67" fillId="0" borderId="0" xfId="0" applyFont="1" applyBorder="1" applyAlignment="1">
      <alignment vertical="top"/>
    </xf>
    <xf numFmtId="174" fontId="53" fillId="0" borderId="0" xfId="347" applyFont="1" applyBorder="1"/>
    <xf numFmtId="43" fontId="0" fillId="27" borderId="0" xfId="0" applyNumberFormat="1" applyFill="1"/>
    <xf numFmtId="174" fontId="0" fillId="27" borderId="0" xfId="0" applyFill="1"/>
    <xf numFmtId="174" fontId="0" fillId="27" borderId="0" xfId="0" applyNumberFormat="1" applyFill="1" applyBorder="1"/>
    <xf numFmtId="43" fontId="2" fillId="27" borderId="0" xfId="0" applyNumberFormat="1" applyFont="1" applyFill="1" applyBorder="1"/>
    <xf numFmtId="174" fontId="63" fillId="27" borderId="0" xfId="0" applyFont="1" applyFill="1"/>
    <xf numFmtId="174" fontId="0" fillId="27" borderId="0" xfId="0" applyFill="1" applyBorder="1"/>
    <xf numFmtId="43" fontId="0" fillId="27" borderId="0" xfId="0" applyNumberFormat="1" applyFill="1" applyBorder="1"/>
    <xf numFmtId="174" fontId="47" fillId="0" borderId="0" xfId="442" applyFont="1"/>
    <xf numFmtId="174" fontId="0" fillId="0" borderId="0" xfId="0"/>
    <xf numFmtId="174" fontId="0" fillId="0" borderId="0" xfId="0" applyNumberFormat="1" applyBorder="1" applyAlignment="1">
      <alignment horizontal="right"/>
    </xf>
    <xf numFmtId="174" fontId="57" fillId="0" borderId="0" xfId="0" applyNumberFormat="1" applyFont="1" applyBorder="1"/>
    <xf numFmtId="43" fontId="34" fillId="0" borderId="0" xfId="328" applyFont="1" applyBorder="1"/>
    <xf numFmtId="174" fontId="55" fillId="0" borderId="0" xfId="0" applyFont="1" applyBorder="1"/>
    <xf numFmtId="174" fontId="50" fillId="0" borderId="0" xfId="0" applyFont="1" applyBorder="1"/>
    <xf numFmtId="174" fontId="47" fillId="0" borderId="0" xfId="446" applyFont="1"/>
    <xf numFmtId="174" fontId="47" fillId="0" borderId="0" xfId="446" applyFont="1" applyAlignment="1"/>
    <xf numFmtId="173" fontId="3" fillId="0" borderId="0" xfId="323" applyNumberFormat="1" applyFont="1" applyBorder="1"/>
    <xf numFmtId="174" fontId="47" fillId="0" borderId="0" xfId="446" applyFont="1" applyBorder="1"/>
    <xf numFmtId="174" fontId="47" fillId="0" borderId="0" xfId="450" applyFont="1"/>
    <xf numFmtId="43" fontId="47" fillId="0" borderId="0" xfId="323" applyFont="1" applyFill="1" applyBorder="1"/>
    <xf numFmtId="172" fontId="0" fillId="0" borderId="0" xfId="0" applyNumberFormat="1" applyFill="1" applyBorder="1"/>
    <xf numFmtId="9" fontId="63" fillId="0" borderId="0" xfId="0" applyNumberFormat="1" applyFont="1"/>
    <xf numFmtId="172" fontId="63" fillId="0" borderId="0" xfId="0" applyNumberFormat="1" applyFont="1" applyFill="1" applyBorder="1" applyAlignment="1">
      <alignment horizontal="left" indent="1"/>
    </xf>
    <xf numFmtId="171" fontId="0" fillId="0" borderId="0" xfId="0" applyNumberFormat="1"/>
    <xf numFmtId="49" fontId="31" fillId="0" borderId="0" xfId="361" applyNumberFormat="1" applyFont="1" applyFill="1" applyBorder="1" applyAlignment="1">
      <alignment vertical="center" wrapText="1"/>
    </xf>
    <xf numFmtId="174" fontId="0" fillId="0" borderId="0" xfId="0" applyBorder="1"/>
    <xf numFmtId="174" fontId="0" fillId="0" borderId="0" xfId="0" applyNumberFormat="1" applyBorder="1"/>
    <xf numFmtId="174" fontId="0" fillId="0" borderId="0" xfId="0" applyNumberFormat="1"/>
    <xf numFmtId="174" fontId="55" fillId="27" borderId="0" xfId="0" applyFont="1" applyFill="1" applyBorder="1"/>
    <xf numFmtId="43" fontId="55" fillId="27" borderId="0" xfId="0" applyNumberFormat="1" applyFont="1" applyFill="1" applyBorder="1"/>
    <xf numFmtId="43" fontId="55" fillId="27" borderId="0" xfId="0" applyNumberFormat="1" applyFont="1" applyFill="1"/>
    <xf numFmtId="174" fontId="0" fillId="27" borderId="0" xfId="0" applyNumberFormat="1" applyFill="1"/>
    <xf numFmtId="43" fontId="51" fillId="26" borderId="13" xfId="0" applyNumberFormat="1" applyFont="1" applyFill="1" applyBorder="1" applyAlignment="1">
      <alignment horizontal="center" vertical="center" wrapText="1"/>
    </xf>
    <xf numFmtId="43" fontId="51" fillId="26" borderId="13" xfId="0" applyNumberFormat="1" applyFont="1" applyFill="1" applyBorder="1" applyAlignment="1">
      <alignment horizontal="center"/>
    </xf>
    <xf numFmtId="167" fontId="67" fillId="0" borderId="0" xfId="323" applyNumberFormat="1" applyFont="1" applyBorder="1" applyAlignment="1">
      <alignment vertical="top" wrapText="1"/>
    </xf>
    <xf numFmtId="174" fontId="47" fillId="0" borderId="0" xfId="450" applyFont="1" applyBorder="1"/>
    <xf numFmtId="174" fontId="47" fillId="0" borderId="0" xfId="450" applyFont="1" applyBorder="1" applyAlignment="1"/>
    <xf numFmtId="174" fontId="61" fillId="0" borderId="0" xfId="0" applyNumberFormat="1" applyFont="1" applyBorder="1"/>
    <xf numFmtId="174" fontId="0" fillId="0" borderId="0" xfId="0" applyNumberFormat="1" applyFont="1"/>
    <xf numFmtId="174" fontId="72" fillId="27" borderId="0" xfId="0" applyFont="1" applyFill="1" applyBorder="1" applyAlignment="1">
      <alignment vertical="center" wrapText="1"/>
    </xf>
    <xf numFmtId="167" fontId="75" fillId="0" borderId="0" xfId="323" applyNumberFormat="1" applyFont="1"/>
    <xf numFmtId="3" fontId="39" fillId="24" borderId="0" xfId="0" applyNumberFormat="1" applyFont="1" applyFill="1" applyBorder="1" applyAlignment="1">
      <alignment horizontal="center"/>
    </xf>
    <xf numFmtId="174" fontId="0" fillId="0" borderId="0" xfId="0" applyNumberFormat="1" applyFill="1" applyBorder="1"/>
    <xf numFmtId="3" fontId="39" fillId="0" borderId="0" xfId="0" applyNumberFormat="1" applyFont="1" applyFill="1" applyBorder="1" applyAlignment="1">
      <alignment horizontal="center"/>
    </xf>
    <xf numFmtId="174" fontId="77" fillId="0" borderId="0" xfId="0" applyFont="1"/>
    <xf numFmtId="174" fontId="47" fillId="0" borderId="0" xfId="391" applyFont="1"/>
    <xf numFmtId="174" fontId="78" fillId="0" borderId="0" xfId="391" applyFont="1" applyAlignment="1">
      <alignment horizontal="center"/>
    </xf>
    <xf numFmtId="43" fontId="47" fillId="0" borderId="0" xfId="391" applyNumberFormat="1" applyFont="1"/>
    <xf numFmtId="43" fontId="47" fillId="0" borderId="0" xfId="442" applyNumberFormat="1" applyFont="1"/>
    <xf numFmtId="43" fontId="61" fillId="0" borderId="0" xfId="0" applyNumberFormat="1" applyFont="1" applyFill="1" applyBorder="1" applyAlignment="1">
      <alignment horizontal="left"/>
    </xf>
    <xf numFmtId="2" fontId="0" fillId="0" borderId="0" xfId="0" applyNumberFormat="1"/>
    <xf numFmtId="174" fontId="79" fillId="29" borderId="0" xfId="0" applyFont="1" applyFill="1" applyBorder="1" applyAlignment="1">
      <alignment horizontal="center" vertical="top" wrapText="1"/>
    </xf>
    <xf numFmtId="10" fontId="47" fillId="0" borderId="0" xfId="446" applyNumberFormat="1" applyFont="1"/>
    <xf numFmtId="167" fontId="53" fillId="27" borderId="0" xfId="394" applyNumberFormat="1" applyFont="1" applyFill="1" applyBorder="1" applyAlignment="1">
      <alignment horizontal="center" vertical="center"/>
    </xf>
    <xf numFmtId="43" fontId="55" fillId="0" borderId="0" xfId="0" applyNumberFormat="1" applyFont="1" applyBorder="1"/>
    <xf numFmtId="174" fontId="55" fillId="27" borderId="0" xfId="0" applyNumberFormat="1" applyFont="1" applyFill="1" applyBorder="1"/>
    <xf numFmtId="49" fontId="42" fillId="0" borderId="0" xfId="361" applyNumberFormat="1" applyFont="1" applyFill="1" applyBorder="1" applyAlignment="1">
      <alignment vertical="center" wrapText="1"/>
    </xf>
    <xf numFmtId="174" fontId="79" fillId="29" borderId="0" xfId="0" applyFont="1" applyFill="1" applyBorder="1" applyAlignment="1">
      <alignment horizontal="center" vertical="center" wrapText="1"/>
    </xf>
    <xf numFmtId="167" fontId="53" fillId="31" borderId="0" xfId="394" applyNumberFormat="1" applyFont="1" applyFill="1" applyBorder="1" applyAlignment="1">
      <alignment horizontal="center" vertical="center"/>
    </xf>
    <xf numFmtId="3" fontId="84" fillId="0" borderId="0" xfId="0" applyNumberFormat="1" applyFont="1" applyFill="1" applyBorder="1" applyAlignment="1">
      <alignment horizontal="center"/>
    </xf>
    <xf numFmtId="174" fontId="55" fillId="0" borderId="0" xfId="0" applyNumberFormat="1" applyFont="1" applyBorder="1"/>
    <xf numFmtId="43" fontId="68" fillId="26" borderId="13" xfId="0" applyNumberFormat="1" applyFont="1" applyFill="1" applyBorder="1" applyAlignment="1">
      <alignment horizontal="center" vertical="center" wrapText="1"/>
    </xf>
    <xf numFmtId="3" fontId="53" fillId="27" borderId="13" xfId="0" applyNumberFormat="1" applyFont="1" applyFill="1" applyBorder="1" applyAlignment="1" applyProtection="1"/>
    <xf numFmtId="10" fontId="0" fillId="27" borderId="0" xfId="0" applyNumberFormat="1" applyFill="1"/>
    <xf numFmtId="179" fontId="53" fillId="27" borderId="13" xfId="0" applyNumberFormat="1" applyFont="1" applyFill="1" applyBorder="1" applyAlignment="1" applyProtection="1"/>
    <xf numFmtId="174" fontId="0" fillId="0" borderId="0" xfId="0" applyAlignment="1">
      <alignment vertical="center"/>
    </xf>
    <xf numFmtId="174" fontId="61" fillId="0" borderId="0" xfId="0" applyFont="1"/>
    <xf numFmtId="174" fontId="74" fillId="0" borderId="0" xfId="0" applyNumberFormat="1" applyFont="1" applyBorder="1" applyAlignment="1">
      <alignment vertical="top" wrapText="1"/>
    </xf>
    <xf numFmtId="43" fontId="68" fillId="26" borderId="13" xfId="0" applyNumberFormat="1" applyFont="1" applyFill="1" applyBorder="1" applyAlignment="1">
      <alignment horizontal="center"/>
    </xf>
    <xf numFmtId="0" fontId="55" fillId="0" borderId="0" xfId="0" applyNumberFormat="1" applyFont="1" applyFill="1" applyBorder="1" applyAlignment="1" applyProtection="1"/>
    <xf numFmtId="174" fontId="53" fillId="0" borderId="0" xfId="0" applyNumberFormat="1" applyFont="1" applyFill="1" applyBorder="1" applyAlignment="1" applyProtection="1"/>
    <xf numFmtId="180" fontId="0" fillId="0" borderId="0" xfId="0" applyNumberFormat="1" applyFill="1" applyBorder="1"/>
    <xf numFmtId="174" fontId="80" fillId="0" borderId="0" xfId="0" applyFont="1"/>
    <xf numFmtId="174" fontId="80" fillId="0" borderId="0" xfId="0" applyFont="1" applyAlignment="1">
      <alignment horizontal="left" vertical="center"/>
    </xf>
    <xf numFmtId="174" fontId="69" fillId="35" borderId="0" xfId="0" applyFont="1" applyFill="1" applyBorder="1" applyAlignment="1">
      <alignment vertical="center" wrapText="1"/>
    </xf>
    <xf numFmtId="183" fontId="0" fillId="0" borderId="0" xfId="0" applyNumberFormat="1"/>
    <xf numFmtId="49" fontId="61" fillId="0" borderId="0" xfId="0" applyNumberFormat="1" applyFont="1"/>
    <xf numFmtId="3" fontId="53" fillId="0" borderId="0" xfId="0" applyNumberFormat="1" applyFont="1" applyFill="1" applyBorder="1" applyAlignment="1" applyProtection="1"/>
    <xf numFmtId="174" fontId="80" fillId="0" borderId="0" xfId="0" applyNumberFormat="1" applyFont="1" applyBorder="1"/>
    <xf numFmtId="43" fontId="0" fillId="0" borderId="0" xfId="0" applyNumberFormat="1" applyFont="1" applyBorder="1" applyAlignment="1">
      <alignment horizontal="left"/>
    </xf>
    <xf numFmtId="10" fontId="47" fillId="0" borderId="0" xfId="551" applyNumberFormat="1" applyFont="1" applyBorder="1"/>
    <xf numFmtId="174" fontId="80" fillId="0" borderId="0" xfId="0" applyFont="1" applyAlignment="1">
      <alignment horizontal="center" vertical="center"/>
    </xf>
    <xf numFmtId="174" fontId="0" fillId="0" borderId="0" xfId="0" applyAlignment="1">
      <alignment horizontal="center" vertical="center"/>
    </xf>
    <xf numFmtId="174" fontId="0" fillId="0" borderId="0" xfId="0" applyFill="1" applyBorder="1" applyAlignment="1">
      <alignment horizontal="center" vertical="center"/>
    </xf>
    <xf numFmtId="174" fontId="82" fillId="27" borderId="0" xfId="0" applyFont="1" applyFill="1" applyBorder="1" applyAlignment="1">
      <alignment horizontal="center" vertical="center" wrapText="1"/>
    </xf>
    <xf numFmtId="172" fontId="0" fillId="0" borderId="0" xfId="0" applyNumberFormat="1" applyFill="1" applyBorder="1" applyAlignment="1">
      <alignment vertical="center"/>
    </xf>
    <xf numFmtId="167" fontId="61" fillId="0" borderId="0" xfId="323" applyNumberFormat="1" applyFont="1" applyFill="1" applyBorder="1" applyAlignment="1">
      <alignment horizontal="center"/>
    </xf>
    <xf numFmtId="10" fontId="0" fillId="0" borderId="0" xfId="551" applyNumberFormat="1" applyFont="1"/>
    <xf numFmtId="174" fontId="49" fillId="0" borderId="0" xfId="0" applyFont="1"/>
    <xf numFmtId="9" fontId="0" fillId="0" borderId="0" xfId="551" applyFont="1" applyFill="1" applyBorder="1"/>
    <xf numFmtId="10" fontId="0" fillId="0" borderId="0" xfId="551" applyNumberFormat="1" applyFont="1" applyFill="1" applyBorder="1"/>
    <xf numFmtId="9" fontId="0" fillId="0" borderId="0" xfId="551" applyNumberFormat="1" applyFont="1" applyFill="1" applyBorder="1"/>
    <xf numFmtId="9" fontId="0" fillId="27" borderId="0" xfId="551" applyFont="1" applyFill="1"/>
    <xf numFmtId="10" fontId="0" fillId="0" borderId="0" xfId="551" applyNumberFormat="1" applyFont="1" applyBorder="1"/>
    <xf numFmtId="174" fontId="0" fillId="0" borderId="0" xfId="0" applyBorder="1" applyAlignment="1">
      <alignment vertical="center"/>
    </xf>
    <xf numFmtId="0" fontId="73" fillId="0" borderId="0" xfId="579" applyFont="1" applyAlignment="1">
      <alignment vertical="center"/>
    </xf>
    <xf numFmtId="0" fontId="47" fillId="0" borderId="0" xfId="579"/>
    <xf numFmtId="43" fontId="47" fillId="0" borderId="0" xfId="579" applyNumberFormat="1"/>
    <xf numFmtId="43" fontId="0" fillId="0" borderId="0" xfId="323" applyFont="1"/>
    <xf numFmtId="174" fontId="61" fillId="0" borderId="0" xfId="0" applyFont="1" applyBorder="1" applyAlignment="1">
      <alignment horizontal="left" vertical="top"/>
    </xf>
    <xf numFmtId="174" fontId="0" fillId="0" borderId="0" xfId="0" applyFont="1" applyBorder="1"/>
    <xf numFmtId="3" fontId="53" fillId="0" borderId="0" xfId="325" applyNumberFormat="1" applyFont="1" applyFill="1" applyBorder="1"/>
    <xf numFmtId="17" fontId="90" fillId="0" borderId="0" xfId="0" applyNumberFormat="1" applyFont="1" applyFill="1" applyBorder="1" applyAlignment="1">
      <alignment horizontal="center"/>
    </xf>
    <xf numFmtId="176" fontId="47" fillId="0" borderId="0" xfId="551" applyNumberFormat="1" applyFont="1"/>
    <xf numFmtId="171" fontId="0" fillId="0" borderId="0" xfId="551" applyNumberFormat="1" applyFont="1"/>
    <xf numFmtId="10" fontId="90" fillId="0" borderId="0" xfId="551" applyNumberFormat="1" applyFont="1" applyFill="1" applyBorder="1" applyAlignment="1">
      <alignment horizontal="center"/>
    </xf>
    <xf numFmtId="174" fontId="89" fillId="27" borderId="0" xfId="0" applyFont="1" applyFill="1" applyBorder="1" applyAlignment="1">
      <alignment horizontal="center" vertical="top" wrapText="1"/>
    </xf>
    <xf numFmtId="49" fontId="52" fillId="0" borderId="0" xfId="0" applyNumberFormat="1" applyFont="1" applyFill="1" applyBorder="1" applyAlignment="1">
      <alignment horizontal="center" vertical="center" wrapText="1"/>
    </xf>
    <xf numFmtId="174" fontId="82" fillId="0" borderId="0" xfId="0" applyFont="1" applyFill="1" applyBorder="1" applyAlignment="1">
      <alignment horizontal="center" vertical="center" wrapText="1"/>
    </xf>
    <xf numFmtId="174" fontId="69" fillId="0" borderId="0" xfId="0" applyFont="1" applyFill="1" applyBorder="1" applyAlignment="1">
      <alignment vertical="center" wrapText="1"/>
    </xf>
    <xf numFmtId="174" fontId="86" fillId="0" borderId="0" xfId="0" applyFont="1" applyFill="1" applyBorder="1" applyAlignment="1">
      <alignment horizontal="center" vertical="center" wrapText="1"/>
    </xf>
    <xf numFmtId="174" fontId="71" fillId="0" borderId="0" xfId="0" applyFont="1" applyFill="1" applyBorder="1" applyAlignment="1">
      <alignment horizontal="center" vertical="center" wrapText="1"/>
    </xf>
    <xf numFmtId="174" fontId="0" fillId="27" borderId="0" xfId="0" applyFill="1" applyAlignment="1"/>
    <xf numFmtId="174" fontId="82" fillId="28" borderId="0" xfId="0" applyFont="1" applyFill="1" applyBorder="1" applyAlignment="1">
      <alignment horizontal="center" vertical="center" wrapText="1"/>
    </xf>
    <xf numFmtId="174" fontId="0" fillId="31" borderId="0" xfId="0" applyFill="1"/>
    <xf numFmtId="174" fontId="96" fillId="0" borderId="0" xfId="0" applyFont="1"/>
    <xf numFmtId="174" fontId="0" fillId="0" borderId="0" xfId="0" applyBorder="1" applyAlignment="1"/>
    <xf numFmtId="174" fontId="50" fillId="0" borderId="0" xfId="0" applyFont="1"/>
    <xf numFmtId="174" fontId="0" fillId="0" borderId="0" xfId="0" applyFill="1" applyBorder="1" applyAlignment="1">
      <alignment horizontal="center"/>
    </xf>
    <xf numFmtId="174" fontId="79" fillId="0" borderId="0" xfId="0" applyFont="1" applyFill="1" applyBorder="1" applyAlignment="1">
      <alignment horizontal="center" vertical="center" wrapText="1"/>
    </xf>
    <xf numFmtId="43" fontId="34" fillId="0" borderId="0" xfId="328" applyFont="1" applyFill="1" applyBorder="1" applyAlignment="1">
      <alignment horizontal="right"/>
    </xf>
    <xf numFmtId="43" fontId="34" fillId="0" borderId="0" xfId="328" applyFont="1" applyFill="1" applyBorder="1"/>
    <xf numFmtId="0" fontId="66" fillId="0" borderId="0" xfId="0" applyNumberFormat="1" applyFont="1" applyFill="1" applyBorder="1" applyAlignment="1">
      <alignment horizontal="center" vertical="center" wrapText="1"/>
    </xf>
    <xf numFmtId="0" fontId="66" fillId="0" borderId="0" xfId="0" applyNumberFormat="1" applyFont="1" applyFill="1" applyBorder="1" applyAlignment="1">
      <alignment horizontal="center" vertical="center"/>
    </xf>
    <xf numFmtId="49" fontId="68" fillId="0" borderId="0" xfId="0" applyNumberFormat="1" applyFont="1" applyFill="1" applyBorder="1" applyAlignment="1">
      <alignment horizontal="center" vertical="center" wrapText="1"/>
    </xf>
    <xf numFmtId="174" fontId="0" fillId="0" borderId="0" xfId="450" applyFont="1"/>
    <xf numFmtId="3" fontId="97" fillId="24" borderId="0" xfId="0" applyNumberFormat="1" applyFont="1" applyFill="1" applyBorder="1" applyAlignment="1">
      <alignment horizontal="center"/>
    </xf>
    <xf numFmtId="43" fontId="0" fillId="0" borderId="0" xfId="0" applyNumberFormat="1" applyBorder="1" applyAlignment="1">
      <alignment horizontal="left" indent="1"/>
    </xf>
    <xf numFmtId="43" fontId="68" fillId="26" borderId="16" xfId="0" applyNumberFormat="1" applyFont="1" applyFill="1" applyBorder="1" applyAlignment="1">
      <alignment horizontal="center" vertical="center" wrapText="1"/>
    </xf>
    <xf numFmtId="174" fontId="0" fillId="0" borderId="0" xfId="0" applyAlignment="1">
      <alignment horizontal="left"/>
    </xf>
    <xf numFmtId="41" fontId="0" fillId="0" borderId="0" xfId="0" applyNumberFormat="1"/>
    <xf numFmtId="10" fontId="0" fillId="0" borderId="0" xfId="0" applyNumberFormat="1" applyBorder="1" applyAlignment="1">
      <alignment vertical="center"/>
    </xf>
    <xf numFmtId="10" fontId="0" fillId="0" borderId="0" xfId="551" applyNumberFormat="1" applyFont="1" applyBorder="1" applyAlignment="1">
      <alignment vertical="center"/>
    </xf>
    <xf numFmtId="171" fontId="0" fillId="0" borderId="0" xfId="551" applyNumberFormat="1" applyFont="1" applyBorder="1"/>
    <xf numFmtId="49" fontId="52" fillId="30" borderId="0" xfId="0" applyNumberFormat="1" applyFont="1" applyFill="1" applyBorder="1" applyAlignment="1">
      <alignment horizontal="center" vertical="center" wrapText="1"/>
    </xf>
    <xf numFmtId="174" fontId="52" fillId="0" borderId="0" xfId="0" applyNumberFormat="1" applyFont="1" applyAlignment="1">
      <alignment horizontal="center"/>
    </xf>
    <xf numFmtId="43" fontId="0" fillId="0" borderId="0" xfId="0" applyNumberFormat="1" applyAlignment="1">
      <alignment vertical="center"/>
    </xf>
    <xf numFmtId="0" fontId="100" fillId="0" borderId="0" xfId="626" applyFont="1"/>
    <xf numFmtId="171" fontId="100" fillId="0" borderId="0" xfId="626" applyNumberFormat="1" applyFont="1"/>
    <xf numFmtId="171" fontId="0" fillId="0" borderId="0" xfId="551" applyNumberFormat="1" applyFont="1" applyFill="1" applyBorder="1"/>
    <xf numFmtId="174" fontId="0" fillId="0" borderId="13" xfId="0" applyBorder="1"/>
    <xf numFmtId="9" fontId="0" fillId="0" borderId="0" xfId="551" applyFont="1"/>
    <xf numFmtId="9" fontId="0" fillId="0" borderId="0" xfId="551" applyNumberFormat="1" applyFont="1"/>
    <xf numFmtId="174" fontId="0" fillId="0" borderId="0" xfId="0" applyAlignment="1"/>
    <xf numFmtId="10" fontId="0" fillId="35" borderId="0" xfId="0" applyNumberFormat="1" applyFill="1" applyBorder="1" applyAlignment="1">
      <alignment horizontal="right"/>
    </xf>
    <xf numFmtId="174" fontId="61" fillId="0" borderId="0" xfId="0" applyFont="1" applyAlignment="1">
      <alignment vertical="center"/>
    </xf>
    <xf numFmtId="174" fontId="0" fillId="37" borderId="24" xfId="0" applyFill="1" applyBorder="1" applyAlignment="1">
      <alignment vertical="center" wrapText="1"/>
    </xf>
    <xf numFmtId="174" fontId="0" fillId="37" borderId="24" xfId="0" applyFill="1" applyBorder="1" applyAlignment="1">
      <alignment horizontal="right" vertical="center" wrapText="1"/>
    </xf>
    <xf numFmtId="174" fontId="51" fillId="37" borderId="24" xfId="0" applyFont="1" applyFill="1" applyBorder="1" applyAlignment="1">
      <alignment horizontal="right" vertical="center" wrapText="1"/>
    </xf>
    <xf numFmtId="174" fontId="51" fillId="37" borderId="24" xfId="0" applyFont="1" applyFill="1" applyBorder="1" applyAlignment="1">
      <alignment horizontal="center" vertical="center" wrapText="1"/>
    </xf>
    <xf numFmtId="174" fontId="68" fillId="0" borderId="0" xfId="0" applyFont="1"/>
    <xf numFmtId="174" fontId="49" fillId="0" borderId="0" xfId="0" applyFont="1" applyFill="1" applyBorder="1" applyAlignment="1">
      <alignment horizontal="center" vertical="center" wrapText="1"/>
    </xf>
    <xf numFmtId="174" fontId="0" fillId="0" borderId="0" xfId="0" applyNumberFormat="1" applyFont="1" applyBorder="1"/>
    <xf numFmtId="49" fontId="68" fillId="30" borderId="0" xfId="0" applyNumberFormat="1" applyFont="1" applyFill="1" applyBorder="1" applyAlignment="1">
      <alignment horizontal="center" vertical="center" wrapText="1"/>
    </xf>
    <xf numFmtId="171" fontId="61" fillId="0" borderId="0" xfId="323" applyNumberFormat="1" applyFont="1" applyBorder="1" applyAlignment="1">
      <alignment horizontal="right"/>
    </xf>
    <xf numFmtId="171" fontId="68" fillId="30" borderId="0" xfId="0" applyNumberFormat="1" applyFont="1" applyFill="1" applyBorder="1"/>
    <xf numFmtId="0" fontId="0" fillId="0" borderId="0" xfId="579" applyFont="1"/>
    <xf numFmtId="43" fontId="110" fillId="0" borderId="13" xfId="607" applyFont="1" applyFill="1" applyBorder="1" applyAlignment="1">
      <alignment horizontal="right"/>
    </xf>
    <xf numFmtId="49" fontId="108" fillId="25" borderId="13" xfId="0" applyNumberFormat="1" applyFont="1" applyFill="1" applyBorder="1" applyAlignment="1">
      <alignment horizontal="center" vertical="center" wrapText="1"/>
    </xf>
    <xf numFmtId="174" fontId="111" fillId="25" borderId="13" xfId="0" applyFont="1" applyFill="1" applyBorder="1" applyAlignment="1">
      <alignment horizontal="center" vertical="center" wrapText="1"/>
    </xf>
    <xf numFmtId="181" fontId="111" fillId="25" borderId="13" xfId="0" applyNumberFormat="1" applyFont="1" applyFill="1" applyBorder="1" applyAlignment="1">
      <alignment horizontal="center" vertical="center" wrapText="1"/>
    </xf>
    <xf numFmtId="49" fontId="108" fillId="25" borderId="15" xfId="0" applyNumberFormat="1" applyFont="1" applyFill="1" applyBorder="1" applyAlignment="1">
      <alignment horizontal="center" vertical="center" wrapText="1"/>
    </xf>
    <xf numFmtId="174" fontId="111" fillId="25" borderId="13" xfId="0" applyFont="1" applyFill="1" applyBorder="1" applyAlignment="1">
      <alignment horizontal="left" vertical="center" wrapText="1"/>
    </xf>
    <xf numFmtId="181" fontId="111" fillId="25" borderId="13" xfId="0" applyNumberFormat="1" applyFont="1" applyFill="1" applyBorder="1" applyAlignment="1">
      <alignment horizontal="left" vertical="center" wrapText="1"/>
    </xf>
    <xf numFmtId="174" fontId="107" fillId="0" borderId="0" xfId="0" applyFont="1" applyBorder="1" applyAlignment="1">
      <alignment horizontal="center" vertical="center"/>
    </xf>
    <xf numFmtId="43" fontId="110" fillId="34" borderId="13" xfId="607" applyFont="1" applyFill="1" applyBorder="1" applyAlignment="1">
      <alignment horizontal="center" vertical="center"/>
    </xf>
    <xf numFmtId="49" fontId="108" fillId="34" borderId="13" xfId="0" applyNumberFormat="1" applyFont="1" applyFill="1" applyBorder="1" applyAlignment="1">
      <alignment horizontal="center" vertical="center" wrapText="1"/>
    </xf>
    <xf numFmtId="174" fontId="109" fillId="33" borderId="0" xfId="0" applyFont="1" applyFill="1" applyBorder="1" applyAlignment="1">
      <alignment vertical="center"/>
    </xf>
    <xf numFmtId="174" fontId="115" fillId="0" borderId="0" xfId="0" applyFont="1"/>
    <xf numFmtId="3" fontId="64" fillId="0" borderId="0" xfId="336" applyNumberFormat="1" applyFont="1" applyFill="1" applyBorder="1" applyAlignment="1"/>
    <xf numFmtId="10" fontId="64" fillId="0" borderId="0" xfId="328" applyNumberFormat="1" applyFont="1" applyFill="1" applyBorder="1" applyAlignment="1">
      <alignment horizontal="center" vertical="center" wrapText="1"/>
    </xf>
    <xf numFmtId="43" fontId="64" fillId="0" borderId="0" xfId="336" applyNumberFormat="1" applyFont="1" applyFill="1" applyBorder="1" applyAlignment="1">
      <alignment horizontal="right"/>
    </xf>
    <xf numFmtId="3" fontId="73" fillId="0" borderId="0" xfId="0" applyNumberFormat="1" applyFont="1" applyFill="1" applyBorder="1"/>
    <xf numFmtId="10" fontId="86" fillId="0" borderId="0" xfId="328" applyNumberFormat="1" applyFont="1" applyFill="1" applyBorder="1" applyAlignment="1">
      <alignment horizontal="center" vertical="center" wrapText="1"/>
    </xf>
    <xf numFmtId="174" fontId="73" fillId="0" borderId="0" xfId="0" applyNumberFormat="1" applyFont="1" applyFill="1" applyBorder="1" applyAlignment="1">
      <alignment horizontal="center" vertical="center" wrapText="1"/>
    </xf>
    <xf numFmtId="174" fontId="86" fillId="0" borderId="0" xfId="0" applyNumberFormat="1" applyFont="1" applyFill="1" applyBorder="1" applyAlignment="1">
      <alignment horizontal="center" vertical="center" wrapText="1"/>
    </xf>
    <xf numFmtId="174" fontId="0" fillId="0" borderId="0" xfId="0" applyAlignment="1">
      <alignment horizontal="center"/>
    </xf>
    <xf numFmtId="3" fontId="83" fillId="0" borderId="0" xfId="388" applyNumberFormat="1" applyFont="1" applyFill="1" applyBorder="1" applyAlignment="1">
      <alignment horizontal="center"/>
    </xf>
    <xf numFmtId="177" fontId="55" fillId="0" borderId="0" xfId="388" applyNumberFormat="1" applyFont="1"/>
    <xf numFmtId="171" fontId="0" fillId="27" borderId="0" xfId="551" applyNumberFormat="1" applyFont="1" applyFill="1"/>
    <xf numFmtId="186" fontId="0" fillId="27" borderId="0" xfId="0" applyNumberFormat="1" applyFill="1" applyAlignment="1"/>
    <xf numFmtId="186" fontId="0" fillId="27" borderId="0" xfId="0" applyNumberFormat="1" applyFill="1"/>
    <xf numFmtId="2" fontId="0" fillId="27" borderId="0" xfId="0" applyNumberFormat="1" applyFill="1"/>
    <xf numFmtId="164" fontId="0" fillId="27" borderId="0" xfId="0" applyNumberFormat="1" applyFill="1" applyAlignment="1"/>
    <xf numFmtId="164" fontId="0" fillId="27" borderId="0" xfId="551" applyNumberFormat="1" applyFont="1" applyFill="1" applyAlignment="1"/>
    <xf numFmtId="2" fontId="0" fillId="27" borderId="0" xfId="551" applyNumberFormat="1" applyFont="1" applyFill="1"/>
    <xf numFmtId="9" fontId="0" fillId="27" borderId="0" xfId="551" applyFont="1" applyFill="1" applyAlignment="1"/>
    <xf numFmtId="188" fontId="0" fillId="27" borderId="0" xfId="0" applyNumberFormat="1" applyFill="1"/>
    <xf numFmtId="188" fontId="0" fillId="27" borderId="0" xfId="0" applyNumberFormat="1" applyFill="1" applyBorder="1"/>
    <xf numFmtId="174" fontId="63" fillId="27" borderId="0" xfId="0" applyFont="1" applyFill="1" applyBorder="1"/>
    <xf numFmtId="174" fontId="0" fillId="0" borderId="0" xfId="0" applyAlignment="1">
      <alignment horizontal="center"/>
    </xf>
    <xf numFmtId="3" fontId="83" fillId="27" borderId="0" xfId="328" applyNumberFormat="1" applyFont="1" applyFill="1" applyBorder="1" applyAlignment="1">
      <alignment horizontal="right" vertical="center"/>
    </xf>
    <xf numFmtId="3" fontId="83" fillId="27" borderId="0" xfId="328" applyNumberFormat="1" applyFont="1" applyFill="1" applyBorder="1" applyAlignment="1">
      <alignment vertical="center"/>
    </xf>
    <xf numFmtId="174" fontId="53" fillId="27" borderId="0" xfId="0" applyNumberFormat="1" applyFont="1" applyFill="1" applyBorder="1" applyAlignment="1">
      <alignment horizontal="center" vertical="center" wrapText="1"/>
    </xf>
    <xf numFmtId="3" fontId="53" fillId="0" borderId="0" xfId="325" applyNumberFormat="1" applyFont="1" applyFill="1" applyBorder="1" applyAlignment="1">
      <alignment vertical="center"/>
    </xf>
    <xf numFmtId="3" fontId="53" fillId="27" borderId="0" xfId="325" applyNumberFormat="1" applyFont="1" applyFill="1" applyBorder="1" applyAlignment="1">
      <alignment horizontal="center" vertical="center"/>
    </xf>
    <xf numFmtId="3" fontId="53" fillId="27" borderId="0" xfId="325" applyNumberFormat="1" applyFont="1" applyFill="1" applyBorder="1" applyAlignment="1">
      <alignment horizontal="center" vertical="center" wrapText="1"/>
    </xf>
    <xf numFmtId="3" fontId="95" fillId="27" borderId="0" xfId="325" applyNumberFormat="1" applyFont="1" applyFill="1" applyBorder="1" applyAlignment="1">
      <alignment horizontal="right" wrapText="1"/>
    </xf>
    <xf numFmtId="3" fontId="95" fillId="27" borderId="0" xfId="325" applyNumberFormat="1" applyFont="1" applyFill="1" applyBorder="1" applyAlignment="1">
      <alignment horizontal="right"/>
    </xf>
    <xf numFmtId="3" fontId="95" fillId="27" borderId="0" xfId="325" applyNumberFormat="1" applyFont="1" applyFill="1" applyBorder="1" applyAlignment="1">
      <alignment horizontal="right" vertical="center" wrapText="1"/>
    </xf>
    <xf numFmtId="49" fontId="95" fillId="27" borderId="0" xfId="0" applyNumberFormat="1" applyFont="1" applyFill="1" applyBorder="1" applyAlignment="1">
      <alignment horizontal="center" vertical="center"/>
    </xf>
    <xf numFmtId="3" fontId="95" fillId="27" borderId="0" xfId="0" applyNumberFormat="1" applyFont="1" applyFill="1" applyBorder="1" applyAlignment="1">
      <alignment horizontal="right"/>
    </xf>
    <xf numFmtId="10" fontId="95" fillId="27" borderId="0" xfId="0" applyNumberFormat="1" applyFont="1" applyFill="1" applyBorder="1" applyAlignment="1">
      <alignment horizontal="right"/>
    </xf>
    <xf numFmtId="3" fontId="53" fillId="27" borderId="0" xfId="328" applyNumberFormat="1" applyFont="1" applyFill="1" applyBorder="1" applyAlignment="1">
      <alignment horizontal="center" vertical="center"/>
    </xf>
    <xf numFmtId="3" fontId="81" fillId="27" borderId="0" xfId="0" applyNumberFormat="1" applyFont="1" applyFill="1" applyBorder="1" applyAlignment="1">
      <alignment horizontal="center"/>
    </xf>
    <xf numFmtId="171" fontId="55" fillId="27" borderId="0" xfId="388" applyNumberFormat="1" applyFont="1" applyFill="1" applyBorder="1"/>
    <xf numFmtId="171" fontId="55" fillId="27" borderId="0" xfId="0" applyNumberFormat="1" applyFont="1" applyFill="1" applyBorder="1"/>
    <xf numFmtId="38" fontId="83" fillId="27" borderId="0" xfId="0" applyNumberFormat="1" applyFont="1" applyFill="1" applyBorder="1"/>
    <xf numFmtId="180" fontId="0" fillId="0" borderId="0" xfId="0" applyNumberFormat="1"/>
    <xf numFmtId="171" fontId="53" fillId="27" borderId="0" xfId="0" applyNumberFormat="1" applyFont="1" applyFill="1" applyBorder="1"/>
    <xf numFmtId="3" fontId="83" fillId="0" borderId="0" xfId="0" applyNumberFormat="1" applyFont="1" applyFill="1" applyBorder="1" applyAlignment="1" applyProtection="1">
      <alignment horizontal="center"/>
    </xf>
    <xf numFmtId="3" fontId="83" fillId="27" borderId="0" xfId="0" applyNumberFormat="1" applyFont="1" applyFill="1" applyBorder="1" applyAlignment="1" applyProtection="1">
      <alignment horizontal="center"/>
    </xf>
    <xf numFmtId="167" fontId="53" fillId="27" borderId="0" xfId="323" applyNumberFormat="1" applyFont="1" applyFill="1" applyBorder="1"/>
    <xf numFmtId="174" fontId="47" fillId="0" borderId="0" xfId="633" applyFont="1"/>
    <xf numFmtId="174" fontId="47" fillId="0" borderId="0" xfId="633" applyFont="1" applyBorder="1"/>
    <xf numFmtId="9" fontId="47" fillId="0" borderId="0" xfId="551" applyFont="1" applyBorder="1"/>
    <xf numFmtId="174" fontId="47" fillId="0" borderId="0" xfId="636" applyBorder="1"/>
    <xf numFmtId="174" fontId="47" fillId="0" borderId="0" xfId="633" applyFont="1" applyBorder="1" applyAlignment="1"/>
    <xf numFmtId="174" fontId="47" fillId="0" borderId="0" xfId="636"/>
    <xf numFmtId="174" fontId="89" fillId="0" borderId="0" xfId="0" applyFont="1" applyFill="1" applyBorder="1" applyAlignment="1">
      <alignment horizontal="center" vertical="top" wrapText="1"/>
    </xf>
    <xf numFmtId="174" fontId="89" fillId="0" borderId="20" xfId="0" applyFont="1" applyFill="1" applyBorder="1" applyAlignment="1">
      <alignment horizontal="center" vertical="top" wrapText="1"/>
    </xf>
    <xf numFmtId="174" fontId="0" fillId="0" borderId="0" xfId="0" applyNumberFormat="1" applyFont="1" applyBorder="1" applyAlignment="1">
      <alignment horizontal="center"/>
    </xf>
    <xf numFmtId="174" fontId="0" fillId="0" borderId="0" xfId="0" applyFont="1" applyBorder="1" applyAlignment="1">
      <alignment horizontal="center"/>
    </xf>
    <xf numFmtId="174" fontId="0" fillId="0" borderId="0" xfId="0" applyFont="1" applyAlignment="1">
      <alignment horizontal="center"/>
    </xf>
    <xf numFmtId="174" fontId="55" fillId="27" borderId="0" xfId="0" applyNumberFormat="1" applyFont="1" applyFill="1" applyBorder="1" applyAlignment="1" applyProtection="1">
      <alignment vertical="center"/>
    </xf>
    <xf numFmtId="2" fontId="55" fillId="27" borderId="0" xfId="0" applyNumberFormat="1" applyFont="1" applyFill="1" applyBorder="1" applyAlignment="1" applyProtection="1">
      <alignment vertical="center"/>
    </xf>
    <xf numFmtId="186" fontId="0" fillId="27" borderId="0" xfId="0" applyNumberFormat="1" applyFill="1" applyAlignment="1">
      <alignment vertical="center"/>
    </xf>
    <xf numFmtId="2" fontId="0" fillId="27" borderId="0" xfId="0" applyNumberFormat="1" applyFill="1" applyAlignment="1">
      <alignment vertical="center"/>
    </xf>
    <xf numFmtId="171" fontId="0" fillId="27" borderId="0" xfId="551" applyNumberFormat="1" applyFont="1" applyFill="1" applyAlignment="1">
      <alignment vertical="center"/>
    </xf>
    <xf numFmtId="174" fontId="0" fillId="27" borderId="0" xfId="0" applyFill="1" applyAlignment="1">
      <alignment vertical="center"/>
    </xf>
    <xf numFmtId="9" fontId="0" fillId="27" borderId="0" xfId="551" applyFont="1" applyFill="1" applyAlignment="1">
      <alignment vertical="center"/>
    </xf>
    <xf numFmtId="49" fontId="82" fillId="0" borderId="13" xfId="0" applyNumberFormat="1" applyFont="1" applyFill="1" applyBorder="1" applyAlignment="1">
      <alignment horizontal="center" vertical="center" wrapText="1"/>
    </xf>
    <xf numFmtId="49" fontId="82" fillId="0" borderId="19" xfId="0" applyNumberFormat="1" applyFont="1" applyFill="1" applyBorder="1" applyAlignment="1" applyProtection="1">
      <alignment horizontal="center" vertical="center"/>
    </xf>
    <xf numFmtId="174" fontId="82" fillId="0" borderId="13" xfId="0" applyNumberFormat="1" applyFont="1" applyFill="1" applyBorder="1" applyAlignment="1" applyProtection="1">
      <alignment horizontal="center" vertical="center" wrapText="1"/>
    </xf>
    <xf numFmtId="174" fontId="85" fillId="0" borderId="23" xfId="0" applyNumberFormat="1" applyFont="1" applyFill="1" applyBorder="1" applyAlignment="1">
      <alignment horizontal="center" vertical="center" wrapText="1"/>
    </xf>
    <xf numFmtId="174" fontId="85" fillId="0" borderId="16" xfId="0" applyNumberFormat="1" applyFont="1" applyFill="1" applyBorder="1" applyAlignment="1">
      <alignment horizontal="center" vertical="center" wrapText="1"/>
    </xf>
    <xf numFmtId="174" fontId="85" fillId="0" borderId="13" xfId="0" applyNumberFormat="1" applyFont="1" applyFill="1" applyBorder="1" applyAlignment="1">
      <alignment horizontal="center" vertical="center" wrapText="1"/>
    </xf>
    <xf numFmtId="49" fontId="85" fillId="0" borderId="19" xfId="0" applyNumberFormat="1" applyFont="1" applyFill="1" applyBorder="1" applyAlignment="1">
      <alignment horizontal="center" vertical="center"/>
    </xf>
    <xf numFmtId="174" fontId="53" fillId="27" borderId="0" xfId="0" applyNumberFormat="1" applyFont="1" applyFill="1" applyBorder="1" applyAlignment="1">
      <alignment horizontal="center" vertical="center"/>
    </xf>
    <xf numFmtId="174" fontId="85" fillId="0" borderId="23" xfId="0" applyNumberFormat="1" applyFont="1" applyFill="1" applyBorder="1" applyAlignment="1">
      <alignment horizontal="center" vertical="center"/>
    </xf>
    <xf numFmtId="174" fontId="116" fillId="0" borderId="0" xfId="0" applyFont="1" applyFill="1" applyBorder="1" applyAlignment="1">
      <alignment horizontal="center" vertical="center" wrapText="1"/>
    </xf>
    <xf numFmtId="174" fontId="82" fillId="0" borderId="23" xfId="388" applyNumberFormat="1" applyFont="1" applyFill="1" applyBorder="1" applyAlignment="1">
      <alignment horizontal="center" vertical="center" wrapText="1"/>
    </xf>
    <xf numFmtId="174" fontId="82" fillId="0" borderId="13" xfId="388" applyNumberFormat="1" applyFont="1" applyFill="1" applyBorder="1" applyAlignment="1">
      <alignment horizontal="center" vertical="center"/>
    </xf>
    <xf numFmtId="174" fontId="69" fillId="27" borderId="23" xfId="0" applyNumberFormat="1" applyFont="1" applyFill="1" applyBorder="1" applyAlignment="1">
      <alignment horizontal="center" vertical="center" wrapText="1"/>
    </xf>
    <xf numFmtId="174" fontId="69" fillId="27" borderId="16" xfId="0" applyNumberFormat="1" applyFont="1" applyFill="1" applyBorder="1" applyAlignment="1">
      <alignment horizontal="center" vertical="center" wrapText="1"/>
    </xf>
    <xf numFmtId="174" fontId="69" fillId="27" borderId="15" xfId="0" applyNumberFormat="1" applyFont="1" applyFill="1" applyBorder="1" applyAlignment="1">
      <alignment horizontal="center" vertical="center" wrapText="1"/>
    </xf>
    <xf numFmtId="43" fontId="82" fillId="27" borderId="23" xfId="394" applyNumberFormat="1" applyFont="1" applyFill="1" applyBorder="1" applyAlignment="1">
      <alignment horizontal="center" vertical="center" wrapText="1"/>
    </xf>
    <xf numFmtId="43" fontId="82" fillId="27" borderId="13" xfId="394" applyNumberFormat="1" applyFont="1" applyFill="1" applyBorder="1" applyAlignment="1">
      <alignment horizontal="center" vertical="center"/>
    </xf>
    <xf numFmtId="174" fontId="69" fillId="27" borderId="23" xfId="388" applyNumberFormat="1" applyFont="1" applyFill="1" applyBorder="1" applyAlignment="1">
      <alignment horizontal="center" vertical="center" wrapText="1"/>
    </xf>
    <xf numFmtId="174" fontId="69" fillId="27" borderId="16" xfId="388" applyNumberFormat="1" applyFont="1" applyFill="1" applyBorder="1" applyAlignment="1">
      <alignment horizontal="center" vertical="center" wrapText="1"/>
    </xf>
    <xf numFmtId="174" fontId="69" fillId="27" borderId="13" xfId="388" applyNumberFormat="1" applyFont="1" applyFill="1" applyBorder="1" applyAlignment="1">
      <alignment horizontal="center" vertical="center"/>
    </xf>
    <xf numFmtId="0" fontId="69" fillId="27" borderId="19" xfId="388" applyNumberFormat="1" applyFont="1" applyFill="1" applyBorder="1" applyAlignment="1">
      <alignment horizontal="center" vertical="center"/>
    </xf>
    <xf numFmtId="174" fontId="82" fillId="0" borderId="13" xfId="336" applyNumberFormat="1" applyFont="1" applyFill="1" applyBorder="1" applyAlignment="1">
      <alignment horizontal="center" vertical="center" wrapText="1"/>
    </xf>
    <xf numFmtId="167" fontId="82" fillId="0" borderId="23" xfId="336" applyNumberFormat="1" applyFont="1" applyFill="1" applyBorder="1" applyAlignment="1">
      <alignment horizontal="center" vertical="center" wrapText="1"/>
    </xf>
    <xf numFmtId="17" fontId="121" fillId="0" borderId="0" xfId="0" applyNumberFormat="1" applyFont="1" applyFill="1" applyBorder="1" applyAlignment="1"/>
    <xf numFmtId="174" fontId="64" fillId="27" borderId="0" xfId="0" applyNumberFormat="1" applyFont="1" applyFill="1" applyBorder="1" applyAlignment="1"/>
    <xf numFmtId="174" fontId="74" fillId="0" borderId="0" xfId="0" applyFont="1" applyAlignment="1"/>
    <xf numFmtId="167" fontId="85" fillId="27" borderId="16" xfId="338" applyNumberFormat="1" applyFont="1" applyFill="1" applyBorder="1" applyAlignment="1">
      <alignment horizontal="center" vertical="center" wrapText="1"/>
    </xf>
    <xf numFmtId="167" fontId="85" fillId="27" borderId="23" xfId="338" applyNumberFormat="1" applyFont="1" applyFill="1" applyBorder="1" applyAlignment="1">
      <alignment horizontal="center" vertical="center" wrapText="1"/>
    </xf>
    <xf numFmtId="170" fontId="85" fillId="27" borderId="19" xfId="361" applyNumberFormat="1" applyFont="1" applyFill="1" applyBorder="1" applyAlignment="1">
      <alignment horizontal="left" vertical="center"/>
    </xf>
    <xf numFmtId="49" fontId="85" fillId="27" borderId="19" xfId="361" applyNumberFormat="1" applyFont="1" applyFill="1" applyBorder="1" applyAlignment="1">
      <alignment horizontal="left" vertical="center"/>
    </xf>
    <xf numFmtId="174" fontId="85" fillId="27" borderId="13" xfId="361" applyFont="1" applyFill="1" applyBorder="1" applyAlignment="1">
      <alignment horizontal="left" vertical="center"/>
    </xf>
    <xf numFmtId="174" fontId="88" fillId="0" borderId="0" xfId="0" applyFont="1" applyAlignment="1">
      <alignment horizontal="justify" vertical="justify" wrapText="1"/>
    </xf>
    <xf numFmtId="174" fontId="82" fillId="0" borderId="12" xfId="0" applyNumberFormat="1" applyFont="1" applyFill="1" applyBorder="1" applyAlignment="1" applyProtection="1">
      <alignment horizontal="center" vertical="center" wrapText="1"/>
    </xf>
    <xf numFmtId="174" fontId="82" fillId="0" borderId="27" xfId="0" applyNumberFormat="1" applyFont="1" applyFill="1" applyBorder="1" applyAlignment="1" applyProtection="1">
      <alignment horizontal="center" vertical="center" wrapText="1"/>
    </xf>
    <xf numFmtId="3" fontId="82" fillId="0" borderId="20" xfId="0" applyNumberFormat="1" applyFont="1" applyFill="1" applyBorder="1" applyAlignment="1" applyProtection="1"/>
    <xf numFmtId="3" fontId="82" fillId="0" borderId="15" xfId="0" applyNumberFormat="1" applyFont="1" applyFill="1" applyBorder="1" applyAlignment="1" applyProtection="1">
      <alignment vertical="center"/>
    </xf>
    <xf numFmtId="3" fontId="73" fillId="27" borderId="19" xfId="0" applyNumberFormat="1" applyFont="1" applyFill="1" applyBorder="1" applyAlignment="1"/>
    <xf numFmtId="49" fontId="85" fillId="27" borderId="14" xfId="0" applyNumberFormat="1" applyFont="1" applyFill="1" applyBorder="1" applyAlignment="1">
      <alignment horizontal="center" vertical="center"/>
    </xf>
    <xf numFmtId="49" fontId="73" fillId="27" borderId="19" xfId="0" applyNumberFormat="1" applyFont="1" applyFill="1" applyBorder="1" applyAlignment="1">
      <alignment horizontal="center" vertical="center"/>
    </xf>
    <xf numFmtId="3" fontId="74" fillId="27" borderId="0" xfId="328" applyNumberFormat="1" applyFont="1" applyFill="1" applyBorder="1" applyAlignment="1"/>
    <xf numFmtId="49" fontId="73" fillId="27" borderId="14" xfId="0" applyNumberFormat="1" applyFont="1" applyFill="1" applyBorder="1" applyAlignment="1">
      <alignment horizontal="center" vertical="center"/>
    </xf>
    <xf numFmtId="171" fontId="73" fillId="27" borderId="0" xfId="328" applyNumberFormat="1" applyFont="1" applyFill="1" applyBorder="1" applyAlignment="1">
      <alignment horizontal="right" vertical="center" wrapText="1"/>
    </xf>
    <xf numFmtId="43" fontId="73" fillId="27" borderId="26" xfId="336" applyNumberFormat="1" applyFont="1" applyFill="1" applyBorder="1" applyAlignment="1">
      <alignment horizontal="right"/>
    </xf>
    <xf numFmtId="171" fontId="73" fillId="27" borderId="26" xfId="551" applyNumberFormat="1" applyFont="1" applyFill="1" applyBorder="1" applyAlignment="1">
      <alignment horizontal="right" vertical="center" wrapText="1"/>
    </xf>
    <xf numFmtId="171" fontId="73" fillId="27" borderId="11" xfId="328" applyNumberFormat="1" applyFont="1" applyFill="1" applyBorder="1" applyAlignment="1">
      <alignment horizontal="right" vertical="center" wrapText="1"/>
    </xf>
    <xf numFmtId="171" fontId="73" fillId="27" borderId="22" xfId="551" applyNumberFormat="1" applyFont="1" applyFill="1" applyBorder="1" applyAlignment="1">
      <alignment horizontal="right" vertical="center" wrapText="1"/>
    </xf>
    <xf numFmtId="3" fontId="73" fillId="27" borderId="17" xfId="0" applyNumberFormat="1" applyFont="1" applyFill="1" applyBorder="1" applyAlignment="1"/>
    <xf numFmtId="3" fontId="73" fillId="27" borderId="14" xfId="0" applyNumberFormat="1" applyFont="1" applyFill="1" applyBorder="1" applyAlignment="1"/>
    <xf numFmtId="174" fontId="85" fillId="0" borderId="13" xfId="0" applyNumberFormat="1" applyFont="1" applyFill="1" applyBorder="1" applyAlignment="1">
      <alignment horizontal="center" vertical="center"/>
    </xf>
    <xf numFmtId="189" fontId="67" fillId="0" borderId="0" xfId="0" applyNumberFormat="1" applyFont="1" applyBorder="1" applyAlignment="1">
      <alignment vertical="top" wrapText="1"/>
    </xf>
    <xf numFmtId="189" fontId="67" fillId="0" borderId="0" xfId="0" applyNumberFormat="1" applyFont="1" applyBorder="1" applyAlignment="1">
      <alignment vertical="top"/>
    </xf>
    <xf numFmtId="174" fontId="67" fillId="0" borderId="0" xfId="0" applyNumberFormat="1" applyFont="1" applyBorder="1" applyAlignment="1">
      <alignment vertical="top"/>
    </xf>
    <xf numFmtId="3" fontId="83" fillId="0" borderId="21" xfId="388" applyNumberFormat="1" applyFont="1" applyFill="1" applyBorder="1" applyAlignment="1">
      <alignment horizontal="center"/>
    </xf>
    <xf numFmtId="3" fontId="83" fillId="0" borderId="12" xfId="388" applyNumberFormat="1" applyFont="1" applyFill="1" applyBorder="1" applyAlignment="1">
      <alignment horizontal="center"/>
    </xf>
    <xf numFmtId="3" fontId="83" fillId="0" borderId="20" xfId="388" applyNumberFormat="1" applyFont="1" applyFill="1" applyBorder="1" applyAlignment="1">
      <alignment horizontal="center"/>
    </xf>
    <xf numFmtId="3" fontId="123" fillId="0" borderId="20" xfId="388" applyNumberFormat="1" applyFont="1" applyFill="1" applyBorder="1" applyAlignment="1">
      <alignment horizontal="center"/>
    </xf>
    <xf numFmtId="3" fontId="123" fillId="0" borderId="18" xfId="388" applyNumberFormat="1" applyFont="1" applyFill="1" applyBorder="1" applyAlignment="1">
      <alignment horizontal="center"/>
    </xf>
    <xf numFmtId="3" fontId="83" fillId="27" borderId="20" xfId="328" applyNumberFormat="1" applyFont="1" applyFill="1" applyBorder="1" applyAlignment="1">
      <alignment horizontal="right" vertical="center"/>
    </xf>
    <xf numFmtId="174" fontId="79" fillId="0" borderId="0" xfId="0" applyFont="1" applyFill="1" applyBorder="1" applyAlignment="1">
      <alignment horizontal="left" vertical="center" wrapText="1"/>
    </xf>
    <xf numFmtId="43" fontId="69" fillId="27" borderId="23" xfId="394" applyNumberFormat="1" applyFont="1" applyFill="1" applyBorder="1" applyAlignment="1">
      <alignment horizontal="center" vertical="center" wrapText="1"/>
    </xf>
    <xf numFmtId="17" fontId="69" fillId="27" borderId="19" xfId="394" applyNumberFormat="1" applyFont="1" applyFill="1" applyBorder="1" applyAlignment="1">
      <alignment horizontal="center"/>
    </xf>
    <xf numFmtId="174" fontId="52" fillId="27" borderId="13" xfId="0" applyNumberFormat="1" applyFont="1" applyFill="1" applyBorder="1" applyAlignment="1">
      <alignment horizontal="center" vertical="center"/>
    </xf>
    <xf numFmtId="174" fontId="52" fillId="27" borderId="23" xfId="0" applyNumberFormat="1" applyFont="1" applyFill="1" applyBorder="1" applyAlignment="1">
      <alignment horizontal="center" vertical="center" wrapText="1"/>
    </xf>
    <xf numFmtId="174" fontId="52" fillId="27" borderId="15" xfId="0" applyNumberFormat="1" applyFont="1" applyFill="1" applyBorder="1" applyAlignment="1">
      <alignment horizontal="center" vertical="center" wrapText="1"/>
    </xf>
    <xf numFmtId="174" fontId="52" fillId="27" borderId="16" xfId="0" applyNumberFormat="1" applyFont="1" applyFill="1" applyBorder="1" applyAlignment="1">
      <alignment horizontal="center" vertical="center" wrapText="1"/>
    </xf>
    <xf numFmtId="49" fontId="52" fillId="27" borderId="19" xfId="0" applyNumberFormat="1" applyFont="1" applyFill="1" applyBorder="1" applyAlignment="1">
      <alignment horizontal="center" vertical="center"/>
    </xf>
    <xf numFmtId="43" fontId="69" fillId="27" borderId="13" xfId="394" applyNumberFormat="1" applyFont="1" applyFill="1" applyBorder="1" applyAlignment="1">
      <alignment horizontal="center" vertical="center"/>
    </xf>
    <xf numFmtId="49" fontId="82" fillId="27" borderId="20" xfId="394" applyNumberFormat="1" applyFont="1" applyFill="1" applyBorder="1" applyAlignment="1">
      <alignment horizontal="center"/>
    </xf>
    <xf numFmtId="49" fontId="82" fillId="27" borderId="18" xfId="394" applyNumberFormat="1" applyFont="1" applyFill="1" applyBorder="1" applyAlignment="1">
      <alignment horizontal="center"/>
    </xf>
    <xf numFmtId="17" fontId="69" fillId="27" borderId="14" xfId="394" applyNumberFormat="1" applyFont="1" applyFill="1" applyBorder="1" applyAlignment="1">
      <alignment horizontal="center"/>
    </xf>
    <xf numFmtId="167" fontId="85" fillId="27" borderId="13" xfId="338" applyNumberFormat="1" applyFont="1" applyFill="1" applyBorder="1" applyAlignment="1">
      <alignment horizontal="center" vertical="center" wrapText="1"/>
    </xf>
    <xf numFmtId="3" fontId="83" fillId="27" borderId="12" xfId="0" applyNumberFormat="1" applyFont="1" applyFill="1" applyBorder="1" applyAlignment="1" applyProtection="1"/>
    <xf numFmtId="171" fontId="82" fillId="27" borderId="27" xfId="551" applyNumberFormat="1" applyFont="1" applyFill="1" applyBorder="1" applyAlignment="1" applyProtection="1"/>
    <xf numFmtId="3" fontId="83" fillId="27" borderId="0" xfId="0" applyNumberFormat="1" applyFont="1" applyFill="1" applyBorder="1" applyAlignment="1" applyProtection="1"/>
    <xf numFmtId="171" fontId="82" fillId="27" borderId="26" xfId="551" applyNumberFormat="1" applyFont="1" applyFill="1" applyBorder="1" applyAlignment="1" applyProtection="1"/>
    <xf numFmtId="3" fontId="82" fillId="27" borderId="15" xfId="0" applyNumberFormat="1" applyFont="1" applyFill="1" applyBorder="1" applyAlignment="1" applyProtection="1">
      <alignment vertical="center"/>
    </xf>
    <xf numFmtId="3" fontId="82" fillId="27" borderId="23" xfId="0" applyNumberFormat="1" applyFont="1" applyFill="1" applyBorder="1" applyAlignment="1" applyProtection="1">
      <alignment vertical="center"/>
    </xf>
    <xf numFmtId="171" fontId="82" fillId="27" borderId="23" xfId="551" applyNumberFormat="1" applyFont="1" applyFill="1" applyBorder="1" applyAlignment="1" applyProtection="1">
      <alignment vertical="center"/>
    </xf>
    <xf numFmtId="171" fontId="82" fillId="27" borderId="16" xfId="551" applyNumberFormat="1" applyFont="1" applyFill="1" applyBorder="1" applyAlignment="1" applyProtection="1">
      <alignment vertical="center"/>
    </xf>
    <xf numFmtId="49" fontId="85" fillId="0" borderId="20" xfId="0" applyNumberFormat="1" applyFont="1" applyFill="1" applyBorder="1" applyAlignment="1">
      <alignment horizontal="center" vertical="center"/>
    </xf>
    <xf numFmtId="49" fontId="85" fillId="27" borderId="20" xfId="0" applyNumberFormat="1" applyFont="1" applyFill="1" applyBorder="1" applyAlignment="1">
      <alignment horizontal="center" vertical="center"/>
    </xf>
    <xf numFmtId="49" fontId="85" fillId="27" borderId="18" xfId="0" applyNumberFormat="1" applyFont="1" applyFill="1" applyBorder="1" applyAlignment="1">
      <alignment horizontal="center" vertical="center"/>
    </xf>
    <xf numFmtId="3" fontId="123" fillId="27" borderId="0" xfId="388" applyNumberFormat="1" applyFont="1" applyFill="1" applyBorder="1" applyAlignment="1">
      <alignment horizontal="center"/>
    </xf>
    <xf numFmtId="3" fontId="123" fillId="27" borderId="11" xfId="388" applyNumberFormat="1" applyFont="1" applyFill="1" applyBorder="1" applyAlignment="1">
      <alignment horizontal="center"/>
    </xf>
    <xf numFmtId="49" fontId="52" fillId="27" borderId="14" xfId="0" applyNumberFormat="1" applyFont="1" applyFill="1" applyBorder="1" applyAlignment="1">
      <alignment horizontal="center" vertical="center"/>
    </xf>
    <xf numFmtId="174" fontId="69" fillId="27" borderId="13" xfId="0" applyNumberFormat="1" applyFont="1" applyFill="1" applyBorder="1" applyAlignment="1">
      <alignment horizontal="center" vertical="center"/>
    </xf>
    <xf numFmtId="3" fontId="95" fillId="27" borderId="11" xfId="325" applyNumberFormat="1" applyFont="1" applyFill="1" applyBorder="1" applyAlignment="1">
      <alignment horizontal="right"/>
    </xf>
    <xf numFmtId="49" fontId="104" fillId="27" borderId="19" xfId="0" applyNumberFormat="1" applyFont="1" applyFill="1" applyBorder="1" applyAlignment="1">
      <alignment horizontal="center" vertical="center"/>
    </xf>
    <xf numFmtId="3" fontId="64" fillId="27" borderId="0" xfId="0" applyNumberFormat="1" applyFont="1" applyFill="1" applyBorder="1" applyAlignment="1">
      <alignment horizontal="center" vertical="center"/>
    </xf>
    <xf numFmtId="167" fontId="82" fillId="27" borderId="23" xfId="338" applyNumberFormat="1" applyFont="1" applyFill="1" applyBorder="1" applyAlignment="1">
      <alignment horizontal="center" vertical="center" wrapText="1"/>
    </xf>
    <xf numFmtId="167" fontId="82" fillId="27" borderId="16" xfId="338" applyNumberFormat="1" applyFont="1" applyFill="1" applyBorder="1" applyAlignment="1">
      <alignment horizontal="center" vertical="center" wrapText="1"/>
    </xf>
    <xf numFmtId="41" fontId="82" fillId="27" borderId="23" xfId="361" applyNumberFormat="1" applyFont="1" applyFill="1" applyBorder="1" applyAlignment="1">
      <alignment horizontal="center" vertical="center"/>
    </xf>
    <xf numFmtId="9" fontId="82" fillId="27" borderId="16" xfId="551" applyFont="1" applyFill="1" applyBorder="1" applyAlignment="1">
      <alignment horizontal="center" vertical="center"/>
    </xf>
    <xf numFmtId="167" fontId="82" fillId="27" borderId="13" xfId="338" applyNumberFormat="1" applyFont="1" applyFill="1" applyBorder="1" applyAlignment="1">
      <alignment horizontal="center" vertical="center" wrapText="1"/>
    </xf>
    <xf numFmtId="174" fontId="82" fillId="27" borderId="13" xfId="361" applyFont="1" applyFill="1" applyBorder="1" applyAlignment="1">
      <alignment horizontal="center" vertical="center"/>
    </xf>
    <xf numFmtId="170" fontId="82" fillId="27" borderId="19" xfId="361" applyNumberFormat="1" applyFont="1" applyFill="1" applyBorder="1" applyAlignment="1">
      <alignment horizontal="left" vertical="center"/>
    </xf>
    <xf numFmtId="49" fontId="82" fillId="27" borderId="19" xfId="361" applyNumberFormat="1" applyFont="1" applyFill="1" applyBorder="1" applyAlignment="1">
      <alignment horizontal="left" vertical="center"/>
    </xf>
    <xf numFmtId="174" fontId="82" fillId="27" borderId="12" xfId="388" applyFont="1" applyFill="1" applyBorder="1" applyAlignment="1">
      <alignment horizontal="center" vertical="center" wrapText="1"/>
    </xf>
    <xf numFmtId="174" fontId="82" fillId="27" borderId="12" xfId="388" applyFont="1" applyFill="1" applyBorder="1" applyAlignment="1">
      <alignment horizontal="center" vertical="center"/>
    </xf>
    <xf numFmtId="174" fontId="82" fillId="27" borderId="12" xfId="0" applyFont="1" applyFill="1" applyBorder="1" applyAlignment="1">
      <alignment horizontal="center" vertical="center" wrapText="1"/>
    </xf>
    <xf numFmtId="174" fontId="82" fillId="27" borderId="13" xfId="0" applyFont="1" applyFill="1" applyBorder="1" applyAlignment="1">
      <alignment horizontal="center" vertical="center"/>
    </xf>
    <xf numFmtId="9" fontId="82" fillId="27" borderId="13" xfId="0" applyNumberFormat="1" applyFont="1" applyFill="1" applyBorder="1" applyAlignment="1">
      <alignment horizontal="center"/>
    </xf>
    <xf numFmtId="17" fontId="82" fillId="27" borderId="17" xfId="0" applyNumberFormat="1" applyFont="1" applyFill="1" applyBorder="1" applyAlignment="1">
      <alignment horizontal="center" vertical="center"/>
    </xf>
    <xf numFmtId="174" fontId="82" fillId="27" borderId="17" xfId="388" applyFont="1" applyFill="1" applyBorder="1" applyAlignment="1">
      <alignment horizontal="center" vertical="center" wrapText="1"/>
    </xf>
    <xf numFmtId="174" fontId="82" fillId="27" borderId="17" xfId="0" applyFont="1" applyFill="1" applyBorder="1" applyAlignment="1">
      <alignment horizontal="center" vertical="center" wrapText="1"/>
    </xf>
    <xf numFmtId="10" fontId="100" fillId="0" borderId="0" xfId="626" applyNumberFormat="1" applyFont="1"/>
    <xf numFmtId="0" fontId="105" fillId="0" borderId="13" xfId="626" applyFont="1" applyFill="1" applyBorder="1" applyAlignment="1">
      <alignment horizontal="center" vertical="center"/>
    </xf>
    <xf numFmtId="3" fontId="105" fillId="0" borderId="0" xfId="626" applyNumberFormat="1" applyFont="1" applyFill="1" applyBorder="1" applyAlignment="1">
      <alignment horizontal="center"/>
    </xf>
    <xf numFmtId="3" fontId="101" fillId="0" borderId="0" xfId="392" applyNumberFormat="1" applyFont="1" applyFill="1" applyBorder="1" applyAlignment="1">
      <alignment horizontal="center"/>
    </xf>
    <xf numFmtId="167" fontId="101" fillId="0" borderId="0" xfId="323" applyNumberFormat="1" applyFont="1" applyFill="1" applyBorder="1" applyAlignment="1">
      <alignment horizontal="center"/>
    </xf>
    <xf numFmtId="171" fontId="105" fillId="0" borderId="0" xfId="626" applyNumberFormat="1" applyFont="1" applyFill="1" applyBorder="1" applyAlignment="1">
      <alignment horizontal="center"/>
    </xf>
    <xf numFmtId="10" fontId="105" fillId="0" borderId="0" xfId="626" applyNumberFormat="1" applyFont="1" applyFill="1" applyBorder="1" applyAlignment="1">
      <alignment horizontal="center"/>
    </xf>
    <xf numFmtId="0" fontId="105" fillId="0" borderId="23" xfId="626" applyFont="1" applyFill="1" applyBorder="1" applyAlignment="1">
      <alignment horizontal="center" vertical="center" wrapText="1"/>
    </xf>
    <xf numFmtId="0" fontId="105" fillId="0" borderId="16" xfId="626" applyFont="1" applyFill="1" applyBorder="1" applyAlignment="1">
      <alignment horizontal="center" vertical="center" wrapText="1"/>
    </xf>
    <xf numFmtId="0" fontId="105" fillId="0" borderId="19" xfId="626" applyFont="1" applyFill="1" applyBorder="1" applyAlignment="1">
      <alignment horizontal="center"/>
    </xf>
    <xf numFmtId="0" fontId="105" fillId="0" borderId="19" xfId="626" applyNumberFormat="1" applyFont="1" applyFill="1" applyBorder="1" applyAlignment="1">
      <alignment horizontal="center"/>
    </xf>
    <xf numFmtId="0" fontId="105" fillId="0" borderId="14" xfId="626" applyNumberFormat="1" applyFont="1" applyFill="1" applyBorder="1" applyAlignment="1">
      <alignment horizontal="center"/>
    </xf>
    <xf numFmtId="10" fontId="105" fillId="0" borderId="26" xfId="626" applyNumberFormat="1" applyFont="1" applyFill="1" applyBorder="1" applyAlignment="1">
      <alignment horizontal="center"/>
    </xf>
    <xf numFmtId="3" fontId="105" fillId="0" borderId="11" xfId="626" applyNumberFormat="1" applyFont="1" applyFill="1" applyBorder="1" applyAlignment="1">
      <alignment horizontal="center"/>
    </xf>
    <xf numFmtId="3" fontId="101" fillId="0" borderId="11" xfId="392" applyNumberFormat="1" applyFont="1" applyFill="1" applyBorder="1" applyAlignment="1">
      <alignment horizontal="center"/>
    </xf>
    <xf numFmtId="167" fontId="101" fillId="0" borderId="11" xfId="323" applyNumberFormat="1" applyFont="1" applyFill="1" applyBorder="1" applyAlignment="1">
      <alignment horizontal="center"/>
    </xf>
    <xf numFmtId="171" fontId="105" fillId="0" borderId="11" xfId="626" applyNumberFormat="1" applyFont="1" applyFill="1" applyBorder="1" applyAlignment="1">
      <alignment horizontal="center"/>
    </xf>
    <xf numFmtId="10" fontId="105" fillId="0" borderId="11" xfId="626" applyNumberFormat="1" applyFont="1" applyFill="1" applyBorder="1" applyAlignment="1">
      <alignment horizontal="center"/>
    </xf>
    <xf numFmtId="10" fontId="105" fillId="0" borderId="22" xfId="626" applyNumberFormat="1" applyFont="1" applyFill="1" applyBorder="1" applyAlignment="1">
      <alignment horizontal="center"/>
    </xf>
    <xf numFmtId="0" fontId="105" fillId="0" borderId="15" xfId="626" applyFont="1" applyFill="1" applyBorder="1" applyAlignment="1">
      <alignment horizontal="center" vertical="center" wrapText="1"/>
    </xf>
    <xf numFmtId="167" fontId="105" fillId="0" borderId="20" xfId="323" applyNumberFormat="1" applyFont="1" applyFill="1" applyBorder="1" applyAlignment="1">
      <alignment horizontal="center"/>
    </xf>
    <xf numFmtId="167" fontId="101" fillId="0" borderId="20" xfId="323" applyNumberFormat="1" applyFont="1" applyFill="1" applyBorder="1" applyAlignment="1">
      <alignment horizontal="center"/>
    </xf>
    <xf numFmtId="167" fontId="105" fillId="0" borderId="18" xfId="323" applyNumberFormat="1" applyFont="1" applyFill="1" applyBorder="1" applyAlignment="1">
      <alignment horizontal="center"/>
    </xf>
    <xf numFmtId="167" fontId="101" fillId="0" borderId="18" xfId="323" applyNumberFormat="1" applyFont="1" applyFill="1" applyBorder="1" applyAlignment="1">
      <alignment horizontal="center"/>
    </xf>
    <xf numFmtId="174" fontId="113" fillId="25" borderId="0" xfId="0" applyFont="1" applyFill="1" applyBorder="1" applyAlignment="1">
      <alignment horizontal="center" vertical="center" wrapText="1"/>
    </xf>
    <xf numFmtId="171" fontId="81" fillId="0" borderId="0" xfId="0" applyNumberFormat="1" applyFont="1" applyFill="1" applyBorder="1" applyAlignment="1">
      <alignment horizontal="center"/>
    </xf>
    <xf numFmtId="3" fontId="81" fillId="0" borderId="0" xfId="0" applyNumberFormat="1" applyFont="1" applyFill="1" applyBorder="1" applyAlignment="1">
      <alignment horizontal="center"/>
    </xf>
    <xf numFmtId="3" fontId="62" fillId="0" borderId="26" xfId="0" applyNumberFormat="1" applyFont="1" applyFill="1" applyBorder="1" applyAlignment="1">
      <alignment horizontal="center"/>
    </xf>
    <xf numFmtId="3" fontId="81" fillId="0" borderId="11" xfId="0" applyNumberFormat="1" applyFont="1" applyFill="1" applyBorder="1" applyAlignment="1">
      <alignment horizontal="center"/>
    </xf>
    <xf numFmtId="3" fontId="62" fillId="0" borderId="22" xfId="0" applyNumberFormat="1" applyFont="1" applyFill="1" applyBorder="1" applyAlignment="1">
      <alignment horizontal="center"/>
    </xf>
    <xf numFmtId="174" fontId="113" fillId="0" borderId="11" xfId="0" applyFont="1" applyFill="1" applyBorder="1" applyAlignment="1">
      <alignment horizontal="center" vertical="center" wrapText="1"/>
    </xf>
    <xf numFmtId="174" fontId="113" fillId="0" borderId="22" xfId="0" applyFont="1" applyFill="1" applyBorder="1" applyAlignment="1">
      <alignment horizontal="center" vertical="center" wrapText="1"/>
    </xf>
    <xf numFmtId="17" fontId="62" fillId="0" borderId="19" xfId="0" applyNumberFormat="1" applyFont="1" applyFill="1" applyBorder="1" applyAlignment="1">
      <alignment horizontal="center"/>
    </xf>
    <xf numFmtId="17" fontId="62" fillId="0" borderId="14" xfId="0" applyNumberFormat="1" applyFont="1" applyFill="1" applyBorder="1" applyAlignment="1">
      <alignment horizontal="center"/>
    </xf>
    <xf numFmtId="174" fontId="113" fillId="0" borderId="18" xfId="0" applyFont="1" applyFill="1" applyBorder="1" applyAlignment="1">
      <alignment horizontal="center" vertical="center" wrapText="1"/>
    </xf>
    <xf numFmtId="3" fontId="81" fillId="0" borderId="20" xfId="0" applyNumberFormat="1" applyFont="1" applyFill="1" applyBorder="1" applyAlignment="1">
      <alignment horizontal="center"/>
    </xf>
    <xf numFmtId="3" fontId="81" fillId="0" borderId="18" xfId="0" applyNumberFormat="1" applyFont="1" applyFill="1" applyBorder="1" applyAlignment="1">
      <alignment horizontal="center"/>
    </xf>
    <xf numFmtId="174" fontId="55" fillId="0" borderId="0" xfId="0" applyNumberFormat="1" applyFont="1" applyAlignment="1">
      <alignment vertical="center"/>
    </xf>
    <xf numFmtId="174" fontId="0" fillId="0" borderId="0" xfId="0" applyNumberFormat="1" applyAlignment="1">
      <alignment vertical="center"/>
    </xf>
    <xf numFmtId="3" fontId="39" fillId="0" borderId="0" xfId="0" applyNumberFormat="1" applyFont="1" applyFill="1" applyBorder="1" applyAlignment="1">
      <alignment horizontal="center" vertical="center"/>
    </xf>
    <xf numFmtId="3" fontId="53" fillId="27" borderId="0" xfId="323" applyNumberFormat="1" applyFont="1" applyFill="1" applyBorder="1" applyAlignment="1">
      <alignment horizontal="center" vertical="center"/>
    </xf>
    <xf numFmtId="174" fontId="69" fillId="27" borderId="23" xfId="0" applyNumberFormat="1" applyFont="1" applyFill="1" applyBorder="1" applyAlignment="1">
      <alignment horizontal="center" vertical="center"/>
    </xf>
    <xf numFmtId="49" fontId="69" fillId="27" borderId="19" xfId="0" applyNumberFormat="1" applyFont="1" applyFill="1" applyBorder="1" applyAlignment="1">
      <alignment horizontal="center" vertical="center"/>
    </xf>
    <xf numFmtId="174" fontId="69" fillId="27" borderId="14" xfId="0" applyNumberFormat="1" applyFont="1" applyFill="1" applyBorder="1" applyAlignment="1">
      <alignment horizontal="center" vertical="center"/>
    </xf>
    <xf numFmtId="3" fontId="69" fillId="27" borderId="23" xfId="323" applyNumberFormat="1" applyFont="1" applyFill="1" applyBorder="1" applyAlignment="1">
      <alignment horizontal="center" vertical="center"/>
    </xf>
    <xf numFmtId="3" fontId="69" fillId="27" borderId="19" xfId="323" applyNumberFormat="1" applyFont="1" applyFill="1" applyBorder="1" applyAlignment="1">
      <alignment horizontal="center" vertical="center"/>
    </xf>
    <xf numFmtId="174" fontId="69" fillId="27" borderId="13" xfId="0" applyNumberFormat="1" applyFont="1" applyFill="1" applyBorder="1" applyAlignment="1">
      <alignment horizontal="center" vertical="center" wrapText="1"/>
    </xf>
    <xf numFmtId="3" fontId="69" fillId="27" borderId="20" xfId="323" applyNumberFormat="1" applyFont="1" applyFill="1" applyBorder="1" applyAlignment="1">
      <alignment horizontal="center" vertical="center"/>
    </xf>
    <xf numFmtId="1" fontId="53" fillId="27" borderId="0" xfId="323" applyNumberFormat="1" applyFont="1" applyFill="1" applyBorder="1" applyAlignment="1">
      <alignment horizontal="center" vertical="center"/>
    </xf>
    <xf numFmtId="167" fontId="53" fillId="27" borderId="0" xfId="323" applyNumberFormat="1" applyFont="1" applyFill="1" applyBorder="1" applyAlignment="1">
      <alignment horizontal="center" vertical="center"/>
    </xf>
    <xf numFmtId="174" fontId="69" fillId="27" borderId="11" xfId="0" applyNumberFormat="1" applyFont="1" applyFill="1" applyBorder="1" applyAlignment="1">
      <alignment horizontal="center" vertical="center"/>
    </xf>
    <xf numFmtId="174" fontId="69" fillId="27" borderId="11" xfId="0" applyNumberFormat="1" applyFont="1" applyFill="1" applyBorder="1" applyAlignment="1">
      <alignment horizontal="center" vertical="center" wrapText="1"/>
    </xf>
    <xf numFmtId="49" fontId="69" fillId="27" borderId="13" xfId="0" applyNumberFormat="1" applyFont="1" applyFill="1" applyBorder="1" applyAlignment="1">
      <alignment horizontal="center" vertical="center"/>
    </xf>
    <xf numFmtId="167" fontId="69" fillId="27" borderId="23" xfId="323" applyNumberFormat="1" applyFont="1" applyFill="1" applyBorder="1" applyAlignment="1">
      <alignment horizontal="center" vertical="center"/>
    </xf>
    <xf numFmtId="167" fontId="69" fillId="27" borderId="19" xfId="0" applyNumberFormat="1" applyFont="1" applyFill="1" applyBorder="1" applyAlignment="1">
      <alignment horizontal="center" vertical="center"/>
    </xf>
    <xf numFmtId="167" fontId="69" fillId="27" borderId="20" xfId="323" applyNumberFormat="1" applyFont="1" applyFill="1" applyBorder="1" applyAlignment="1">
      <alignment vertical="center"/>
    </xf>
    <xf numFmtId="49" fontId="69" fillId="27" borderId="14" xfId="0" applyNumberFormat="1" applyFont="1" applyFill="1" applyBorder="1" applyAlignment="1">
      <alignment horizontal="center" vertical="center"/>
    </xf>
    <xf numFmtId="174" fontId="69" fillId="27" borderId="18" xfId="0" applyNumberFormat="1" applyFont="1" applyFill="1" applyBorder="1" applyAlignment="1">
      <alignment horizontal="center" vertical="center" wrapText="1"/>
    </xf>
    <xf numFmtId="40" fontId="69" fillId="27" borderId="13" xfId="0" applyNumberFormat="1" applyFont="1" applyFill="1" applyBorder="1" applyAlignment="1">
      <alignment horizontal="center" vertical="center"/>
    </xf>
    <xf numFmtId="40" fontId="69" fillId="27" borderId="13" xfId="0" applyNumberFormat="1" applyFont="1" applyFill="1" applyBorder="1" applyAlignment="1">
      <alignment horizontal="center" vertical="center" wrapText="1"/>
    </xf>
    <xf numFmtId="38" fontId="61" fillId="27" borderId="0" xfId="323" applyNumberFormat="1" applyFont="1" applyFill="1" applyBorder="1" applyAlignment="1">
      <alignment horizontal="center"/>
    </xf>
    <xf numFmtId="40" fontId="69" fillId="27" borderId="11" xfId="0" applyNumberFormat="1" applyFont="1" applyFill="1" applyBorder="1" applyAlignment="1">
      <alignment horizontal="center" vertical="center"/>
    </xf>
    <xf numFmtId="40" fontId="69" fillId="27" borderId="11" xfId="0" applyNumberFormat="1" applyFont="1" applyFill="1" applyBorder="1" applyAlignment="1">
      <alignment horizontal="center" vertical="center" wrapText="1"/>
    </xf>
    <xf numFmtId="49" fontId="69" fillId="27" borderId="19" xfId="0" applyNumberFormat="1" applyFont="1" applyFill="1" applyBorder="1" applyAlignment="1">
      <alignment horizontal="center"/>
    </xf>
    <xf numFmtId="38" fontId="69" fillId="27" borderId="23" xfId="323" applyNumberFormat="1" applyFont="1" applyFill="1" applyBorder="1" applyAlignment="1">
      <alignment horizontal="center" vertical="center"/>
    </xf>
    <xf numFmtId="38" fontId="69" fillId="27" borderId="19" xfId="0" applyNumberFormat="1" applyFont="1" applyFill="1" applyBorder="1" applyAlignment="1">
      <alignment horizontal="center" wrapText="1"/>
    </xf>
    <xf numFmtId="38" fontId="69" fillId="27" borderId="15" xfId="323" applyNumberFormat="1" applyFont="1" applyFill="1" applyBorder="1" applyAlignment="1">
      <alignment horizontal="center" vertical="center"/>
    </xf>
    <xf numFmtId="14" fontId="52" fillId="27" borderId="13" xfId="0" applyNumberFormat="1" applyFont="1" applyFill="1" applyBorder="1" applyAlignment="1">
      <alignment horizontal="center" vertical="center" wrapText="1"/>
    </xf>
    <xf numFmtId="38" fontId="67" fillId="27" borderId="0" xfId="0" applyNumberFormat="1" applyFont="1" applyFill="1" applyBorder="1"/>
    <xf numFmtId="171" fontId="52" fillId="27" borderId="0" xfId="0" applyNumberFormat="1" applyFont="1" applyFill="1" applyBorder="1"/>
    <xf numFmtId="171" fontId="52" fillId="27" borderId="26" xfId="0" applyNumberFormat="1" applyFont="1" applyFill="1" applyBorder="1"/>
    <xf numFmtId="171" fontId="52" fillId="27" borderId="11" xfId="0" applyNumberFormat="1" applyFont="1" applyFill="1" applyBorder="1"/>
    <xf numFmtId="171" fontId="52" fillId="27" borderId="22" xfId="0" applyNumberFormat="1" applyFont="1" applyFill="1" applyBorder="1"/>
    <xf numFmtId="171" fontId="52" fillId="27" borderId="12" xfId="0" applyNumberFormat="1" applyFont="1" applyFill="1" applyBorder="1"/>
    <xf numFmtId="38" fontId="67" fillId="27" borderId="12" xfId="0" applyNumberFormat="1" applyFont="1" applyFill="1" applyBorder="1"/>
    <xf numFmtId="171" fontId="52" fillId="27" borderId="27" xfId="0" applyNumberFormat="1" applyFont="1" applyFill="1" applyBorder="1"/>
    <xf numFmtId="171" fontId="53" fillId="27" borderId="26" xfId="0" applyNumberFormat="1" applyFont="1" applyFill="1" applyBorder="1"/>
    <xf numFmtId="43" fontId="69" fillId="27" borderId="13" xfId="0" applyNumberFormat="1" applyFont="1" applyFill="1" applyBorder="1" applyAlignment="1">
      <alignment horizontal="center" vertical="center"/>
    </xf>
    <xf numFmtId="17" fontId="82" fillId="27" borderId="19" xfId="0" applyNumberFormat="1" applyFont="1" applyFill="1" applyBorder="1" applyAlignment="1" applyProtection="1">
      <alignment horizontal="center"/>
    </xf>
    <xf numFmtId="17" fontId="82" fillId="27" borderId="14" xfId="0" applyNumberFormat="1" applyFont="1" applyFill="1" applyBorder="1" applyAlignment="1" applyProtection="1">
      <alignment horizontal="center"/>
    </xf>
    <xf numFmtId="10" fontId="74" fillId="0" borderId="0" xfId="551" applyNumberFormat="1" applyFont="1" applyFill="1" applyBorder="1" applyAlignment="1"/>
    <xf numFmtId="3" fontId="82" fillId="27" borderId="19" xfId="0" applyNumberFormat="1" applyFont="1" applyFill="1" applyBorder="1" applyAlignment="1" applyProtection="1">
      <alignment horizontal="center"/>
    </xf>
    <xf numFmtId="3" fontId="82" fillId="27" borderId="14" xfId="0" applyNumberFormat="1" applyFont="1" applyFill="1" applyBorder="1" applyAlignment="1" applyProtection="1">
      <alignment horizontal="center"/>
    </xf>
    <xf numFmtId="174" fontId="69" fillId="27" borderId="23" xfId="0" applyFont="1" applyFill="1" applyBorder="1" applyAlignment="1">
      <alignment horizontal="center" vertical="center" wrapText="1"/>
    </xf>
    <xf numFmtId="174" fontId="69" fillId="27" borderId="16" xfId="0" applyFont="1" applyFill="1" applyBorder="1" applyAlignment="1">
      <alignment horizontal="center" vertical="center" wrapText="1"/>
    </xf>
    <xf numFmtId="167" fontId="69" fillId="27" borderId="23" xfId="323" applyNumberFormat="1" applyFont="1" applyFill="1" applyBorder="1"/>
    <xf numFmtId="43" fontId="69" fillId="27" borderId="13" xfId="0" applyNumberFormat="1" applyFont="1" applyFill="1" applyBorder="1" applyAlignment="1">
      <alignment vertical="center"/>
    </xf>
    <xf numFmtId="43" fontId="68" fillId="0" borderId="0" xfId="0" applyNumberFormat="1" applyFont="1" applyFill="1" applyBorder="1" applyAlignment="1">
      <alignment vertical="center"/>
    </xf>
    <xf numFmtId="43" fontId="53" fillId="27" borderId="0" xfId="336" applyNumberFormat="1" applyFont="1" applyFill="1" applyBorder="1" applyAlignment="1">
      <alignment horizontal="right" vertical="center"/>
    </xf>
    <xf numFmtId="43" fontId="53" fillId="27" borderId="0" xfId="336" applyNumberFormat="1" applyFont="1" applyFill="1" applyBorder="1" applyAlignment="1">
      <alignment vertical="center"/>
    </xf>
    <xf numFmtId="49" fontId="69" fillId="27" borderId="23" xfId="336" applyNumberFormat="1" applyFont="1" applyFill="1" applyBorder="1" applyAlignment="1">
      <alignment horizontal="center" vertical="center" wrapText="1"/>
    </xf>
    <xf numFmtId="43" fontId="69" fillId="27" borderId="23" xfId="0" applyNumberFormat="1" applyFont="1" applyFill="1" applyBorder="1" applyAlignment="1">
      <alignment vertical="center"/>
    </xf>
    <xf numFmtId="40" fontId="69" fillId="27" borderId="0" xfId="323" applyNumberFormat="1" applyFont="1" applyFill="1" applyBorder="1"/>
    <xf numFmtId="0" fontId="69" fillId="27" borderId="19" xfId="323" applyNumberFormat="1" applyFont="1" applyFill="1" applyBorder="1" applyAlignment="1">
      <alignment horizontal="center" vertical="center"/>
    </xf>
    <xf numFmtId="174" fontId="69" fillId="27" borderId="15" xfId="388" applyNumberFormat="1" applyFont="1" applyFill="1" applyBorder="1" applyAlignment="1">
      <alignment horizontal="center" vertical="center" wrapText="1"/>
    </xf>
    <xf numFmtId="189" fontId="0" fillId="0" borderId="0" xfId="0" applyNumberFormat="1"/>
    <xf numFmtId="176" fontId="0" fillId="0" borderId="0" xfId="551" applyNumberFormat="1" applyFont="1"/>
    <xf numFmtId="174" fontId="82" fillId="27" borderId="13" xfId="336" applyNumberFormat="1" applyFont="1" applyFill="1" applyBorder="1" applyAlignment="1">
      <alignment horizontal="center" vertical="center" wrapText="1"/>
    </xf>
    <xf numFmtId="43" fontId="104" fillId="27" borderId="19" xfId="336" applyNumberFormat="1" applyFont="1" applyFill="1" applyBorder="1" applyAlignment="1">
      <alignment horizontal="left" vertical="center" wrapText="1"/>
    </xf>
    <xf numFmtId="43" fontId="104" fillId="27" borderId="13" xfId="0" applyNumberFormat="1" applyFont="1" applyFill="1" applyBorder="1" applyAlignment="1">
      <alignment vertical="center"/>
    </xf>
    <xf numFmtId="174" fontId="69" fillId="27" borderId="13" xfId="388" applyNumberFormat="1" applyFont="1" applyFill="1" applyBorder="1" applyAlignment="1">
      <alignment horizontal="center" vertical="center" wrapText="1"/>
    </xf>
    <xf numFmtId="49" fontId="69" fillId="27" borderId="19" xfId="388" applyNumberFormat="1" applyFont="1" applyFill="1" applyBorder="1" applyAlignment="1">
      <alignment horizontal="center"/>
    </xf>
    <xf numFmtId="43" fontId="55" fillId="27" borderId="0" xfId="394" applyNumberFormat="1" applyFont="1" applyFill="1" applyBorder="1" applyAlignment="1">
      <alignment horizontal="right"/>
    </xf>
    <xf numFmtId="40" fontId="66" fillId="27" borderId="19" xfId="394" applyNumberFormat="1" applyFont="1" applyFill="1" applyBorder="1" applyAlignment="1">
      <alignment horizontal="left" vertical="center" wrapText="1"/>
    </xf>
    <xf numFmtId="49" fontId="66" fillId="27" borderId="23" xfId="394" applyNumberFormat="1" applyFont="1" applyFill="1" applyBorder="1" applyAlignment="1">
      <alignment horizontal="center" vertical="center"/>
    </xf>
    <xf numFmtId="40" fontId="66" fillId="27" borderId="13" xfId="394" applyNumberFormat="1" applyFont="1" applyFill="1" applyBorder="1" applyAlignment="1">
      <alignment horizontal="center" vertical="center" wrapText="1"/>
    </xf>
    <xf numFmtId="43" fontId="69" fillId="27" borderId="13" xfId="336" applyFont="1" applyFill="1" applyBorder="1" applyAlignment="1">
      <alignment horizontal="center" vertical="center" wrapText="1"/>
    </xf>
    <xf numFmtId="43" fontId="69" fillId="27" borderId="0" xfId="336" applyFont="1" applyFill="1" applyBorder="1" applyAlignment="1">
      <alignment horizontal="center" vertical="center" wrapText="1"/>
    </xf>
    <xf numFmtId="43" fontId="69" fillId="27" borderId="0" xfId="336" applyFont="1" applyFill="1" applyBorder="1" applyAlignment="1">
      <alignment vertical="center"/>
    </xf>
    <xf numFmtId="17" fontId="69" fillId="27" borderId="19" xfId="0" applyNumberFormat="1" applyFont="1" applyFill="1" applyBorder="1" applyAlignment="1">
      <alignment horizontal="center" vertical="center"/>
    </xf>
    <xf numFmtId="49" fontId="66" fillId="27" borderId="13" xfId="394" applyNumberFormat="1" applyFont="1" applyFill="1" applyBorder="1" applyAlignment="1">
      <alignment horizontal="center" vertical="center"/>
    </xf>
    <xf numFmtId="43" fontId="66" fillId="27" borderId="19" xfId="394" applyNumberFormat="1" applyFont="1" applyFill="1" applyBorder="1" applyAlignment="1">
      <alignment horizontal="right"/>
    </xf>
    <xf numFmtId="174" fontId="82" fillId="27" borderId="13" xfId="391" applyFont="1" applyFill="1" applyBorder="1" applyAlignment="1">
      <alignment horizontal="center" vertical="center"/>
    </xf>
    <xf numFmtId="174" fontId="82" fillId="27" borderId="13" xfId="391" applyFont="1" applyFill="1" applyBorder="1" applyAlignment="1">
      <alignment vertical="center"/>
    </xf>
    <xf numFmtId="174" fontId="82" fillId="27" borderId="19" xfId="391" applyFont="1" applyFill="1" applyBorder="1" applyAlignment="1">
      <alignment vertical="center" wrapText="1"/>
    </xf>
    <xf numFmtId="43" fontId="69" fillId="27" borderId="23" xfId="0" applyNumberFormat="1" applyFont="1" applyFill="1" applyBorder="1" applyAlignment="1">
      <alignment horizontal="center" vertical="center" wrapText="1"/>
    </xf>
    <xf numFmtId="0" fontId="69" fillId="27" borderId="19" xfId="0" applyNumberFormat="1" applyFont="1" applyFill="1" applyBorder="1" applyAlignment="1">
      <alignment horizontal="center"/>
    </xf>
    <xf numFmtId="0" fontId="69" fillId="27" borderId="19" xfId="0" applyNumberFormat="1" applyFont="1" applyFill="1" applyBorder="1" applyAlignment="1">
      <alignment horizontal="center" vertical="center"/>
    </xf>
    <xf numFmtId="43" fontId="69" fillId="27" borderId="23" xfId="0" applyNumberFormat="1" applyFont="1" applyFill="1" applyBorder="1" applyAlignment="1">
      <alignment horizontal="center" vertical="center"/>
    </xf>
    <xf numFmtId="43" fontId="69" fillId="27" borderId="19" xfId="0" applyNumberFormat="1" applyFont="1" applyFill="1" applyBorder="1" applyAlignment="1">
      <alignment horizontal="center" vertical="center"/>
    </xf>
    <xf numFmtId="174" fontId="69" fillId="27" borderId="23" xfId="446" applyFont="1" applyFill="1" applyBorder="1" applyAlignment="1">
      <alignment horizontal="center" vertical="center" wrapText="1"/>
    </xf>
    <xf numFmtId="174" fontId="69" fillId="27" borderId="16" xfId="446" applyFont="1" applyFill="1" applyBorder="1" applyAlignment="1">
      <alignment horizontal="center" vertical="center" wrapText="1"/>
    </xf>
    <xf numFmtId="174" fontId="69" fillId="27" borderId="13" xfId="446" applyFont="1" applyFill="1" applyBorder="1" applyAlignment="1">
      <alignment horizontal="center" vertical="center"/>
    </xf>
    <xf numFmtId="1" fontId="69" fillId="27" borderId="19" xfId="0" applyNumberFormat="1" applyFont="1" applyFill="1" applyBorder="1" applyAlignment="1">
      <alignment horizontal="center"/>
    </xf>
    <xf numFmtId="1" fontId="69" fillId="27" borderId="14" xfId="0" applyNumberFormat="1" applyFont="1" applyFill="1" applyBorder="1" applyAlignment="1">
      <alignment horizontal="center"/>
    </xf>
    <xf numFmtId="0" fontId="69" fillId="27" borderId="13" xfId="579" applyFont="1" applyFill="1" applyBorder="1" applyAlignment="1">
      <alignment horizontal="center"/>
    </xf>
    <xf numFmtId="0" fontId="66" fillId="27" borderId="13" xfId="579" applyFont="1" applyFill="1" applyBorder="1"/>
    <xf numFmtId="43" fontId="55" fillId="27" borderId="0" xfId="323" applyFont="1" applyFill="1" applyBorder="1"/>
    <xf numFmtId="0" fontId="69" fillId="27" borderId="23" xfId="579" applyFont="1" applyFill="1" applyBorder="1" applyAlignment="1">
      <alignment horizontal="center"/>
    </xf>
    <xf numFmtId="174" fontId="47" fillId="0" borderId="0" xfId="448" applyFont="1"/>
    <xf numFmtId="174" fontId="0" fillId="0" borderId="0" xfId="448" applyFont="1"/>
    <xf numFmtId="174" fontId="47" fillId="0" borderId="0" xfId="448" applyFont="1" applyAlignment="1">
      <alignment horizontal="center"/>
    </xf>
    <xf numFmtId="4" fontId="30" fillId="0" borderId="0" xfId="735" applyNumberFormat="1" applyFont="1" applyFill="1" applyBorder="1" applyAlignment="1" applyProtection="1">
      <alignment horizontal="right"/>
    </xf>
    <xf numFmtId="2" fontId="9" fillId="27" borderId="0" xfId="1088" applyNumberFormat="1" applyFont="1" applyFill="1" applyBorder="1" applyAlignment="1" applyProtection="1">
      <alignment horizontal="right"/>
    </xf>
    <xf numFmtId="2" fontId="30" fillId="0" borderId="0" xfId="1088" applyNumberFormat="1" applyFont="1" applyBorder="1"/>
    <xf numFmtId="174" fontId="69" fillId="27" borderId="13" xfId="448" applyFont="1" applyFill="1" applyBorder="1" applyAlignment="1">
      <alignment horizontal="center" vertical="center"/>
    </xf>
    <xf numFmtId="174" fontId="69" fillId="27" borderId="23" xfId="448" applyFont="1" applyFill="1" applyBorder="1" applyAlignment="1">
      <alignment horizontal="center" vertical="center"/>
    </xf>
    <xf numFmtId="174" fontId="69" fillId="27" borderId="19" xfId="448" applyFont="1" applyFill="1" applyBorder="1" applyAlignment="1">
      <alignment horizontal="left" vertical="center"/>
    </xf>
    <xf numFmtId="43" fontId="66" fillId="27" borderId="23" xfId="323" applyNumberFormat="1" applyFont="1" applyFill="1" applyBorder="1"/>
    <xf numFmtId="0" fontId="66" fillId="27" borderId="19" xfId="579" applyFont="1" applyFill="1" applyBorder="1" applyAlignment="1">
      <alignment horizontal="left"/>
    </xf>
    <xf numFmtId="174" fontId="69" fillId="0" borderId="23" xfId="0" applyFont="1" applyFill="1" applyBorder="1" applyAlignment="1">
      <alignment horizontal="center" vertical="center" wrapText="1"/>
    </xf>
    <xf numFmtId="174" fontId="69" fillId="0" borderId="16" xfId="0" applyFont="1" applyFill="1" applyBorder="1" applyAlignment="1">
      <alignment horizontal="center" vertical="center" wrapText="1"/>
    </xf>
    <xf numFmtId="174" fontId="0" fillId="0" borderId="0" xfId="450" applyFont="1" applyBorder="1" applyAlignment="1">
      <alignment vertical="center" wrapText="1"/>
    </xf>
    <xf numFmtId="174" fontId="82" fillId="0" borderId="23" xfId="633" applyFont="1" applyFill="1" applyBorder="1" applyAlignment="1">
      <alignment horizontal="center" vertical="center" wrapText="1"/>
    </xf>
    <xf numFmtId="174" fontId="82" fillId="0" borderId="16" xfId="633" applyFont="1" applyFill="1" applyBorder="1" applyAlignment="1">
      <alignment horizontal="center" vertical="center" wrapText="1"/>
    </xf>
    <xf numFmtId="174" fontId="82" fillId="0" borderId="13" xfId="633" applyFont="1" applyFill="1" applyBorder="1" applyAlignment="1">
      <alignment horizontal="center" vertical="center"/>
    </xf>
    <xf numFmtId="17" fontId="82" fillId="0" borderId="19" xfId="633" applyNumberFormat="1" applyFont="1" applyFill="1" applyBorder="1" applyAlignment="1">
      <alignment horizontal="center"/>
    </xf>
    <xf numFmtId="17" fontId="82" fillId="0" borderId="14" xfId="633" applyNumberFormat="1" applyFont="1" applyFill="1" applyBorder="1" applyAlignment="1">
      <alignment horizontal="center"/>
    </xf>
    <xf numFmtId="43" fontId="68" fillId="0" borderId="13" xfId="0" applyNumberFormat="1" applyFont="1" applyFill="1" applyBorder="1" applyAlignment="1">
      <alignment horizontal="center" vertical="center"/>
    </xf>
    <xf numFmtId="17" fontId="69" fillId="0" borderId="13" xfId="0" applyNumberFormat="1" applyFont="1" applyFill="1" applyBorder="1" applyAlignment="1">
      <alignment horizontal="center"/>
    </xf>
    <xf numFmtId="43" fontId="53" fillId="0" borderId="0" xfId="0" applyNumberFormat="1" applyFont="1" applyFill="1" applyBorder="1" applyAlignment="1">
      <alignment horizontal="right"/>
    </xf>
    <xf numFmtId="43" fontId="53" fillId="0" borderId="0" xfId="323" applyNumberFormat="1" applyFont="1" applyFill="1" applyBorder="1" applyAlignment="1">
      <alignment horizontal="right"/>
    </xf>
    <xf numFmtId="10" fontId="68" fillId="0" borderId="0" xfId="0" applyNumberFormat="1" applyFont="1" applyFill="1" applyBorder="1"/>
    <xf numFmtId="43" fontId="68" fillId="0" borderId="26" xfId="323" applyFont="1" applyFill="1" applyBorder="1"/>
    <xf numFmtId="43" fontId="69" fillId="0" borderId="23" xfId="0" applyNumberFormat="1" applyFont="1" applyFill="1" applyBorder="1" applyAlignment="1">
      <alignment horizontal="center" vertical="center" wrapText="1"/>
    </xf>
    <xf numFmtId="43" fontId="69" fillId="0" borderId="23" xfId="323" applyNumberFormat="1" applyFont="1" applyFill="1" applyBorder="1" applyAlignment="1">
      <alignment horizontal="center" vertical="center" wrapText="1"/>
    </xf>
    <xf numFmtId="43" fontId="69" fillId="0" borderId="16" xfId="323" applyNumberFormat="1" applyFont="1" applyFill="1" applyBorder="1" applyAlignment="1">
      <alignment horizontal="center" vertical="center" wrapText="1"/>
    </xf>
    <xf numFmtId="0" fontId="69" fillId="0" borderId="19" xfId="0" applyNumberFormat="1" applyFont="1" applyFill="1" applyBorder="1" applyAlignment="1">
      <alignment horizontal="center"/>
    </xf>
    <xf numFmtId="43" fontId="68" fillId="0" borderId="23" xfId="0" applyNumberFormat="1" applyFont="1" applyFill="1" applyBorder="1" applyAlignment="1">
      <alignment horizontal="right"/>
    </xf>
    <xf numFmtId="10" fontId="68" fillId="0" borderId="23" xfId="0" applyNumberFormat="1" applyFont="1" applyFill="1" applyBorder="1"/>
    <xf numFmtId="43" fontId="68" fillId="0" borderId="16" xfId="323" applyFont="1" applyFill="1" applyBorder="1"/>
    <xf numFmtId="10" fontId="69" fillId="0" borderId="0" xfId="0" applyNumberFormat="1" applyFont="1" applyFill="1" applyBorder="1"/>
    <xf numFmtId="43" fontId="53" fillId="27" borderId="0" xfId="0" applyNumberFormat="1" applyFont="1" applyFill="1" applyBorder="1" applyAlignment="1">
      <alignment horizontal="right"/>
    </xf>
    <xf numFmtId="43" fontId="53" fillId="27" borderId="0" xfId="323" applyNumberFormat="1" applyFont="1" applyFill="1" applyBorder="1" applyAlignment="1">
      <alignment horizontal="right"/>
    </xf>
    <xf numFmtId="10" fontId="69" fillId="27" borderId="0" xfId="0" applyNumberFormat="1" applyFont="1" applyFill="1" applyBorder="1" applyAlignment="1">
      <alignment horizontal="right"/>
    </xf>
    <xf numFmtId="43" fontId="69" fillId="27" borderId="23" xfId="323" applyNumberFormat="1" applyFont="1" applyFill="1" applyBorder="1" applyAlignment="1">
      <alignment horizontal="center" vertical="center" wrapText="1"/>
    </xf>
    <xf numFmtId="10" fontId="69" fillId="27" borderId="23" xfId="0" applyNumberFormat="1" applyFont="1" applyFill="1" applyBorder="1" applyAlignment="1">
      <alignment vertical="center"/>
    </xf>
    <xf numFmtId="174" fontId="66" fillId="27" borderId="13" xfId="0" applyNumberFormat="1" applyFont="1" applyFill="1" applyBorder="1" applyAlignment="1">
      <alignment horizontal="center" vertical="center"/>
    </xf>
    <xf numFmtId="43" fontId="69" fillId="27" borderId="13" xfId="323" applyNumberFormat="1" applyFont="1" applyFill="1" applyBorder="1" applyAlignment="1">
      <alignment horizontal="center" vertical="center" wrapText="1"/>
    </xf>
    <xf numFmtId="43" fontId="69" fillId="27" borderId="19" xfId="0" applyNumberFormat="1" applyFont="1" applyFill="1" applyBorder="1" applyAlignment="1">
      <alignment vertical="center"/>
    </xf>
    <xf numFmtId="0" fontId="62" fillId="27" borderId="13" xfId="0" applyNumberFormat="1" applyFont="1" applyFill="1" applyBorder="1" applyAlignment="1">
      <alignment horizontal="center" vertical="center"/>
    </xf>
    <xf numFmtId="174" fontId="62" fillId="27" borderId="19" xfId="0" applyFont="1" applyFill="1" applyBorder="1" applyAlignment="1">
      <alignment vertical="center"/>
    </xf>
    <xf numFmtId="0" fontId="82" fillId="27" borderId="13" xfId="0" applyNumberFormat="1" applyFont="1" applyFill="1" applyBorder="1" applyAlignment="1">
      <alignment horizontal="center" vertical="center"/>
    </xf>
    <xf numFmtId="181" fontId="82" fillId="27" borderId="13" xfId="0" applyNumberFormat="1" applyFont="1" applyFill="1" applyBorder="1" applyAlignment="1">
      <alignment horizontal="center" vertical="center"/>
    </xf>
    <xf numFmtId="181" fontId="83" fillId="27" borderId="0" xfId="0" applyNumberFormat="1" applyFont="1" applyFill="1" applyBorder="1" applyAlignment="1">
      <alignment horizontal="center" vertical="center"/>
    </xf>
    <xf numFmtId="0" fontId="82" fillId="27" borderId="23" xfId="0" applyNumberFormat="1" applyFont="1" applyFill="1" applyBorder="1" applyAlignment="1">
      <alignment horizontal="center" vertical="center"/>
    </xf>
    <xf numFmtId="181" fontId="82" fillId="27" borderId="23" xfId="0" applyNumberFormat="1" applyFont="1" applyFill="1" applyBorder="1" applyAlignment="1">
      <alignment horizontal="center" vertical="center"/>
    </xf>
    <xf numFmtId="174" fontId="82" fillId="27" borderId="19" xfId="0" applyFont="1" applyFill="1" applyBorder="1" applyAlignment="1">
      <alignment vertical="center"/>
    </xf>
    <xf numFmtId="181" fontId="82" fillId="27" borderId="19" xfId="0" applyNumberFormat="1" applyFont="1" applyFill="1" applyBorder="1" applyAlignment="1">
      <alignment horizontal="center" vertical="center"/>
    </xf>
    <xf numFmtId="43" fontId="83" fillId="27" borderId="0" xfId="607" applyFont="1" applyFill="1" applyBorder="1" applyAlignment="1">
      <alignment horizontal="right"/>
    </xf>
    <xf numFmtId="174" fontId="82" fillId="27" borderId="13" xfId="0" applyFont="1" applyFill="1" applyBorder="1" applyAlignment="1">
      <alignment horizontal="center" vertical="center" wrapText="1"/>
    </xf>
    <xf numFmtId="43" fontId="82" fillId="27" borderId="19" xfId="607" applyFont="1" applyFill="1" applyBorder="1" applyAlignment="1">
      <alignment horizontal="right"/>
    </xf>
    <xf numFmtId="174" fontId="82" fillId="27" borderId="12" xfId="0" applyFont="1" applyFill="1" applyBorder="1" applyAlignment="1">
      <alignment horizontal="left" vertical="center" wrapText="1"/>
    </xf>
    <xf numFmtId="174" fontId="0" fillId="0" borderId="12" xfId="0" applyBorder="1"/>
    <xf numFmtId="3" fontId="53" fillId="27" borderId="20" xfId="323" applyNumberFormat="1" applyFont="1" applyFill="1" applyBorder="1" applyAlignment="1">
      <alignment horizontal="center" vertical="center"/>
    </xf>
    <xf numFmtId="174" fontId="68" fillId="27" borderId="13" xfId="0" applyFont="1" applyFill="1" applyBorder="1" applyAlignment="1">
      <alignment horizontal="center" vertical="center"/>
    </xf>
    <xf numFmtId="174" fontId="69" fillId="27" borderId="13" xfId="0" applyFont="1" applyFill="1" applyBorder="1" applyAlignment="1">
      <alignment horizontal="center" vertical="center"/>
    </xf>
    <xf numFmtId="49" fontId="69" fillId="27" borderId="13" xfId="0" applyNumberFormat="1" applyFont="1" applyFill="1" applyBorder="1" applyAlignment="1">
      <alignment horizontal="center" vertical="center" wrapText="1"/>
    </xf>
    <xf numFmtId="167" fontId="53" fillId="27" borderId="0" xfId="323" applyNumberFormat="1" applyFont="1" applyFill="1" applyBorder="1" applyAlignment="1">
      <alignment vertical="center"/>
    </xf>
    <xf numFmtId="49" fontId="69" fillId="27" borderId="23" xfId="0" applyNumberFormat="1" applyFont="1" applyFill="1" applyBorder="1" applyAlignment="1">
      <alignment horizontal="center" vertical="center" wrapText="1"/>
    </xf>
    <xf numFmtId="49" fontId="69" fillId="27" borderId="16" xfId="0" applyNumberFormat="1" applyFont="1" applyFill="1" applyBorder="1" applyAlignment="1">
      <alignment horizontal="center" vertical="center" wrapText="1"/>
    </xf>
    <xf numFmtId="167" fontId="69" fillId="27" borderId="23" xfId="0" applyNumberFormat="1" applyFont="1" applyFill="1" applyBorder="1" applyAlignment="1">
      <alignment vertical="center" wrapText="1"/>
    </xf>
    <xf numFmtId="49" fontId="69" fillId="27" borderId="15" xfId="0" applyNumberFormat="1" applyFont="1" applyFill="1" applyBorder="1" applyAlignment="1">
      <alignment horizontal="center" vertical="center" wrapText="1"/>
    </xf>
    <xf numFmtId="49" fontId="68" fillId="27" borderId="13" xfId="0" applyNumberFormat="1" applyFont="1" applyFill="1" applyBorder="1" applyAlignment="1">
      <alignment horizontal="center" wrapText="1"/>
    </xf>
    <xf numFmtId="167" fontId="61" fillId="27" borderId="0" xfId="323" applyNumberFormat="1" applyFont="1" applyFill="1" applyBorder="1"/>
    <xf numFmtId="167" fontId="68" fillId="27" borderId="0" xfId="0" applyNumberFormat="1" applyFont="1" applyFill="1" applyBorder="1" applyAlignment="1">
      <alignment horizontal="center" wrapText="1"/>
    </xf>
    <xf numFmtId="49" fontId="68" fillId="27" borderId="23" xfId="0" applyNumberFormat="1" applyFont="1" applyFill="1" applyBorder="1" applyAlignment="1">
      <alignment horizontal="center" vertical="center" wrapText="1"/>
    </xf>
    <xf numFmtId="49" fontId="68" fillId="27" borderId="16" xfId="0" applyNumberFormat="1" applyFont="1" applyFill="1" applyBorder="1" applyAlignment="1">
      <alignment horizontal="center" vertical="center" wrapText="1"/>
    </xf>
    <xf numFmtId="49" fontId="68" fillId="27" borderId="19" xfId="0" applyNumberFormat="1" applyFont="1" applyFill="1" applyBorder="1" applyAlignment="1">
      <alignment horizontal="center"/>
    </xf>
    <xf numFmtId="167" fontId="68" fillId="27" borderId="23" xfId="0" applyNumberFormat="1" applyFont="1" applyFill="1" applyBorder="1" applyAlignment="1">
      <alignment horizontal="center" wrapText="1"/>
    </xf>
    <xf numFmtId="10" fontId="68" fillId="27" borderId="23" xfId="0" applyNumberFormat="1" applyFont="1" applyFill="1" applyBorder="1"/>
    <xf numFmtId="10" fontId="68" fillId="27" borderId="16" xfId="0" applyNumberFormat="1" applyFont="1" applyFill="1" applyBorder="1"/>
    <xf numFmtId="171" fontId="69" fillId="27" borderId="23" xfId="0" applyNumberFormat="1" applyFont="1" applyFill="1" applyBorder="1"/>
    <xf numFmtId="171" fontId="69" fillId="27" borderId="16" xfId="0" applyNumberFormat="1" applyFont="1" applyFill="1" applyBorder="1"/>
    <xf numFmtId="167" fontId="69" fillId="27" borderId="13" xfId="0" applyNumberFormat="1" applyFont="1" applyFill="1" applyBorder="1" applyAlignment="1">
      <alignment horizontal="right" wrapText="1"/>
    </xf>
    <xf numFmtId="49" fontId="69" fillId="27" borderId="13" xfId="0" applyNumberFormat="1" applyFont="1" applyFill="1" applyBorder="1" applyAlignment="1">
      <alignment horizontal="center" wrapText="1"/>
    </xf>
    <xf numFmtId="167" fontId="53" fillId="27" borderId="0" xfId="323" applyNumberFormat="1" applyFont="1" applyFill="1" applyBorder="1" applyAlignment="1">
      <alignment horizontal="right"/>
    </xf>
    <xf numFmtId="167" fontId="69" fillId="27" borderId="23" xfId="0" applyNumberFormat="1" applyFont="1" applyFill="1" applyBorder="1" applyAlignment="1">
      <alignment horizontal="right" wrapText="1"/>
    </xf>
    <xf numFmtId="10" fontId="69" fillId="27" borderId="23" xfId="0" applyNumberFormat="1" applyFont="1" applyFill="1" applyBorder="1" applyAlignment="1">
      <alignment horizontal="right"/>
    </xf>
    <xf numFmtId="10" fontId="69" fillId="27" borderId="16" xfId="0" applyNumberFormat="1" applyFont="1" applyFill="1" applyBorder="1" applyAlignment="1">
      <alignment horizontal="right"/>
    </xf>
    <xf numFmtId="10" fontId="69" fillId="27" borderId="26" xfId="0" applyNumberFormat="1" applyFont="1" applyFill="1" applyBorder="1" applyAlignment="1">
      <alignment horizontal="right"/>
    </xf>
    <xf numFmtId="167" fontId="69" fillId="27" borderId="19" xfId="0" applyNumberFormat="1" applyFont="1" applyFill="1" applyBorder="1" applyAlignment="1">
      <alignment horizontal="right" wrapText="1"/>
    </xf>
    <xf numFmtId="167" fontId="69" fillId="27" borderId="14" xfId="0" applyNumberFormat="1" applyFont="1" applyFill="1" applyBorder="1" applyAlignment="1">
      <alignment horizontal="right" wrapText="1"/>
    </xf>
    <xf numFmtId="49" fontId="68" fillId="27" borderId="13" xfId="0" applyNumberFormat="1" applyFont="1" applyFill="1" applyBorder="1" applyAlignment="1">
      <alignment horizontal="center" vertical="center" wrapText="1"/>
    </xf>
    <xf numFmtId="49" fontId="68" fillId="0" borderId="13" xfId="0" applyNumberFormat="1" applyFont="1" applyFill="1" applyBorder="1" applyAlignment="1">
      <alignment horizontal="center" vertical="center" wrapText="1"/>
    </xf>
    <xf numFmtId="49" fontId="52" fillId="0" borderId="20" xfId="0" applyNumberFormat="1" applyFont="1" applyFill="1" applyBorder="1" applyAlignment="1">
      <alignment horizontal="center" vertical="center" wrapText="1"/>
    </xf>
    <xf numFmtId="167" fontId="69" fillId="27" borderId="0" xfId="0" applyNumberFormat="1" applyFont="1" applyFill="1" applyBorder="1" applyAlignment="1">
      <alignment horizontal="center" vertical="center" wrapText="1"/>
    </xf>
    <xf numFmtId="167" fontId="61" fillId="27" borderId="0" xfId="323" applyNumberFormat="1" applyFont="1" applyFill="1" applyBorder="1" applyAlignment="1">
      <alignment vertical="center"/>
    </xf>
    <xf numFmtId="49" fontId="68" fillId="27" borderId="15" xfId="0" applyNumberFormat="1" applyFont="1" applyFill="1" applyBorder="1" applyAlignment="1">
      <alignment horizontal="center" vertical="center" wrapText="1"/>
    </xf>
    <xf numFmtId="49" fontId="68" fillId="27" borderId="19" xfId="0" applyNumberFormat="1" applyFont="1" applyFill="1" applyBorder="1" applyAlignment="1">
      <alignment horizontal="center" vertical="center" wrapText="1"/>
    </xf>
    <xf numFmtId="167" fontId="69" fillId="27" borderId="11" xfId="0" applyNumberFormat="1" applyFont="1" applyFill="1" applyBorder="1" applyAlignment="1">
      <alignment horizontal="center" vertical="center" wrapText="1"/>
    </xf>
    <xf numFmtId="167" fontId="53" fillId="27" borderId="20" xfId="323" applyNumberFormat="1" applyFont="1" applyFill="1" applyBorder="1" applyAlignment="1">
      <alignment vertical="center"/>
    </xf>
    <xf numFmtId="167" fontId="53" fillId="27" borderId="18" xfId="323" applyNumberFormat="1" applyFont="1" applyFill="1" applyBorder="1" applyAlignment="1">
      <alignment vertical="center"/>
    </xf>
    <xf numFmtId="167" fontId="53" fillId="27" borderId="11" xfId="323" applyNumberFormat="1" applyFont="1" applyFill="1" applyBorder="1" applyAlignment="1">
      <alignment vertical="center"/>
    </xf>
    <xf numFmtId="167" fontId="61" fillId="0" borderId="0" xfId="323" applyNumberFormat="1" applyFont="1" applyFill="1" applyBorder="1"/>
    <xf numFmtId="167" fontId="61" fillId="0" borderId="0" xfId="323" applyNumberFormat="1" applyFont="1" applyFill="1" applyBorder="1" applyAlignment="1">
      <alignment vertical="center"/>
    </xf>
    <xf numFmtId="167" fontId="53" fillId="0" borderId="0" xfId="323" applyNumberFormat="1" applyFont="1" applyFill="1" applyBorder="1"/>
    <xf numFmtId="171" fontId="69" fillId="27" borderId="0" xfId="0" applyNumberFormat="1" applyFont="1" applyFill="1" applyBorder="1"/>
    <xf numFmtId="167" fontId="69" fillId="27" borderId="0" xfId="323" applyNumberFormat="1" applyFont="1" applyFill="1" applyBorder="1" applyAlignment="1">
      <alignment vertical="center"/>
    </xf>
    <xf numFmtId="171" fontId="69" fillId="27" borderId="0" xfId="0" applyNumberFormat="1" applyFont="1" applyFill="1" applyBorder="1" applyAlignment="1">
      <alignment vertical="center"/>
    </xf>
    <xf numFmtId="167" fontId="69" fillId="27" borderId="23" xfId="323" applyNumberFormat="1" applyFont="1" applyFill="1" applyBorder="1" applyAlignment="1">
      <alignment vertical="center"/>
    </xf>
    <xf numFmtId="171" fontId="69" fillId="27" borderId="26" xfId="0" applyNumberFormat="1" applyFont="1" applyFill="1" applyBorder="1"/>
    <xf numFmtId="171" fontId="69" fillId="27" borderId="12" xfId="0" applyNumberFormat="1" applyFont="1" applyFill="1" applyBorder="1"/>
    <xf numFmtId="167" fontId="53" fillId="27" borderId="12" xfId="323" applyNumberFormat="1" applyFont="1" applyFill="1" applyBorder="1"/>
    <xf numFmtId="171" fontId="69" fillId="27" borderId="27" xfId="0" applyNumberFormat="1" applyFont="1" applyFill="1" applyBorder="1"/>
    <xf numFmtId="171" fontId="69" fillId="27" borderId="11" xfId="0" applyNumberFormat="1" applyFont="1" applyFill="1" applyBorder="1" applyAlignment="1">
      <alignment vertical="center"/>
    </xf>
    <xf numFmtId="171" fontId="69" fillId="27" borderId="11" xfId="0" applyNumberFormat="1" applyFont="1" applyFill="1" applyBorder="1"/>
    <xf numFmtId="171" fontId="69" fillId="27" borderId="22" xfId="0" applyNumberFormat="1" applyFont="1" applyFill="1" applyBorder="1"/>
    <xf numFmtId="174" fontId="69" fillId="27" borderId="15" xfId="0" applyFont="1" applyFill="1" applyBorder="1" applyAlignment="1">
      <alignment horizontal="center" vertical="center" wrapText="1"/>
    </xf>
    <xf numFmtId="167" fontId="53" fillId="27" borderId="21" xfId="323" applyNumberFormat="1" applyFont="1" applyFill="1" applyBorder="1"/>
    <xf numFmtId="167" fontId="53" fillId="27" borderId="20" xfId="323" applyNumberFormat="1" applyFont="1" applyFill="1" applyBorder="1"/>
    <xf numFmtId="174" fontId="69" fillId="27" borderId="15" xfId="0" applyFont="1" applyFill="1" applyBorder="1" applyAlignment="1">
      <alignment horizontal="center" vertical="center"/>
    </xf>
    <xf numFmtId="167" fontId="69" fillId="27" borderId="15" xfId="323" applyNumberFormat="1" applyFont="1" applyFill="1" applyBorder="1" applyAlignment="1">
      <alignment vertical="center"/>
    </xf>
    <xf numFmtId="167" fontId="69" fillId="27" borderId="23" xfId="0" applyNumberFormat="1" applyFont="1" applyFill="1" applyBorder="1" applyAlignment="1">
      <alignment horizontal="center" wrapText="1"/>
    </xf>
    <xf numFmtId="167" fontId="53" fillId="27" borderId="11" xfId="323" applyNumberFormat="1" applyFont="1" applyFill="1" applyBorder="1"/>
    <xf numFmtId="167" fontId="61" fillId="27" borderId="0" xfId="323" applyNumberFormat="1" applyFont="1" applyFill="1" applyBorder="1" applyAlignment="1">
      <alignment horizontal="right"/>
    </xf>
    <xf numFmtId="49" fontId="51" fillId="27" borderId="23" xfId="0" applyNumberFormat="1" applyFont="1" applyFill="1" applyBorder="1" applyAlignment="1">
      <alignment horizontal="center" vertical="center" wrapText="1"/>
    </xf>
    <xf numFmtId="49" fontId="51" fillId="27" borderId="16" xfId="0" applyNumberFormat="1" applyFont="1" applyFill="1" applyBorder="1" applyAlignment="1">
      <alignment horizontal="center" vertical="center" wrapText="1"/>
    </xf>
    <xf numFmtId="49" fontId="51" fillId="27" borderId="13" xfId="0" applyNumberFormat="1" applyFont="1" applyFill="1" applyBorder="1" applyAlignment="1">
      <alignment horizontal="center" vertical="center"/>
    </xf>
    <xf numFmtId="49" fontId="51" fillId="27" borderId="19" xfId="0" applyNumberFormat="1" applyFont="1" applyFill="1" applyBorder="1" applyAlignment="1">
      <alignment horizontal="center" vertical="center"/>
    </xf>
    <xf numFmtId="171" fontId="68" fillId="27" borderId="26" xfId="0" applyNumberFormat="1" applyFont="1" applyFill="1" applyBorder="1"/>
    <xf numFmtId="171" fontId="68" fillId="27" borderId="16" xfId="0" applyNumberFormat="1" applyFont="1" applyFill="1" applyBorder="1"/>
    <xf numFmtId="10" fontId="69" fillId="27" borderId="0" xfId="0" applyNumberFormat="1" applyFont="1" applyFill="1" applyBorder="1" applyAlignment="1">
      <alignment vertical="center"/>
    </xf>
    <xf numFmtId="10" fontId="69" fillId="27" borderId="16" xfId="0" applyNumberFormat="1" applyFont="1" applyFill="1" applyBorder="1" applyAlignment="1">
      <alignment vertical="center"/>
    </xf>
    <xf numFmtId="167" fontId="53" fillId="27" borderId="20" xfId="323" applyNumberFormat="1" applyFont="1" applyFill="1" applyBorder="1" applyAlignment="1">
      <alignment horizontal="right"/>
    </xf>
    <xf numFmtId="10" fontId="69" fillId="27" borderId="26" xfId="0" applyNumberFormat="1" applyFont="1" applyFill="1" applyBorder="1" applyAlignment="1">
      <alignment vertical="center"/>
    </xf>
    <xf numFmtId="167" fontId="69" fillId="27" borderId="15" xfId="0" applyNumberFormat="1" applyFont="1" applyFill="1" applyBorder="1" applyAlignment="1">
      <alignment horizontal="center" wrapText="1"/>
    </xf>
    <xf numFmtId="10" fontId="51" fillId="27" borderId="0" xfId="0" applyNumberFormat="1" applyFont="1" applyFill="1" applyBorder="1" applyAlignment="1">
      <alignment horizontal="right"/>
    </xf>
    <xf numFmtId="167" fontId="68" fillId="27" borderId="23" xfId="0" applyNumberFormat="1" applyFont="1" applyFill="1" applyBorder="1" applyAlignment="1">
      <alignment horizontal="right" wrapText="1"/>
    </xf>
    <xf numFmtId="10" fontId="51" fillId="27" borderId="23" xfId="0" applyNumberFormat="1" applyFont="1" applyFill="1" applyBorder="1" applyAlignment="1">
      <alignment horizontal="right"/>
    </xf>
    <xf numFmtId="10" fontId="51" fillId="27" borderId="16" xfId="0" applyNumberFormat="1" applyFont="1" applyFill="1" applyBorder="1" applyAlignment="1">
      <alignment horizontal="right"/>
    </xf>
    <xf numFmtId="10" fontId="51" fillId="27" borderId="26" xfId="0" applyNumberFormat="1" applyFont="1" applyFill="1" applyBorder="1" applyAlignment="1">
      <alignment horizontal="right"/>
    </xf>
    <xf numFmtId="167" fontId="68" fillId="0" borderId="0" xfId="0" applyNumberFormat="1" applyFont="1" applyFill="1" applyBorder="1" applyAlignment="1">
      <alignment horizontal="center" vertical="center" wrapText="1"/>
    </xf>
    <xf numFmtId="171" fontId="61" fillId="0" borderId="0" xfId="0" applyNumberFormat="1" applyFont="1" applyFill="1" applyBorder="1" applyAlignment="1">
      <alignment vertical="center"/>
    </xf>
    <xf numFmtId="49" fontId="68" fillId="0" borderId="23" xfId="0" applyNumberFormat="1" applyFont="1" applyFill="1" applyBorder="1" applyAlignment="1">
      <alignment horizontal="center" vertical="center" wrapText="1"/>
    </xf>
    <xf numFmtId="49" fontId="68" fillId="0" borderId="16" xfId="0" applyNumberFormat="1" applyFont="1" applyFill="1" applyBorder="1" applyAlignment="1">
      <alignment horizontal="center" vertical="center" wrapText="1"/>
    </xf>
    <xf numFmtId="174" fontId="68" fillId="0" borderId="13" xfId="0" applyFont="1" applyFill="1" applyBorder="1" applyAlignment="1">
      <alignment horizontal="center" vertical="center"/>
    </xf>
    <xf numFmtId="49" fontId="68" fillId="0" borderId="19" xfId="0" applyNumberFormat="1" applyFont="1" applyFill="1" applyBorder="1" applyAlignment="1">
      <alignment horizontal="center" vertical="center"/>
    </xf>
    <xf numFmtId="171" fontId="61" fillId="0" borderId="26" xfId="0" applyNumberFormat="1" applyFont="1" applyFill="1" applyBorder="1" applyAlignment="1">
      <alignment vertical="center"/>
    </xf>
    <xf numFmtId="167" fontId="68" fillId="0" borderId="23" xfId="0" applyNumberFormat="1" applyFont="1" applyFill="1" applyBorder="1" applyAlignment="1">
      <alignment horizontal="center" vertical="center" wrapText="1"/>
    </xf>
    <xf numFmtId="171" fontId="68" fillId="0" borderId="23" xfId="0" applyNumberFormat="1" applyFont="1" applyFill="1" applyBorder="1" applyAlignment="1">
      <alignment vertical="center"/>
    </xf>
    <xf numFmtId="171" fontId="68" fillId="0" borderId="16" xfId="0" applyNumberFormat="1" applyFont="1" applyFill="1" applyBorder="1" applyAlignment="1">
      <alignment vertical="center"/>
    </xf>
    <xf numFmtId="174" fontId="69" fillId="0" borderId="13" xfId="0" applyFont="1" applyFill="1" applyBorder="1" applyAlignment="1">
      <alignment horizontal="center" vertical="center"/>
    </xf>
    <xf numFmtId="49" fontId="69" fillId="0" borderId="19" xfId="0" applyNumberFormat="1" applyFont="1" applyFill="1" applyBorder="1" applyAlignment="1">
      <alignment horizontal="center"/>
    </xf>
    <xf numFmtId="167" fontId="69" fillId="0" borderId="23" xfId="323" applyNumberFormat="1" applyFont="1" applyFill="1" applyBorder="1" applyAlignment="1">
      <alignment vertical="center"/>
    </xf>
    <xf numFmtId="10" fontId="66" fillId="0" borderId="23" xfId="0" applyNumberFormat="1" applyFont="1" applyFill="1" applyBorder="1" applyAlignment="1">
      <alignment vertical="center"/>
    </xf>
    <xf numFmtId="10" fontId="66" fillId="0" borderId="16" xfId="0" applyNumberFormat="1" applyFont="1" applyFill="1" applyBorder="1" applyAlignment="1">
      <alignment vertical="center"/>
    </xf>
    <xf numFmtId="10" fontId="66" fillId="0" borderId="0" xfId="0" applyNumberFormat="1" applyFont="1" applyFill="1" applyBorder="1"/>
    <xf numFmtId="10" fontId="66" fillId="0" borderId="26" xfId="0" applyNumberFormat="1" applyFont="1" applyFill="1" applyBorder="1"/>
    <xf numFmtId="174" fontId="68" fillId="0" borderId="13" xfId="0" applyFont="1" applyFill="1" applyBorder="1"/>
    <xf numFmtId="171" fontId="68" fillId="0" borderId="0" xfId="0" applyNumberFormat="1" applyFont="1" applyFill="1" applyBorder="1"/>
    <xf numFmtId="171" fontId="68" fillId="0" borderId="26" xfId="0" applyNumberFormat="1" applyFont="1" applyFill="1" applyBorder="1"/>
    <xf numFmtId="174" fontId="68" fillId="0" borderId="23" xfId="0" applyFont="1" applyFill="1" applyBorder="1" applyAlignment="1">
      <alignment horizontal="center" vertical="center" wrapText="1"/>
    </xf>
    <xf numFmtId="174" fontId="68" fillId="0" borderId="16" xfId="0" applyFont="1" applyFill="1" applyBorder="1" applyAlignment="1">
      <alignment horizontal="center" vertical="center" wrapText="1"/>
    </xf>
    <xf numFmtId="49" fontId="68" fillId="0" borderId="19" xfId="0" applyNumberFormat="1" applyFont="1" applyFill="1" applyBorder="1" applyAlignment="1">
      <alignment horizontal="center"/>
    </xf>
    <xf numFmtId="0" fontId="68" fillId="0" borderId="19" xfId="0" applyNumberFormat="1" applyFont="1" applyFill="1" applyBorder="1" applyAlignment="1">
      <alignment horizontal="center"/>
    </xf>
    <xf numFmtId="167" fontId="68" fillId="0" borderId="23" xfId="323" applyNumberFormat="1" applyFont="1" applyFill="1" applyBorder="1"/>
    <xf numFmtId="171" fontId="68" fillId="0" borderId="23" xfId="0" applyNumberFormat="1" applyFont="1" applyFill="1" applyBorder="1"/>
    <xf numFmtId="171" fontId="68" fillId="0" borderId="16" xfId="0" applyNumberFormat="1" applyFont="1" applyFill="1" applyBorder="1"/>
    <xf numFmtId="10" fontId="68" fillId="27" borderId="0" xfId="323" applyNumberFormat="1" applyFont="1" applyFill="1" applyBorder="1"/>
    <xf numFmtId="10" fontId="68" fillId="27" borderId="26" xfId="323" applyNumberFormat="1" applyFont="1" applyFill="1" applyBorder="1"/>
    <xf numFmtId="171" fontId="68" fillId="27" borderId="0" xfId="323" applyNumberFormat="1" applyFont="1" applyFill="1" applyBorder="1" applyAlignment="1">
      <alignment horizontal="right"/>
    </xf>
    <xf numFmtId="49" fontId="68" fillId="27" borderId="13" xfId="0" applyNumberFormat="1" applyFont="1" applyFill="1" applyBorder="1" applyAlignment="1">
      <alignment horizontal="center" vertical="center"/>
    </xf>
    <xf numFmtId="171" fontId="68" fillId="27" borderId="23" xfId="0" applyNumberFormat="1" applyFont="1" applyFill="1" applyBorder="1"/>
    <xf numFmtId="49" fontId="68" fillId="0" borderId="20" xfId="0" applyNumberFormat="1" applyFont="1" applyFill="1" applyBorder="1" applyAlignment="1">
      <alignment horizontal="center" vertical="center" wrapText="1"/>
    </xf>
    <xf numFmtId="49" fontId="68" fillId="0" borderId="26" xfId="0" applyNumberFormat="1" applyFont="1" applyFill="1" applyBorder="1" applyAlignment="1">
      <alignment horizontal="center" vertical="center" wrapText="1"/>
    </xf>
    <xf numFmtId="174" fontId="80" fillId="27" borderId="0" xfId="0" applyFont="1" applyFill="1" applyBorder="1" applyAlignment="1">
      <alignment horizontal="center" vertical="center"/>
    </xf>
    <xf numFmtId="174" fontId="80" fillId="27" borderId="0" xfId="0" applyFont="1" applyFill="1" applyBorder="1"/>
    <xf numFmtId="49" fontId="68" fillId="27" borderId="23" xfId="0" applyNumberFormat="1" applyFont="1" applyFill="1" applyBorder="1" applyAlignment="1">
      <alignment horizontal="center" wrapText="1"/>
    </xf>
    <xf numFmtId="49" fontId="68" fillId="27" borderId="19" xfId="0" applyNumberFormat="1" applyFont="1" applyFill="1" applyBorder="1" applyAlignment="1">
      <alignment horizontal="center" vertical="center"/>
    </xf>
    <xf numFmtId="49" fontId="68" fillId="0" borderId="13" xfId="0" applyNumberFormat="1" applyFont="1" applyFill="1" applyBorder="1" applyAlignment="1">
      <alignment horizontal="center" vertical="center"/>
    </xf>
    <xf numFmtId="49" fontId="68" fillId="0" borderId="15" xfId="0" applyNumberFormat="1" applyFont="1" applyFill="1" applyBorder="1" applyAlignment="1">
      <alignment horizontal="center" wrapText="1"/>
    </xf>
    <xf numFmtId="49" fontId="69" fillId="0" borderId="14" xfId="0" applyNumberFormat="1" applyFont="1" applyFill="1" applyBorder="1" applyAlignment="1">
      <alignment horizontal="center"/>
    </xf>
    <xf numFmtId="167" fontId="68" fillId="27" borderId="23" xfId="0" applyNumberFormat="1" applyFont="1" applyFill="1" applyBorder="1" applyAlignment="1">
      <alignment horizontal="center" vertical="center" wrapText="1"/>
    </xf>
    <xf numFmtId="167" fontId="69" fillId="27" borderId="23" xfId="0" applyNumberFormat="1" applyFont="1" applyFill="1" applyBorder="1" applyAlignment="1">
      <alignment horizontal="center" vertical="center" wrapText="1"/>
    </xf>
    <xf numFmtId="10" fontId="68" fillId="27" borderId="23" xfId="0" applyNumberFormat="1" applyFont="1" applyFill="1" applyBorder="1" applyAlignment="1">
      <alignment vertical="center"/>
    </xf>
    <xf numFmtId="10" fontId="68" fillId="27" borderId="16" xfId="0" applyNumberFormat="1" applyFont="1" applyFill="1" applyBorder="1" applyAlignment="1">
      <alignment vertical="center"/>
    </xf>
    <xf numFmtId="10" fontId="68" fillId="27" borderId="0" xfId="323" applyNumberFormat="1" applyFont="1" applyFill="1" applyBorder="1" applyAlignment="1">
      <alignment horizontal="right" vertical="center"/>
    </xf>
    <xf numFmtId="10" fontId="68" fillId="27" borderId="26" xfId="323" applyNumberFormat="1" applyFont="1" applyFill="1" applyBorder="1" applyAlignment="1">
      <alignment horizontal="right" vertical="center"/>
    </xf>
    <xf numFmtId="10" fontId="68" fillId="27" borderId="0" xfId="323" applyNumberFormat="1" applyFont="1" applyFill="1" applyBorder="1" applyAlignment="1">
      <alignment horizontal="right"/>
    </xf>
    <xf numFmtId="10" fontId="68" fillId="27" borderId="26" xfId="323" applyNumberFormat="1" applyFont="1" applyFill="1" applyBorder="1" applyAlignment="1">
      <alignment horizontal="right"/>
    </xf>
    <xf numFmtId="10" fontId="66" fillId="27" borderId="26" xfId="0" applyNumberFormat="1" applyFont="1" applyFill="1" applyBorder="1" applyAlignment="1">
      <alignment vertical="center"/>
    </xf>
    <xf numFmtId="10" fontId="66" fillId="27" borderId="16" xfId="0" applyNumberFormat="1" applyFont="1" applyFill="1" applyBorder="1" applyAlignment="1">
      <alignment vertical="center"/>
    </xf>
    <xf numFmtId="167" fontId="69" fillId="27" borderId="19" xfId="0" applyNumberFormat="1" applyFont="1" applyFill="1" applyBorder="1" applyAlignment="1">
      <alignment horizontal="left" vertical="center" wrapText="1"/>
    </xf>
    <xf numFmtId="174" fontId="52" fillId="27" borderId="13" xfId="0" applyFont="1" applyFill="1" applyBorder="1" applyAlignment="1">
      <alignment horizontal="center" vertical="center"/>
    </xf>
    <xf numFmtId="49" fontId="52" fillId="27" borderId="13" xfId="0" applyNumberFormat="1" applyFont="1" applyFill="1" applyBorder="1" applyAlignment="1">
      <alignment horizontal="center" wrapText="1"/>
    </xf>
    <xf numFmtId="174" fontId="52" fillId="27" borderId="19" xfId="0" applyFont="1" applyFill="1" applyBorder="1" applyAlignment="1">
      <alignment horizontal="left" vertical="center"/>
    </xf>
    <xf numFmtId="3" fontId="69" fillId="27" borderId="0" xfId="323" applyNumberFormat="1" applyFont="1" applyFill="1" applyBorder="1" applyAlignment="1">
      <alignment horizontal="center" vertical="center"/>
    </xf>
    <xf numFmtId="3" fontId="53" fillId="27" borderId="0" xfId="0" applyNumberFormat="1" applyFont="1" applyFill="1" applyBorder="1" applyAlignment="1">
      <alignment horizontal="center" vertical="center"/>
    </xf>
    <xf numFmtId="3" fontId="69" fillId="27" borderId="0" xfId="0" applyNumberFormat="1" applyFont="1" applyFill="1" applyBorder="1" applyAlignment="1">
      <alignment horizontal="center" vertical="center"/>
    </xf>
    <xf numFmtId="3" fontId="53" fillId="27" borderId="26" xfId="323" applyNumberFormat="1" applyFont="1" applyFill="1" applyBorder="1" applyAlignment="1">
      <alignment horizontal="center" vertical="center"/>
    </xf>
    <xf numFmtId="3" fontId="69" fillId="27" borderId="11" xfId="323" applyNumberFormat="1" applyFont="1" applyFill="1" applyBorder="1" applyAlignment="1">
      <alignment horizontal="center" vertical="center"/>
    </xf>
    <xf numFmtId="3" fontId="69" fillId="27" borderId="11" xfId="0" applyNumberFormat="1" applyFont="1" applyFill="1" applyBorder="1" applyAlignment="1">
      <alignment horizontal="center" vertical="center"/>
    </xf>
    <xf numFmtId="3" fontId="53" fillId="27" borderId="11" xfId="323" applyNumberFormat="1" applyFont="1" applyFill="1" applyBorder="1" applyAlignment="1">
      <alignment horizontal="center" vertical="center"/>
    </xf>
    <xf numFmtId="3" fontId="53" fillId="27" borderId="22" xfId="323" applyNumberFormat="1" applyFont="1" applyFill="1" applyBorder="1" applyAlignment="1">
      <alignment horizontal="center" vertical="center"/>
    </xf>
    <xf numFmtId="14" fontId="69" fillId="27" borderId="13" xfId="0" applyNumberFormat="1" applyFont="1" applyFill="1" applyBorder="1" applyAlignment="1">
      <alignment horizontal="center" vertical="center" wrapText="1"/>
    </xf>
    <xf numFmtId="37" fontId="55" fillId="27" borderId="0" xfId="323" applyNumberFormat="1" applyFont="1" applyFill="1" applyBorder="1"/>
    <xf numFmtId="167" fontId="55" fillId="27" borderId="0" xfId="323" applyNumberFormat="1" applyFont="1" applyFill="1" applyBorder="1"/>
    <xf numFmtId="49" fontId="66" fillId="27" borderId="23" xfId="0" applyNumberFormat="1" applyFont="1" applyFill="1" applyBorder="1" applyAlignment="1">
      <alignment horizontal="center" vertical="center"/>
    </xf>
    <xf numFmtId="49" fontId="66" fillId="27" borderId="16" xfId="0" applyNumberFormat="1" applyFont="1" applyFill="1" applyBorder="1" applyAlignment="1">
      <alignment horizontal="center" vertical="center"/>
    </xf>
    <xf numFmtId="167" fontId="55" fillId="27" borderId="0" xfId="323" applyNumberFormat="1" applyFont="1" applyFill="1" applyBorder="1" applyAlignment="1">
      <alignment horizontal="center"/>
    </xf>
    <xf numFmtId="37" fontId="55" fillId="27" borderId="26" xfId="323" applyNumberFormat="1" applyFont="1" applyFill="1" applyBorder="1" applyAlignment="1">
      <alignment horizontal="center"/>
    </xf>
    <xf numFmtId="37" fontId="55" fillId="27" borderId="0" xfId="323" applyNumberFormat="1" applyFont="1" applyFill="1" applyBorder="1" applyAlignment="1">
      <alignment horizontal="center"/>
    </xf>
    <xf numFmtId="37" fontId="66" fillId="27" borderId="23" xfId="323" applyNumberFormat="1" applyFont="1" applyFill="1" applyBorder="1" applyAlignment="1">
      <alignment vertical="center"/>
    </xf>
    <xf numFmtId="37" fontId="66" fillId="27" borderId="23" xfId="323" applyNumberFormat="1" applyFont="1" applyFill="1" applyBorder="1" applyAlignment="1">
      <alignment horizontal="center" vertical="center"/>
    </xf>
    <xf numFmtId="37" fontId="66" fillId="27" borderId="16" xfId="323" applyNumberFormat="1" applyFont="1" applyFill="1" applyBorder="1" applyAlignment="1">
      <alignment horizontal="center" vertical="center"/>
    </xf>
    <xf numFmtId="174" fontId="66" fillId="27" borderId="19" xfId="0" applyNumberFormat="1" applyFont="1" applyFill="1" applyBorder="1" applyAlignment="1">
      <alignment horizontal="left" vertical="center"/>
    </xf>
    <xf numFmtId="3" fontId="69" fillId="27" borderId="12" xfId="323" applyNumberFormat="1" applyFont="1" applyFill="1" applyBorder="1" applyAlignment="1">
      <alignment horizontal="center" vertical="center"/>
    </xf>
    <xf numFmtId="3" fontId="69" fillId="27" borderId="12" xfId="0" applyNumberFormat="1" applyFont="1" applyFill="1" applyBorder="1" applyAlignment="1">
      <alignment horizontal="center" vertical="center"/>
    </xf>
    <xf numFmtId="3" fontId="53" fillId="27" borderId="12" xfId="0" applyNumberFormat="1" applyFont="1" applyFill="1" applyBorder="1" applyAlignment="1">
      <alignment horizontal="center" vertical="center"/>
    </xf>
    <xf numFmtId="3" fontId="53" fillId="27" borderId="12" xfId="323" applyNumberFormat="1" applyFont="1" applyFill="1" applyBorder="1" applyAlignment="1">
      <alignment horizontal="center" vertical="center"/>
    </xf>
    <xf numFmtId="3" fontId="53" fillId="27" borderId="27" xfId="323" applyNumberFormat="1" applyFont="1" applyFill="1" applyBorder="1" applyAlignment="1">
      <alignment horizontal="center" vertical="center"/>
    </xf>
    <xf numFmtId="3" fontId="53" fillId="27" borderId="21" xfId="323" applyNumberFormat="1" applyFont="1" applyFill="1" applyBorder="1" applyAlignment="1">
      <alignment horizontal="center" vertical="center"/>
    </xf>
    <xf numFmtId="3" fontId="53" fillId="27" borderId="18" xfId="323" applyNumberFormat="1" applyFont="1" applyFill="1" applyBorder="1" applyAlignment="1">
      <alignment horizontal="center" vertical="center"/>
    </xf>
    <xf numFmtId="3" fontId="53" fillId="27" borderId="11" xfId="0" applyNumberFormat="1" applyFont="1" applyFill="1" applyBorder="1" applyAlignment="1">
      <alignment horizontal="center" vertical="center"/>
    </xf>
    <xf numFmtId="49" fontId="69" fillId="27" borderId="14" xfId="0" applyNumberFormat="1" applyFont="1" applyFill="1" applyBorder="1" applyAlignment="1">
      <alignment horizontal="center"/>
    </xf>
    <xf numFmtId="174" fontId="105" fillId="27" borderId="13" xfId="0" applyFont="1" applyFill="1" applyBorder="1" applyAlignment="1">
      <alignment horizontal="center" vertical="center" wrapText="1"/>
    </xf>
    <xf numFmtId="181" fontId="110" fillId="27" borderId="13" xfId="0" applyNumberFormat="1" applyFont="1" applyFill="1" applyBorder="1" applyAlignment="1">
      <alignment horizontal="left" vertical="center" wrapText="1"/>
    </xf>
    <xf numFmtId="49" fontId="110" fillId="27" borderId="23" xfId="0" applyNumberFormat="1" applyFont="1" applyFill="1" applyBorder="1" applyAlignment="1">
      <alignment horizontal="center" vertical="center" wrapText="1"/>
    </xf>
    <xf numFmtId="49" fontId="110" fillId="27" borderId="16" xfId="0" applyNumberFormat="1" applyFont="1" applyFill="1" applyBorder="1" applyAlignment="1">
      <alignment horizontal="center" vertical="center" wrapText="1"/>
    </xf>
    <xf numFmtId="174" fontId="110" fillId="27" borderId="19" xfId="0" applyFont="1" applyFill="1" applyBorder="1" applyAlignment="1">
      <alignment horizontal="left" vertical="center" wrapText="1"/>
    </xf>
    <xf numFmtId="49" fontId="104" fillId="27" borderId="13" xfId="388" applyNumberFormat="1" applyFont="1" applyFill="1" applyBorder="1" applyAlignment="1">
      <alignment horizontal="center"/>
    </xf>
    <xf numFmtId="4" fontId="95" fillId="27" borderId="26" xfId="323" applyNumberFormat="1" applyFont="1" applyFill="1" applyBorder="1" applyAlignment="1">
      <alignment horizontal="right"/>
    </xf>
    <xf numFmtId="174" fontId="104" fillId="27" borderId="16" xfId="388" applyFont="1" applyFill="1" applyBorder="1" applyAlignment="1">
      <alignment horizontal="center" vertical="center" wrapText="1"/>
    </xf>
    <xf numFmtId="4" fontId="104" fillId="27" borderId="16" xfId="323" applyNumberFormat="1" applyFont="1" applyFill="1" applyBorder="1" applyAlignment="1">
      <alignment horizontal="right"/>
    </xf>
    <xf numFmtId="174" fontId="104" fillId="27" borderId="13" xfId="388" applyNumberFormat="1" applyFont="1" applyFill="1" applyBorder="1" applyAlignment="1">
      <alignment horizontal="center" vertical="center"/>
    </xf>
    <xf numFmtId="49" fontId="104" fillId="27" borderId="19" xfId="388" applyNumberFormat="1" applyFont="1" applyFill="1" applyBorder="1" applyAlignment="1">
      <alignment horizontal="center"/>
    </xf>
    <xf numFmtId="174" fontId="82" fillId="27" borderId="19" xfId="391" applyFont="1" applyFill="1" applyBorder="1" applyAlignment="1">
      <alignment vertical="center"/>
    </xf>
    <xf numFmtId="10" fontId="66" fillId="27" borderId="17" xfId="551" applyNumberFormat="1" applyFont="1" applyFill="1" applyBorder="1" applyAlignment="1">
      <alignment horizontal="center"/>
    </xf>
    <xf numFmtId="10" fontId="66" fillId="27" borderId="19" xfId="551" applyNumberFormat="1" applyFont="1" applyFill="1" applyBorder="1" applyAlignment="1">
      <alignment horizontal="center"/>
    </xf>
    <xf numFmtId="38" fontId="69" fillId="27" borderId="17" xfId="0" applyNumberFormat="1" applyFont="1" applyFill="1" applyBorder="1" applyAlignment="1">
      <alignment horizontal="center" wrapText="1"/>
    </xf>
    <xf numFmtId="174" fontId="69" fillId="0" borderId="21" xfId="0" applyNumberFormat="1" applyFont="1" applyFill="1" applyBorder="1" applyAlignment="1">
      <alignment horizontal="center" vertical="center" wrapText="1"/>
    </xf>
    <xf numFmtId="17" fontId="69" fillId="0" borderId="21" xfId="0" applyNumberFormat="1" applyFont="1" applyFill="1" applyBorder="1" applyAlignment="1" applyProtection="1">
      <alignment horizontal="center" vertical="center"/>
    </xf>
    <xf numFmtId="17" fontId="69" fillId="0" borderId="20" xfId="0" applyNumberFormat="1" applyFont="1" applyFill="1" applyBorder="1" applyAlignment="1" applyProtection="1">
      <alignment horizontal="center" vertical="center"/>
    </xf>
    <xf numFmtId="17" fontId="69" fillId="0" borderId="18" xfId="0" applyNumberFormat="1" applyFont="1" applyFill="1" applyBorder="1" applyAlignment="1" applyProtection="1">
      <alignment horizontal="center" vertical="center"/>
    </xf>
    <xf numFmtId="174" fontId="69" fillId="0" borderId="12" xfId="0" applyNumberFormat="1" applyFont="1" applyFill="1" applyBorder="1" applyAlignment="1">
      <alignment horizontal="center" vertical="center" wrapText="1"/>
    </xf>
    <xf numFmtId="174" fontId="69" fillId="0" borderId="27" xfId="0" applyNumberFormat="1" applyFont="1" applyFill="1" applyBorder="1" applyAlignment="1">
      <alignment horizontal="center" vertical="center" wrapText="1"/>
    </xf>
    <xf numFmtId="174" fontId="88" fillId="0" borderId="0" xfId="0" applyFont="1" applyAlignment="1">
      <alignment horizontal="justify" vertical="justify" wrapText="1"/>
    </xf>
    <xf numFmtId="174" fontId="82" fillId="27" borderId="0" xfId="0" applyFont="1" applyFill="1" applyBorder="1" applyAlignment="1">
      <alignment horizontal="center" vertical="center" wrapText="1"/>
    </xf>
    <xf numFmtId="167" fontId="69" fillId="27" borderId="15" xfId="323" applyNumberFormat="1" applyFont="1" applyFill="1" applyBorder="1" applyAlignment="1">
      <alignment horizontal="center" vertical="center"/>
    </xf>
    <xf numFmtId="17" fontId="69" fillId="27" borderId="15" xfId="0" applyNumberFormat="1" applyFont="1" applyFill="1" applyBorder="1" applyAlignment="1">
      <alignment horizontal="center" vertical="center"/>
    </xf>
    <xf numFmtId="174" fontId="0" fillId="0" borderId="0" xfId="0" applyFont="1" applyAlignment="1">
      <alignment vertical="center"/>
    </xf>
    <xf numFmtId="188" fontId="0" fillId="0" borderId="0" xfId="0" applyNumberFormat="1" applyFont="1"/>
    <xf numFmtId="49" fontId="69" fillId="27" borderId="13" xfId="336" applyNumberFormat="1" applyFont="1" applyFill="1" applyBorder="1" applyAlignment="1">
      <alignment horizontal="center" vertical="center" wrapText="1"/>
    </xf>
    <xf numFmtId="43" fontId="69" fillId="27" borderId="19" xfId="336" applyNumberFormat="1" applyFont="1" applyFill="1" applyBorder="1" applyAlignment="1">
      <alignment vertical="center"/>
    </xf>
    <xf numFmtId="174" fontId="82" fillId="27" borderId="20" xfId="0" applyFont="1" applyFill="1" applyBorder="1" applyAlignment="1">
      <alignment horizontal="center" vertical="center" wrapText="1"/>
    </xf>
    <xf numFmtId="174" fontId="82" fillId="27" borderId="26" xfId="0" applyFont="1" applyFill="1" applyBorder="1" applyAlignment="1">
      <alignment horizontal="center" vertical="center" wrapText="1"/>
    </xf>
    <xf numFmtId="49" fontId="52" fillId="0" borderId="26" xfId="0" applyNumberFormat="1" applyFont="1" applyFill="1" applyBorder="1" applyAlignment="1">
      <alignment horizontal="center" vertical="center" wrapText="1"/>
    </xf>
    <xf numFmtId="174" fontId="0" fillId="0" borderId="0" xfId="0" applyAlignment="1">
      <alignment vertical="top"/>
    </xf>
    <xf numFmtId="0" fontId="47" fillId="0" borderId="0" xfId="742"/>
    <xf numFmtId="173" fontId="47" fillId="0" borderId="0" xfId="742" applyNumberFormat="1"/>
    <xf numFmtId="0" fontId="47" fillId="0" borderId="0" xfId="743"/>
    <xf numFmtId="0" fontId="59" fillId="0" borderId="0" xfId="743" applyFont="1" applyBorder="1" applyAlignment="1">
      <alignment horizontal="center"/>
    </xf>
    <xf numFmtId="3" fontId="83" fillId="27" borderId="0" xfId="328" applyNumberFormat="1" applyFont="1" applyFill="1" applyBorder="1" applyAlignment="1"/>
    <xf numFmtId="17" fontId="82" fillId="27" borderId="20" xfId="0" applyNumberFormat="1" applyFont="1" applyFill="1" applyBorder="1" applyAlignment="1">
      <alignment horizontal="center" vertical="center"/>
    </xf>
    <xf numFmtId="3" fontId="83" fillId="27" borderId="20" xfId="328" applyNumberFormat="1" applyFont="1" applyFill="1" applyBorder="1" applyAlignment="1">
      <alignment vertical="center"/>
    </xf>
    <xf numFmtId="174" fontId="71" fillId="0" borderId="0" xfId="0" applyFont="1" applyFill="1" applyBorder="1" applyAlignment="1">
      <alignment horizontal="center" vertical="center" wrapText="1"/>
    </xf>
    <xf numFmtId="43" fontId="55" fillId="27" borderId="0" xfId="323" applyFont="1" applyFill="1" applyBorder="1" applyAlignment="1">
      <alignment horizontal="center"/>
    </xf>
    <xf numFmtId="43" fontId="66" fillId="27" borderId="23" xfId="742" applyNumberFormat="1" applyFont="1" applyFill="1" applyBorder="1" applyAlignment="1">
      <alignment horizontal="center"/>
    </xf>
    <xf numFmtId="0" fontId="66" fillId="27" borderId="23" xfId="743" applyFont="1" applyFill="1" applyBorder="1" applyAlignment="1">
      <alignment horizontal="center" vertical="center" wrapText="1"/>
    </xf>
    <xf numFmtId="0" fontId="66" fillId="27" borderId="13" xfId="743" applyFont="1" applyFill="1" applyBorder="1" applyAlignment="1">
      <alignment horizontal="center" vertical="center" wrapText="1"/>
    </xf>
    <xf numFmtId="0" fontId="66" fillId="27" borderId="19" xfId="743" applyFont="1" applyFill="1" applyBorder="1" applyAlignment="1">
      <alignment horizontal="center"/>
    </xf>
    <xf numFmtId="0" fontId="66" fillId="27" borderId="13" xfId="743" applyFont="1" applyFill="1" applyBorder="1" applyAlignment="1">
      <alignment horizontal="center"/>
    </xf>
    <xf numFmtId="43" fontId="66" fillId="27" borderId="23" xfId="323" applyFont="1" applyFill="1" applyBorder="1"/>
    <xf numFmtId="38" fontId="74" fillId="0" borderId="21" xfId="0" applyNumberFormat="1" applyFont="1" applyBorder="1" applyAlignment="1">
      <alignment horizontal="center" vertical="center"/>
    </xf>
    <xf numFmtId="38" fontId="73" fillId="0" borderId="27" xfId="0" applyNumberFormat="1" applyFont="1" applyBorder="1" applyAlignment="1">
      <alignment horizontal="center" vertical="center"/>
    </xf>
    <xf numFmtId="171" fontId="73" fillId="0" borderId="27" xfId="0" applyNumberFormat="1" applyFont="1" applyBorder="1" applyAlignment="1">
      <alignment horizontal="center" vertical="center"/>
    </xf>
    <xf numFmtId="38" fontId="74" fillId="0" borderId="20" xfId="0" applyNumberFormat="1" applyFont="1" applyBorder="1" applyAlignment="1">
      <alignment horizontal="center" vertical="center"/>
    </xf>
    <xf numFmtId="38" fontId="73" fillId="0" borderId="26" xfId="0" applyNumberFormat="1" applyFont="1" applyBorder="1" applyAlignment="1">
      <alignment horizontal="center" vertical="center"/>
    </xf>
    <xf numFmtId="171" fontId="73" fillId="0" borderId="26" xfId="0" applyNumberFormat="1" applyFont="1" applyBorder="1" applyAlignment="1">
      <alignment horizontal="center" vertical="center"/>
    </xf>
    <xf numFmtId="38" fontId="73" fillId="27" borderId="26" xfId="0" applyNumberFormat="1" applyFont="1" applyFill="1" applyBorder="1" applyAlignment="1">
      <alignment horizontal="center" vertical="center"/>
    </xf>
    <xf numFmtId="171" fontId="73" fillId="27" borderId="26" xfId="0" applyNumberFormat="1" applyFont="1" applyFill="1" applyBorder="1" applyAlignment="1">
      <alignment horizontal="center" vertical="center"/>
    </xf>
    <xf numFmtId="171" fontId="73" fillId="27" borderId="22" xfId="0" applyNumberFormat="1" applyFont="1" applyFill="1" applyBorder="1" applyAlignment="1">
      <alignment horizontal="center" vertical="center"/>
    </xf>
    <xf numFmtId="183" fontId="0" fillId="0" borderId="0" xfId="0" applyNumberFormat="1" applyBorder="1"/>
    <xf numFmtId="180" fontId="0" fillId="0" borderId="0" xfId="0" applyNumberFormat="1" applyBorder="1"/>
    <xf numFmtId="189" fontId="0" fillId="0" borderId="0" xfId="0" applyNumberFormat="1" applyBorder="1"/>
    <xf numFmtId="193" fontId="0" fillId="0" borderId="0" xfId="0" applyNumberFormat="1"/>
    <xf numFmtId="194" fontId="64" fillId="0" borderId="0" xfId="336" applyNumberFormat="1" applyFont="1" applyFill="1" applyBorder="1" applyAlignment="1"/>
    <xf numFmtId="171" fontId="82" fillId="0" borderId="26" xfId="551" applyNumberFormat="1" applyFont="1" applyFill="1" applyBorder="1" applyAlignment="1">
      <alignment horizontal="center"/>
    </xf>
    <xf numFmtId="171" fontId="124" fillId="0" borderId="26" xfId="551" applyNumberFormat="1" applyFont="1" applyFill="1" applyBorder="1" applyAlignment="1">
      <alignment horizontal="center"/>
    </xf>
    <xf numFmtId="188" fontId="0" fillId="0" borderId="0" xfId="0" applyNumberFormat="1"/>
    <xf numFmtId="3" fontId="74" fillId="27" borderId="12" xfId="328" applyNumberFormat="1" applyFont="1" applyFill="1" applyBorder="1" applyAlignment="1"/>
    <xf numFmtId="43" fontId="74" fillId="27" borderId="27" xfId="336" applyNumberFormat="1" applyFont="1" applyFill="1" applyBorder="1" applyAlignment="1"/>
    <xf numFmtId="3" fontId="74" fillId="27" borderId="20" xfId="328" applyNumberFormat="1" applyFont="1" applyFill="1" applyBorder="1" applyAlignment="1"/>
    <xf numFmtId="43" fontId="74" fillId="27" borderId="26" xfId="336" applyNumberFormat="1" applyFont="1" applyFill="1" applyBorder="1" applyAlignment="1"/>
    <xf numFmtId="3" fontId="74" fillId="27" borderId="26" xfId="328" applyNumberFormat="1" applyFont="1" applyFill="1" applyBorder="1" applyAlignment="1"/>
    <xf numFmtId="167" fontId="53" fillId="27" borderId="0" xfId="394" applyNumberFormat="1" applyFont="1" applyFill="1" applyBorder="1" applyAlignment="1">
      <alignment horizontal="right"/>
    </xf>
    <xf numFmtId="171" fontId="53" fillId="0" borderId="0" xfId="551" applyNumberFormat="1" applyFont="1" applyBorder="1"/>
    <xf numFmtId="3" fontId="53" fillId="27" borderId="12" xfId="325" applyNumberFormat="1" applyFont="1" applyFill="1" applyBorder="1" applyAlignment="1">
      <alignment horizontal="center" vertical="center"/>
    </xf>
    <xf numFmtId="171" fontId="51" fillId="0" borderId="0" xfId="551" applyNumberFormat="1" applyFont="1"/>
    <xf numFmtId="182" fontId="0" fillId="0" borderId="0" xfId="0" applyNumberFormat="1" applyBorder="1"/>
    <xf numFmtId="182" fontId="0" fillId="0" borderId="0" xfId="551" applyNumberFormat="1" applyFont="1"/>
    <xf numFmtId="2" fontId="0" fillId="0" borderId="0" xfId="551" applyNumberFormat="1" applyFont="1" applyBorder="1"/>
    <xf numFmtId="43" fontId="85" fillId="27" borderId="13" xfId="0" applyNumberFormat="1" applyFont="1" applyFill="1" applyBorder="1" applyAlignment="1">
      <alignment horizontal="center" vertical="center" wrapText="1"/>
    </xf>
    <xf numFmtId="43" fontId="85" fillId="27" borderId="19" xfId="0" applyNumberFormat="1" applyFont="1" applyFill="1" applyBorder="1" applyAlignment="1">
      <alignment horizontal="center"/>
    </xf>
    <xf numFmtId="3" fontId="64" fillId="27" borderId="0" xfId="0" applyNumberFormat="1" applyFont="1" applyFill="1" applyBorder="1" applyAlignment="1" applyProtection="1"/>
    <xf numFmtId="43" fontId="85" fillId="27" borderId="13" xfId="0" applyNumberFormat="1" applyFont="1" applyFill="1" applyBorder="1" applyAlignment="1">
      <alignment horizontal="center" vertical="center"/>
    </xf>
    <xf numFmtId="174" fontId="82" fillId="0" borderId="0" xfId="0" applyFont="1" applyFill="1" applyBorder="1" applyAlignment="1">
      <alignment horizontal="center" vertical="center" wrapText="1"/>
    </xf>
    <xf numFmtId="10" fontId="82" fillId="27" borderId="19" xfId="391" applyNumberFormat="1" applyFont="1" applyFill="1" applyBorder="1" applyAlignment="1">
      <alignment horizontal="center"/>
    </xf>
    <xf numFmtId="10" fontId="69" fillId="0" borderId="0" xfId="0" applyNumberFormat="1" applyFont="1" applyFill="1" applyBorder="1" applyAlignment="1">
      <alignment horizontal="right" vertical="center"/>
    </xf>
    <xf numFmtId="10" fontId="69" fillId="27" borderId="0" xfId="0" applyNumberFormat="1" applyFont="1" applyFill="1" applyBorder="1" applyAlignment="1">
      <alignment horizontal="right" vertical="center"/>
    </xf>
    <xf numFmtId="43" fontId="53" fillId="27" borderId="0" xfId="0" applyNumberFormat="1" applyFont="1" applyFill="1" applyBorder="1" applyAlignment="1">
      <alignment horizontal="right" vertical="center"/>
    </xf>
    <xf numFmtId="10" fontId="65" fillId="0" borderId="0" xfId="551" applyNumberFormat="1" applyFont="1" applyFill="1" applyBorder="1" applyAlignment="1">
      <alignment horizontal="right"/>
    </xf>
    <xf numFmtId="43" fontId="47" fillId="0" borderId="0" xfId="743" applyNumberFormat="1"/>
    <xf numFmtId="10" fontId="47" fillId="0" borderId="0" xfId="551" applyNumberFormat="1"/>
    <xf numFmtId="43" fontId="66" fillId="27" borderId="15" xfId="323" applyFont="1" applyFill="1" applyBorder="1"/>
    <xf numFmtId="0" fontId="66" fillId="27" borderId="13" xfId="743" applyFont="1" applyFill="1" applyBorder="1" applyAlignment="1">
      <alignment horizontal="center" vertical="center"/>
    </xf>
    <xf numFmtId="43" fontId="66" fillId="27" borderId="19" xfId="323" applyFont="1" applyFill="1" applyBorder="1"/>
    <xf numFmtId="43" fontId="66" fillId="27" borderId="13" xfId="323" applyFont="1" applyFill="1" applyBorder="1"/>
    <xf numFmtId="49" fontId="68" fillId="31" borderId="19" xfId="0" applyNumberFormat="1" applyFont="1" applyFill="1" applyBorder="1" applyAlignment="1">
      <alignment horizontal="center" vertical="center" wrapText="1"/>
    </xf>
    <xf numFmtId="49" fontId="68" fillId="31" borderId="0" xfId="0" applyNumberFormat="1" applyFont="1" applyFill="1" applyBorder="1" applyAlignment="1">
      <alignment horizontal="center" vertical="center" wrapText="1"/>
    </xf>
    <xf numFmtId="49" fontId="68" fillId="31" borderId="26" xfId="0" applyNumberFormat="1" applyFont="1" applyFill="1" applyBorder="1" applyAlignment="1">
      <alignment horizontal="center" vertical="center" wrapText="1"/>
    </xf>
    <xf numFmtId="195" fontId="0" fillId="0" borderId="0" xfId="0" applyNumberFormat="1"/>
    <xf numFmtId="0" fontId="47" fillId="0" borderId="0" xfId="919"/>
    <xf numFmtId="167" fontId="47" fillId="0" borderId="0" xfId="919" applyNumberFormat="1"/>
    <xf numFmtId="0" fontId="0" fillId="0" borderId="0" xfId="919" applyFont="1"/>
    <xf numFmtId="2" fontId="47" fillId="0" borderId="0" xfId="919" applyNumberFormat="1"/>
    <xf numFmtId="186" fontId="47" fillId="0" borderId="0" xfId="919" applyNumberFormat="1"/>
    <xf numFmtId="0" fontId="47" fillId="0" borderId="0" xfId="1092"/>
    <xf numFmtId="167" fontId="47" fillId="0" borderId="0" xfId="1092" applyNumberFormat="1"/>
    <xf numFmtId="0" fontId="47" fillId="0" borderId="0" xfId="1093"/>
    <xf numFmtId="0" fontId="47" fillId="0" borderId="0" xfId="793" applyAlignment="1">
      <alignment vertical="center"/>
    </xf>
    <xf numFmtId="0" fontId="47" fillId="0" borderId="0" xfId="793"/>
    <xf numFmtId="167" fontId="64" fillId="27" borderId="0" xfId="323" applyNumberFormat="1" applyFont="1" applyFill="1" applyBorder="1" applyAlignment="1">
      <alignment vertical="center"/>
    </xf>
    <xf numFmtId="0" fontId="85" fillId="27" borderId="21" xfId="437" applyFont="1" applyFill="1" applyBorder="1" applyAlignment="1">
      <alignment horizontal="center" vertical="center" wrapText="1"/>
    </xf>
    <xf numFmtId="0" fontId="85" fillId="27" borderId="13" xfId="437" applyFont="1" applyFill="1" applyBorder="1" applyAlignment="1">
      <alignment horizontal="center" vertical="center" wrapText="1"/>
    </xf>
    <xf numFmtId="0" fontId="85" fillId="27" borderId="15" xfId="437" applyFont="1" applyFill="1" applyBorder="1" applyAlignment="1">
      <alignment horizontal="center" vertical="center" wrapText="1"/>
    </xf>
    <xf numFmtId="0" fontId="85" fillId="27" borderId="23" xfId="437" applyFont="1" applyFill="1" applyBorder="1" applyAlignment="1">
      <alignment horizontal="center" vertical="center" wrapText="1"/>
    </xf>
    <xf numFmtId="0" fontId="85" fillId="27" borderId="17" xfId="437" applyFont="1" applyFill="1" applyBorder="1" applyAlignment="1">
      <alignment horizontal="left" vertical="center" wrapText="1"/>
    </xf>
    <xf numFmtId="0" fontId="85" fillId="27" borderId="19" xfId="437" applyFont="1" applyFill="1" applyBorder="1" applyAlignment="1">
      <alignment horizontal="left" vertical="center" wrapText="1"/>
    </xf>
    <xf numFmtId="0" fontId="62" fillId="27" borderId="13" xfId="793" applyFont="1" applyFill="1" applyBorder="1" applyAlignment="1">
      <alignment horizontal="center" vertical="center"/>
    </xf>
    <xf numFmtId="0" fontId="66" fillId="27" borderId="13" xfId="793" applyFont="1" applyFill="1" applyBorder="1" applyAlignment="1">
      <alignment horizontal="center" vertical="center"/>
    </xf>
    <xf numFmtId="49" fontId="66" fillId="27" borderId="23" xfId="793" applyNumberFormat="1" applyFont="1" applyFill="1" applyBorder="1" applyAlignment="1">
      <alignment horizontal="center" vertical="center"/>
    </xf>
    <xf numFmtId="49" fontId="66" fillId="27" borderId="23" xfId="793" applyNumberFormat="1" applyFont="1" applyFill="1" applyBorder="1" applyAlignment="1">
      <alignment horizontal="center" vertical="center" wrapText="1"/>
    </xf>
    <xf numFmtId="0" fontId="62" fillId="27" borderId="17" xfId="793" applyFont="1" applyFill="1" applyBorder="1" applyAlignment="1">
      <alignment horizontal="center" vertical="center"/>
    </xf>
    <xf numFmtId="0" fontId="62" fillId="27" borderId="17" xfId="793" applyFont="1" applyFill="1" applyBorder="1" applyAlignment="1">
      <alignment vertical="center"/>
    </xf>
    <xf numFmtId="0" fontId="62" fillId="27" borderId="19" xfId="793" applyFont="1" applyFill="1" applyBorder="1" applyAlignment="1">
      <alignment vertical="center"/>
    </xf>
    <xf numFmtId="0" fontId="62" fillId="27" borderId="14" xfId="793" applyFont="1" applyFill="1" applyBorder="1" applyAlignment="1">
      <alignment vertical="center"/>
    </xf>
    <xf numFmtId="0" fontId="66" fillId="27" borderId="13" xfId="919" applyFont="1" applyFill="1" applyBorder="1" applyAlignment="1">
      <alignment horizontal="center" vertical="center"/>
    </xf>
    <xf numFmtId="0" fontId="66" fillId="27" borderId="23" xfId="919" applyFont="1" applyFill="1" applyBorder="1" applyAlignment="1">
      <alignment horizontal="center" vertical="center" wrapText="1"/>
    </xf>
    <xf numFmtId="0" fontId="66" fillId="27" borderId="16" xfId="919" applyFont="1" applyFill="1" applyBorder="1" applyAlignment="1">
      <alignment horizontal="center" vertical="center" wrapText="1"/>
    </xf>
    <xf numFmtId="167" fontId="64" fillId="27" borderId="21" xfId="323" applyNumberFormat="1" applyFont="1" applyFill="1" applyBorder="1" applyAlignment="1">
      <alignment vertical="center"/>
    </xf>
    <xf numFmtId="167" fontId="64" fillId="27" borderId="12" xfId="323" applyNumberFormat="1" applyFont="1" applyFill="1" applyBorder="1" applyAlignment="1">
      <alignment vertical="center"/>
    </xf>
    <xf numFmtId="167" fontId="64" fillId="27" borderId="20" xfId="323" applyNumberFormat="1" applyFont="1" applyFill="1" applyBorder="1" applyAlignment="1">
      <alignment vertical="center"/>
    </xf>
    <xf numFmtId="182" fontId="47" fillId="0" borderId="0" xfId="1094"/>
    <xf numFmtId="182" fontId="56" fillId="0" borderId="0" xfId="1094" applyFont="1" applyFill="1" applyBorder="1" applyAlignment="1">
      <alignment horizontal="center" vertical="center" wrapText="1"/>
    </xf>
    <xf numFmtId="182" fontId="47" fillId="0" borderId="0" xfId="1094" applyFill="1" applyBorder="1"/>
    <xf numFmtId="182" fontId="48" fillId="0" borderId="0" xfId="1094" applyFont="1" applyFill="1" applyBorder="1"/>
    <xf numFmtId="182" fontId="60" fillId="0" borderId="0" xfId="1094" applyNumberFormat="1" applyFont="1" applyFill="1" applyBorder="1" applyAlignment="1">
      <alignment horizontal="center"/>
    </xf>
    <xf numFmtId="182" fontId="56" fillId="0" borderId="0" xfId="1094" applyNumberFormat="1" applyFont="1" applyFill="1" applyBorder="1" applyAlignment="1">
      <alignment horizontal="center"/>
    </xf>
    <xf numFmtId="182" fontId="83" fillId="0" borderId="0" xfId="1094" applyFont="1" applyFill="1" applyBorder="1"/>
    <xf numFmtId="10" fontId="83" fillId="0" borderId="0" xfId="1094" applyNumberFormat="1" applyFont="1" applyFill="1" applyBorder="1"/>
    <xf numFmtId="43" fontId="60" fillId="0" borderId="0" xfId="1094" applyNumberFormat="1" applyFont="1" applyFill="1" applyBorder="1" applyAlignment="1">
      <alignment horizontal="center"/>
    </xf>
    <xf numFmtId="41" fontId="74" fillId="27" borderId="20" xfId="328" applyNumberFormat="1" applyFont="1" applyFill="1" applyBorder="1" applyAlignment="1"/>
    <xf numFmtId="43" fontId="73" fillId="27" borderId="0" xfId="328" applyNumberFormat="1" applyFont="1" applyFill="1" applyBorder="1" applyAlignment="1">
      <alignment horizontal="right" vertical="center" wrapText="1"/>
    </xf>
    <xf numFmtId="174" fontId="82" fillId="0" borderId="19" xfId="388" applyFont="1" applyFill="1" applyBorder="1" applyAlignment="1">
      <alignment horizontal="center"/>
    </xf>
    <xf numFmtId="174" fontId="82" fillId="0" borderId="14" xfId="388" applyFont="1" applyFill="1" applyBorder="1" applyAlignment="1">
      <alignment horizontal="center"/>
    </xf>
    <xf numFmtId="174" fontId="82" fillId="0" borderId="19" xfId="388" applyNumberFormat="1" applyFont="1" applyFill="1" applyBorder="1" applyAlignment="1">
      <alignment horizontal="center" vertical="center"/>
    </xf>
    <xf numFmtId="41" fontId="74" fillId="27" borderId="21" xfId="394" applyNumberFormat="1" applyFont="1" applyFill="1" applyBorder="1" applyAlignment="1"/>
    <xf numFmtId="174" fontId="88" fillId="0" borderId="0" xfId="0" applyFont="1" applyAlignment="1">
      <alignment horizontal="justify" vertical="justify" wrapText="1"/>
    </xf>
    <xf numFmtId="174" fontId="71" fillId="0" borderId="0" xfId="0" applyFont="1" applyFill="1" applyBorder="1" applyAlignment="1">
      <alignment horizontal="center" vertical="center" wrapText="1"/>
    </xf>
    <xf numFmtId="174" fontId="88" fillId="0" borderId="0" xfId="0" applyFont="1" applyAlignment="1">
      <alignment horizontal="justify" vertical="justify" wrapText="1"/>
    </xf>
    <xf numFmtId="174" fontId="71" fillId="0" borderId="0" xfId="0" applyFont="1" applyFill="1" applyBorder="1" applyAlignment="1">
      <alignment horizontal="center" vertical="center" wrapText="1"/>
    </xf>
    <xf numFmtId="174" fontId="67" fillId="0" borderId="0" xfId="0" applyNumberFormat="1" applyFont="1" applyBorder="1" applyAlignment="1"/>
    <xf numFmtId="174" fontId="71" fillId="0" borderId="0" xfId="0" applyFont="1" applyFill="1" applyBorder="1" applyAlignment="1">
      <alignment horizontal="center" vertical="center" wrapText="1"/>
    </xf>
    <xf numFmtId="174" fontId="0" fillId="0" borderId="0" xfId="0" applyAlignment="1">
      <alignment horizontal="center"/>
    </xf>
    <xf numFmtId="171" fontId="64" fillId="0" borderId="0" xfId="336" applyNumberFormat="1" applyFont="1" applyFill="1" applyBorder="1" applyAlignment="1"/>
    <xf numFmtId="174" fontId="85" fillId="0" borderId="15" xfId="0" applyNumberFormat="1" applyFont="1" applyFill="1" applyBorder="1" applyAlignment="1">
      <alignment horizontal="center" vertical="center" wrapText="1"/>
    </xf>
    <xf numFmtId="49" fontId="85" fillId="0" borderId="21" xfId="0" applyNumberFormat="1" applyFont="1" applyFill="1" applyBorder="1" applyAlignment="1">
      <alignment horizontal="center" vertical="center"/>
    </xf>
    <xf numFmtId="10" fontId="64" fillId="0" borderId="0" xfId="336" applyNumberFormat="1" applyFont="1" applyFill="1" applyBorder="1" applyAlignment="1"/>
    <xf numFmtId="174" fontId="71" fillId="0" borderId="0" xfId="0" applyFont="1" applyFill="1" applyBorder="1" applyAlignment="1">
      <alignment horizontal="center" vertical="center" wrapText="1"/>
    </xf>
    <xf numFmtId="174" fontId="66" fillId="27" borderId="23" xfId="0" applyNumberFormat="1" applyFont="1" applyFill="1" applyBorder="1" applyAlignment="1">
      <alignment horizontal="center" vertical="center" wrapText="1"/>
    </xf>
    <xf numFmtId="174" fontId="66" fillId="27" borderId="16" xfId="0" applyNumberFormat="1" applyFont="1" applyFill="1" applyBorder="1" applyAlignment="1">
      <alignment horizontal="center" vertical="center" wrapText="1"/>
    </xf>
    <xf numFmtId="167" fontId="55" fillId="27" borderId="0" xfId="394" applyNumberFormat="1" applyFont="1" applyFill="1" applyBorder="1" applyAlignment="1">
      <alignment horizontal="right"/>
    </xf>
    <xf numFmtId="167" fontId="66" fillId="27" borderId="0" xfId="394" applyNumberFormat="1" applyFont="1" applyFill="1" applyBorder="1" applyAlignment="1">
      <alignment horizontal="right"/>
    </xf>
    <xf numFmtId="2" fontId="62" fillId="27" borderId="26" xfId="394" applyNumberFormat="1" applyFont="1" applyFill="1" applyBorder="1" applyAlignment="1">
      <alignment horizontal="right"/>
    </xf>
    <xf numFmtId="167" fontId="55" fillId="27" borderId="11" xfId="394" applyNumberFormat="1" applyFont="1" applyFill="1" applyBorder="1" applyAlignment="1">
      <alignment horizontal="right"/>
    </xf>
    <xf numFmtId="167" fontId="66" fillId="27" borderId="11" xfId="394" applyNumberFormat="1" applyFont="1" applyFill="1" applyBorder="1" applyAlignment="1">
      <alignment horizontal="right"/>
    </xf>
    <xf numFmtId="2" fontId="62" fillId="27" borderId="22" xfId="394" applyNumberFormat="1" applyFont="1" applyFill="1" applyBorder="1" applyAlignment="1">
      <alignment horizontal="right"/>
    </xf>
    <xf numFmtId="167" fontId="55" fillId="27" borderId="20" xfId="394" applyNumberFormat="1" applyFont="1" applyFill="1" applyBorder="1" applyAlignment="1">
      <alignment horizontal="right"/>
    </xf>
    <xf numFmtId="167" fontId="55" fillId="27" borderId="18" xfId="394" applyNumberFormat="1" applyFont="1" applyFill="1" applyBorder="1" applyAlignment="1">
      <alignment horizontal="right"/>
    </xf>
    <xf numFmtId="3" fontId="83" fillId="27" borderId="12" xfId="328" applyNumberFormat="1" applyFont="1" applyFill="1" applyBorder="1" applyAlignment="1">
      <alignment vertical="center"/>
    </xf>
    <xf numFmtId="17" fontId="69" fillId="27" borderId="13" xfId="0" applyNumberFormat="1" applyFont="1" applyFill="1" applyBorder="1" applyAlignment="1">
      <alignment horizontal="center" vertical="center"/>
    </xf>
    <xf numFmtId="17" fontId="82" fillId="27" borderId="19" xfId="0" applyNumberFormat="1" applyFont="1" applyFill="1" applyBorder="1" applyAlignment="1">
      <alignment horizontal="center" vertical="center"/>
    </xf>
    <xf numFmtId="17" fontId="82" fillId="27" borderId="14" xfId="0" applyNumberFormat="1" applyFont="1" applyFill="1" applyBorder="1" applyAlignment="1">
      <alignment horizontal="center" vertical="center"/>
    </xf>
    <xf numFmtId="171" fontId="55" fillId="0" borderId="0" xfId="551" applyNumberFormat="1" applyFont="1" applyFill="1" applyBorder="1" applyAlignment="1" applyProtection="1">
      <alignment horizontal="right"/>
    </xf>
    <xf numFmtId="174" fontId="71" fillId="0" borderId="0" xfId="0" applyFont="1" applyFill="1" applyBorder="1" applyAlignment="1">
      <alignment horizontal="center" vertical="center" wrapText="1"/>
    </xf>
    <xf numFmtId="171" fontId="69" fillId="27" borderId="0" xfId="328" applyNumberFormat="1" applyFont="1" applyFill="1" applyBorder="1" applyAlignment="1">
      <alignment horizontal="right" vertical="center"/>
    </xf>
    <xf numFmtId="171" fontId="82" fillId="27" borderId="0" xfId="328" applyNumberFormat="1" applyFont="1" applyFill="1" applyBorder="1" applyAlignment="1">
      <alignment horizontal="right" vertical="center"/>
    </xf>
    <xf numFmtId="2" fontId="82" fillId="27" borderId="0" xfId="328" applyNumberFormat="1" applyFont="1" applyFill="1" applyBorder="1" applyAlignment="1">
      <alignment horizontal="right" vertical="center"/>
    </xf>
    <xf numFmtId="174" fontId="0" fillId="0" borderId="26" xfId="0" applyBorder="1"/>
    <xf numFmtId="49" fontId="82" fillId="27" borderId="17" xfId="0" applyNumberFormat="1" applyFont="1" applyFill="1" applyBorder="1" applyAlignment="1">
      <alignment horizontal="center" vertical="center"/>
    </xf>
    <xf numFmtId="49" fontId="82" fillId="27" borderId="19" xfId="0" applyNumberFormat="1" applyFont="1" applyFill="1" applyBorder="1" applyAlignment="1">
      <alignment horizontal="center" vertical="center"/>
    </xf>
    <xf numFmtId="49" fontId="82" fillId="27" borderId="14" xfId="0" applyNumberFormat="1" applyFont="1" applyFill="1" applyBorder="1" applyAlignment="1">
      <alignment horizontal="center" vertical="center"/>
    </xf>
    <xf numFmtId="174" fontId="130" fillId="0" borderId="0" xfId="0" applyFont="1"/>
    <xf numFmtId="3" fontId="82" fillId="27" borderId="20" xfId="328" applyNumberFormat="1" applyFont="1" applyFill="1" applyBorder="1" applyAlignment="1">
      <alignment horizontal="right" vertical="center"/>
    </xf>
    <xf numFmtId="174" fontId="132" fillId="0" borderId="0" xfId="0" applyFont="1" applyAlignment="1">
      <alignment horizontal="center" vertical="center"/>
    </xf>
    <xf numFmtId="174" fontId="82" fillId="27" borderId="15" xfId="391" applyFont="1" applyFill="1" applyBorder="1" applyAlignment="1">
      <alignment horizontal="center" vertical="center"/>
    </xf>
    <xf numFmtId="43" fontId="82" fillId="27" borderId="15" xfId="391" applyNumberFormat="1" applyFont="1" applyFill="1" applyBorder="1" applyAlignment="1">
      <alignment horizontal="center" vertical="center"/>
    </xf>
    <xf numFmtId="10" fontId="82" fillId="27" borderId="13" xfId="391" applyNumberFormat="1" applyFont="1" applyFill="1" applyBorder="1" applyAlignment="1">
      <alignment horizontal="center" vertical="center"/>
    </xf>
    <xf numFmtId="174" fontId="82" fillId="27" borderId="23" xfId="0" applyFont="1" applyFill="1" applyBorder="1" applyAlignment="1">
      <alignment horizontal="center" vertical="center"/>
    </xf>
    <xf numFmtId="49" fontId="66" fillId="27" borderId="20" xfId="394" applyNumberFormat="1" applyFont="1" applyFill="1" applyBorder="1" applyAlignment="1">
      <alignment horizontal="center"/>
    </xf>
    <xf numFmtId="49" fontId="66" fillId="27" borderId="18" xfId="394" applyNumberFormat="1" applyFont="1" applyFill="1" applyBorder="1" applyAlignment="1">
      <alignment horizontal="center"/>
    </xf>
    <xf numFmtId="174" fontId="66" fillId="27" borderId="15" xfId="0" applyNumberFormat="1" applyFont="1" applyFill="1" applyBorder="1" applyAlignment="1">
      <alignment horizontal="center" vertical="center" wrapText="1"/>
    </xf>
    <xf numFmtId="196" fontId="47" fillId="0" borderId="0" xfId="742" applyNumberFormat="1"/>
    <xf numFmtId="181" fontId="110" fillId="27" borderId="15" xfId="0" applyNumberFormat="1" applyFont="1" applyFill="1" applyBorder="1" applyAlignment="1">
      <alignment horizontal="center" vertical="center" wrapText="1"/>
    </xf>
    <xf numFmtId="174" fontId="0" fillId="0" borderId="0" xfId="0" applyAlignment="1">
      <alignment horizontal="center" wrapText="1"/>
    </xf>
    <xf numFmtId="10" fontId="47" fillId="0" borderId="0" xfId="1092" applyNumberFormat="1"/>
    <xf numFmtId="9" fontId="47" fillId="0" borderId="0" xfId="1092" applyNumberFormat="1"/>
    <xf numFmtId="167" fontId="83" fillId="27" borderId="21" xfId="394" applyNumberFormat="1" applyFont="1" applyFill="1" applyBorder="1" applyAlignment="1">
      <alignment horizontal="center" vertical="center"/>
    </xf>
    <xf numFmtId="171" fontId="82" fillId="27" borderId="12" xfId="397" applyNumberFormat="1" applyFont="1" applyFill="1" applyBorder="1" applyAlignment="1">
      <alignment horizontal="center" vertical="center"/>
    </xf>
    <xf numFmtId="167" fontId="83" fillId="27" borderId="12" xfId="394" applyNumberFormat="1" applyFont="1" applyFill="1" applyBorder="1" applyAlignment="1">
      <alignment horizontal="center" vertical="center"/>
    </xf>
    <xf numFmtId="171" fontId="82" fillId="27" borderId="12" xfId="394" applyNumberFormat="1" applyFont="1" applyFill="1" applyBorder="1" applyAlignment="1">
      <alignment horizontal="center" vertical="center"/>
    </xf>
    <xf numFmtId="167" fontId="83" fillId="27" borderId="20" xfId="394" applyNumberFormat="1" applyFont="1" applyFill="1" applyBorder="1" applyAlignment="1">
      <alignment horizontal="center" vertical="center"/>
    </xf>
    <xf numFmtId="171" fontId="82" fillId="27" borderId="0" xfId="397" applyNumberFormat="1" applyFont="1" applyFill="1" applyBorder="1" applyAlignment="1">
      <alignment horizontal="center" vertical="center"/>
    </xf>
    <xf numFmtId="167" fontId="83" fillId="27" borderId="0" xfId="394" applyNumberFormat="1" applyFont="1" applyFill="1" applyBorder="1" applyAlignment="1">
      <alignment horizontal="center" vertical="center"/>
    </xf>
    <xf numFmtId="171" fontId="82" fillId="27" borderId="0" xfId="394" applyNumberFormat="1" applyFont="1" applyFill="1" applyBorder="1" applyAlignment="1">
      <alignment horizontal="center" vertical="center"/>
    </xf>
    <xf numFmtId="43" fontId="85" fillId="27" borderId="23" xfId="0" applyNumberFormat="1" applyFont="1" applyFill="1" applyBorder="1" applyAlignment="1">
      <alignment horizontal="center" vertical="center" wrapText="1"/>
    </xf>
    <xf numFmtId="43" fontId="85" fillId="27" borderId="16" xfId="0" applyNumberFormat="1" applyFont="1" applyFill="1" applyBorder="1" applyAlignment="1">
      <alignment horizontal="center" vertical="center" wrapText="1"/>
    </xf>
    <xf numFmtId="174" fontId="62" fillId="27" borderId="13" xfId="0" applyNumberFormat="1" applyFont="1" applyFill="1" applyBorder="1" applyAlignment="1">
      <alignment horizontal="center" vertical="center"/>
    </xf>
    <xf numFmtId="174" fontId="62" fillId="27" borderId="13" xfId="0" applyNumberFormat="1" applyFont="1" applyFill="1" applyBorder="1" applyAlignment="1">
      <alignment horizontal="center" vertical="center" wrapText="1"/>
    </xf>
    <xf numFmtId="174" fontId="62" fillId="36" borderId="23" xfId="0" applyNumberFormat="1" applyFont="1" applyFill="1" applyBorder="1" applyAlignment="1">
      <alignment horizontal="center" vertical="center" wrapText="1"/>
    </xf>
    <xf numFmtId="49" fontId="62" fillId="36" borderId="23" xfId="0" applyNumberFormat="1" applyFont="1" applyFill="1" applyBorder="1" applyAlignment="1">
      <alignment horizontal="center" vertical="center" wrapText="1"/>
    </xf>
    <xf numFmtId="49" fontId="62" fillId="36" borderId="23" xfId="0" applyNumberFormat="1" applyFont="1" applyFill="1" applyBorder="1" applyAlignment="1">
      <alignment horizontal="center" vertical="center"/>
    </xf>
    <xf numFmtId="49" fontId="62" fillId="36" borderId="16" xfId="0" applyNumberFormat="1" applyFont="1" applyFill="1" applyBorder="1" applyAlignment="1">
      <alignment horizontal="center" vertical="center"/>
    </xf>
    <xf numFmtId="174" fontId="62" fillId="27" borderId="19" xfId="0" applyNumberFormat="1" applyFont="1" applyFill="1" applyBorder="1" applyAlignment="1">
      <alignment horizontal="left" vertical="center"/>
    </xf>
    <xf numFmtId="43" fontId="62" fillId="27" borderId="13" xfId="323" applyFont="1" applyFill="1" applyBorder="1" applyAlignment="1">
      <alignment horizontal="center" vertical="center"/>
    </xf>
    <xf numFmtId="43" fontId="62" fillId="36" borderId="23" xfId="323" applyFont="1" applyFill="1" applyBorder="1" applyAlignment="1">
      <alignment horizontal="center" vertical="center"/>
    </xf>
    <xf numFmtId="43" fontId="62" fillId="36" borderId="23" xfId="323" applyFont="1" applyFill="1" applyBorder="1" applyAlignment="1">
      <alignment horizontal="right" vertical="center"/>
    </xf>
    <xf numFmtId="43" fontId="62" fillId="36" borderId="16" xfId="323" applyFont="1" applyFill="1" applyBorder="1" applyAlignment="1">
      <alignment horizontal="right" vertical="center"/>
    </xf>
    <xf numFmtId="174" fontId="133" fillId="0" borderId="0" xfId="0" applyFont="1" applyAlignment="1">
      <alignment horizontal="center" vertical="center"/>
    </xf>
    <xf numFmtId="0" fontId="63" fillId="0" borderId="0" xfId="579" applyFont="1"/>
    <xf numFmtId="4" fontId="63" fillId="0" borderId="0" xfId="579" applyNumberFormat="1" applyFont="1"/>
    <xf numFmtId="43" fontId="63" fillId="0" borderId="0" xfId="323" applyFont="1"/>
    <xf numFmtId="43" fontId="63" fillId="0" borderId="0" xfId="579" applyNumberFormat="1" applyFont="1"/>
    <xf numFmtId="171" fontId="47" fillId="0" borderId="0" xfId="551" applyNumberFormat="1"/>
    <xf numFmtId="174" fontId="69" fillId="27" borderId="12" xfId="388" applyNumberFormat="1" applyFont="1" applyFill="1" applyBorder="1" applyAlignment="1">
      <alignment horizontal="center" vertical="center" wrapText="1"/>
    </xf>
    <xf numFmtId="3" fontId="69" fillId="27" borderId="13" xfId="323" applyNumberFormat="1" applyFont="1" applyFill="1" applyBorder="1" applyAlignment="1">
      <alignment horizontal="center" vertical="center"/>
    </xf>
    <xf numFmtId="3" fontId="69" fillId="27" borderId="15" xfId="323" applyNumberFormat="1" applyFont="1" applyFill="1" applyBorder="1" applyAlignment="1">
      <alignment horizontal="center" vertical="center"/>
    </xf>
    <xf numFmtId="38" fontId="69" fillId="27" borderId="13" xfId="323" applyNumberFormat="1" applyFont="1" applyFill="1" applyBorder="1" applyAlignment="1">
      <alignment horizontal="center" vertical="center"/>
    </xf>
    <xf numFmtId="182" fontId="73" fillId="0" borderId="13" xfId="1094" applyNumberFormat="1" applyFont="1" applyFill="1" applyBorder="1" applyAlignment="1">
      <alignment horizontal="center" vertical="center"/>
    </xf>
    <xf numFmtId="182" fontId="69" fillId="0" borderId="0" xfId="1094" applyNumberFormat="1" applyFont="1" applyFill="1" applyBorder="1" applyAlignment="1">
      <alignment horizontal="center"/>
    </xf>
    <xf numFmtId="0" fontId="47" fillId="0" borderId="0" xfId="744"/>
    <xf numFmtId="0" fontId="134" fillId="0" borderId="0" xfId="744" applyFont="1" applyBorder="1" applyAlignment="1">
      <alignment horizontal="center" vertical="center"/>
    </xf>
    <xf numFmtId="0" fontId="47" fillId="0" borderId="0" xfId="744" applyAlignment="1">
      <alignment vertical="center"/>
    </xf>
    <xf numFmtId="0" fontId="69" fillId="0" borderId="13" xfId="744" applyFont="1" applyFill="1" applyBorder="1" applyAlignment="1">
      <alignment horizontal="center" vertical="center"/>
    </xf>
    <xf numFmtId="0" fontId="69" fillId="0" borderId="13" xfId="744" applyFont="1" applyFill="1" applyBorder="1" applyAlignment="1">
      <alignment horizontal="center" vertical="center" wrapText="1"/>
    </xf>
    <xf numFmtId="0" fontId="69" fillId="0" borderId="23" xfId="744" applyFont="1" applyFill="1" applyBorder="1" applyAlignment="1">
      <alignment horizontal="center" vertical="center" wrapText="1"/>
    </xf>
    <xf numFmtId="43" fontId="66" fillId="0" borderId="19" xfId="323" applyFont="1" applyFill="1" applyBorder="1"/>
    <xf numFmtId="10" fontId="0" fillId="0" borderId="0" xfId="0" applyNumberFormat="1" applyFont="1" applyFill="1" applyBorder="1"/>
    <xf numFmtId="174" fontId="0" fillId="0" borderId="0" xfId="0" applyFont="1" applyFill="1" applyBorder="1"/>
    <xf numFmtId="10" fontId="0" fillId="0" borderId="0" xfId="0" applyNumberFormat="1" applyFont="1"/>
    <xf numFmtId="174" fontId="0" fillId="27" borderId="0" xfId="0" applyNumberFormat="1" applyFont="1" applyFill="1"/>
    <xf numFmtId="174" fontId="0" fillId="27" borderId="0" xfId="0" applyFont="1" applyFill="1" applyBorder="1"/>
    <xf numFmtId="174" fontId="85" fillId="0" borderId="16" xfId="0" applyNumberFormat="1" applyFont="1" applyFill="1" applyBorder="1" applyAlignment="1" applyProtection="1">
      <alignment horizontal="center" vertical="center" wrapText="1"/>
    </xf>
    <xf numFmtId="174" fontId="85" fillId="0" borderId="15" xfId="0" applyNumberFormat="1" applyFont="1" applyFill="1" applyBorder="1" applyAlignment="1" applyProtection="1">
      <alignment horizontal="center" vertical="center" wrapText="1"/>
    </xf>
    <xf numFmtId="174" fontId="74" fillId="27" borderId="0" xfId="0" applyNumberFormat="1" applyFont="1" applyFill="1" applyBorder="1"/>
    <xf numFmtId="174" fontId="85" fillId="0" borderId="23" xfId="0" applyNumberFormat="1" applyFont="1" applyFill="1" applyBorder="1" applyAlignment="1" applyProtection="1">
      <alignment horizontal="center" vertical="center" wrapText="1"/>
    </xf>
    <xf numFmtId="3" fontId="85" fillId="0" borderId="17" xfId="0" applyNumberFormat="1" applyFont="1" applyFill="1" applyBorder="1" applyAlignment="1" applyProtection="1">
      <alignment horizontal="center"/>
    </xf>
    <xf numFmtId="3" fontId="85" fillId="0" borderId="19" xfId="0" applyNumberFormat="1" applyFont="1" applyFill="1" applyBorder="1" applyAlignment="1" applyProtection="1">
      <alignment horizontal="center"/>
    </xf>
    <xf numFmtId="3" fontId="85" fillId="0" borderId="14" xfId="0" applyNumberFormat="1" applyFont="1" applyFill="1" applyBorder="1" applyAlignment="1" applyProtection="1">
      <alignment horizontal="center"/>
    </xf>
    <xf numFmtId="174" fontId="0" fillId="0" borderId="0" xfId="0" applyAlignment="1">
      <alignment vertical="center"/>
    </xf>
    <xf numFmtId="49" fontId="85" fillId="27" borderId="18" xfId="0" applyNumberFormat="1" applyFont="1" applyFill="1" applyBorder="1" applyAlignment="1">
      <alignment horizontal="center" vertical="center"/>
    </xf>
    <xf numFmtId="174" fontId="82" fillId="0" borderId="15" xfId="0" applyNumberFormat="1" applyFont="1" applyFill="1" applyBorder="1" applyAlignment="1" applyProtection="1">
      <alignment horizontal="center" vertical="center" wrapText="1"/>
    </xf>
    <xf numFmtId="174" fontId="82" fillId="0" borderId="23" xfId="0" applyNumberFormat="1" applyFont="1" applyFill="1" applyBorder="1" applyAlignment="1" applyProtection="1">
      <alignment horizontal="center" vertical="center"/>
    </xf>
    <xf numFmtId="174" fontId="82" fillId="0" borderId="16" xfId="0" applyNumberFormat="1" applyFont="1" applyFill="1" applyBorder="1" applyAlignment="1" applyProtection="1">
      <alignment horizontal="center" vertical="center" wrapText="1"/>
    </xf>
    <xf numFmtId="3" fontId="64" fillId="0" borderId="0" xfId="336" applyNumberFormat="1" applyFont="1" applyFill="1" applyBorder="1" applyAlignment="1">
      <alignment horizontal="center"/>
    </xf>
    <xf numFmtId="3" fontId="64" fillId="0" borderId="26" xfId="336" applyNumberFormat="1" applyFont="1" applyFill="1" applyBorder="1" applyAlignment="1">
      <alignment horizontal="center"/>
    </xf>
    <xf numFmtId="10" fontId="85" fillId="0" borderId="0" xfId="328" applyNumberFormat="1" applyFont="1" applyFill="1" applyBorder="1" applyAlignment="1">
      <alignment horizontal="center" vertical="center" wrapText="1"/>
    </xf>
    <xf numFmtId="10" fontId="85" fillId="0" borderId="26" xfId="551" applyNumberFormat="1" applyFont="1" applyFill="1" applyBorder="1" applyAlignment="1">
      <alignment horizontal="center" vertical="center" wrapText="1"/>
    </xf>
    <xf numFmtId="3" fontId="64" fillId="27" borderId="11" xfId="336" applyNumberFormat="1" applyFont="1" applyFill="1" applyBorder="1" applyAlignment="1">
      <alignment horizontal="center"/>
    </xf>
    <xf numFmtId="3" fontId="64" fillId="27" borderId="22" xfId="336" applyNumberFormat="1" applyFont="1" applyFill="1" applyBorder="1" applyAlignment="1">
      <alignment horizontal="center"/>
    </xf>
    <xf numFmtId="10" fontId="85" fillId="0" borderId="22" xfId="551" applyNumberFormat="1" applyFont="1" applyFill="1" applyBorder="1" applyAlignment="1">
      <alignment horizontal="center" vertical="center" wrapText="1"/>
    </xf>
    <xf numFmtId="43" fontId="82" fillId="27" borderId="15" xfId="394" applyNumberFormat="1" applyFont="1" applyFill="1" applyBorder="1" applyAlignment="1">
      <alignment horizontal="center" vertical="center" wrapText="1"/>
    </xf>
    <xf numFmtId="174" fontId="82" fillId="27" borderId="11" xfId="0" applyNumberFormat="1" applyFont="1" applyFill="1" applyBorder="1" applyAlignment="1">
      <alignment horizontal="center" vertical="center" wrapText="1"/>
    </xf>
    <xf numFmtId="174" fontId="67" fillId="0" borderId="0" xfId="388" applyFont="1"/>
    <xf numFmtId="174" fontId="82" fillId="27" borderId="23" xfId="391" applyFont="1" applyFill="1" applyBorder="1" applyAlignment="1">
      <alignment horizontal="center" vertical="center"/>
    </xf>
    <xf numFmtId="174" fontId="82" fillId="27" borderId="13" xfId="391" applyFont="1" applyFill="1" applyBorder="1" applyAlignment="1">
      <alignment horizontal="center"/>
    </xf>
    <xf numFmtId="43" fontId="82" fillId="27" borderId="23" xfId="391" applyNumberFormat="1" applyFont="1" applyFill="1" applyBorder="1"/>
    <xf numFmtId="171" fontId="82" fillId="27" borderId="13" xfId="391" applyNumberFormat="1" applyFont="1" applyFill="1" applyBorder="1" applyAlignment="1">
      <alignment horizontal="center"/>
    </xf>
    <xf numFmtId="43" fontId="69" fillId="27" borderId="14" xfId="0" applyNumberFormat="1" applyFont="1" applyFill="1" applyBorder="1" applyAlignment="1">
      <alignment horizontal="center" vertical="center"/>
    </xf>
    <xf numFmtId="43" fontId="66" fillId="27" borderId="23" xfId="394" applyNumberFormat="1" applyFont="1" applyFill="1" applyBorder="1" applyAlignment="1">
      <alignment horizontal="right" vertical="center"/>
    </xf>
    <xf numFmtId="174" fontId="0" fillId="0" borderId="0" xfId="0" applyFill="1" applyBorder="1" applyAlignment="1">
      <alignment vertical="center"/>
    </xf>
    <xf numFmtId="0" fontId="3" fillId="27" borderId="13" xfId="1101" applyFont="1" applyFill="1" applyBorder="1" applyAlignment="1">
      <alignment vertical="center"/>
    </xf>
    <xf numFmtId="0" fontId="62" fillId="27" borderId="13" xfId="579" applyFont="1" applyFill="1" applyBorder="1" applyAlignment="1">
      <alignment horizontal="center"/>
    </xf>
    <xf numFmtId="43" fontId="62" fillId="27" borderId="13" xfId="579" applyNumberFormat="1" applyFont="1" applyFill="1" applyBorder="1" applyAlignment="1">
      <alignment horizontal="center"/>
    </xf>
    <xf numFmtId="43" fontId="81" fillId="27" borderId="0" xfId="323" applyFont="1" applyFill="1" applyBorder="1"/>
    <xf numFmtId="43" fontId="81" fillId="27" borderId="0" xfId="323" applyFont="1" applyFill="1" applyBorder="1" applyAlignment="1">
      <alignment horizontal="right"/>
    </xf>
    <xf numFmtId="0" fontId="3" fillId="27" borderId="19" xfId="1101" applyFont="1" applyFill="1" applyBorder="1" applyAlignment="1">
      <alignment vertical="center"/>
    </xf>
    <xf numFmtId="0" fontId="62" fillId="27" borderId="23" xfId="579" applyFont="1" applyFill="1" applyBorder="1" applyAlignment="1">
      <alignment horizontal="center"/>
    </xf>
    <xf numFmtId="43" fontId="62" fillId="27" borderId="23" xfId="579" applyNumberFormat="1" applyFont="1" applyFill="1" applyBorder="1" applyAlignment="1">
      <alignment horizontal="center"/>
    </xf>
    <xf numFmtId="43" fontId="62" fillId="27" borderId="19" xfId="323" applyFont="1" applyFill="1" applyBorder="1"/>
    <xf numFmtId="0" fontId="47" fillId="0" borderId="0" xfId="579" applyBorder="1"/>
    <xf numFmtId="174" fontId="67" fillId="0" borderId="0" xfId="0" applyFont="1"/>
    <xf numFmtId="174" fontId="82" fillId="27" borderId="15" xfId="0" applyNumberFormat="1" applyFont="1" applyFill="1" applyBorder="1" applyAlignment="1">
      <alignment horizontal="center" vertical="center" wrapText="1"/>
    </xf>
    <xf numFmtId="174" fontId="82" fillId="27" borderId="16" xfId="0" applyNumberFormat="1" applyFont="1" applyFill="1" applyBorder="1" applyAlignment="1">
      <alignment horizontal="center" vertical="center" wrapText="1"/>
    </xf>
    <xf numFmtId="49" fontId="82" fillId="27" borderId="19" xfId="0" applyNumberFormat="1" applyFont="1" applyFill="1" applyBorder="1" applyAlignment="1">
      <alignment horizontal="center"/>
    </xf>
    <xf numFmtId="3" fontId="83" fillId="27" borderId="20" xfId="323" applyNumberFormat="1" applyFont="1" applyFill="1" applyBorder="1" applyAlignment="1">
      <alignment horizontal="center"/>
    </xf>
    <xf numFmtId="3" fontId="83" fillId="27" borderId="0" xfId="323" applyNumberFormat="1" applyFont="1" applyFill="1" applyBorder="1" applyAlignment="1">
      <alignment horizontal="center"/>
    </xf>
    <xf numFmtId="3" fontId="82" fillId="27" borderId="0" xfId="323" applyNumberFormat="1" applyFont="1" applyFill="1" applyBorder="1" applyAlignment="1">
      <alignment horizontal="center"/>
    </xf>
    <xf numFmtId="171" fontId="82" fillId="27" borderId="0" xfId="0" applyNumberFormat="1" applyFont="1" applyFill="1" applyBorder="1" applyAlignment="1">
      <alignment horizontal="center"/>
    </xf>
    <xf numFmtId="171" fontId="82" fillId="27" borderId="26" xfId="0" applyNumberFormat="1" applyFont="1" applyFill="1" applyBorder="1" applyAlignment="1">
      <alignment horizontal="center"/>
    </xf>
    <xf numFmtId="3" fontId="83" fillId="27" borderId="20" xfId="323" applyNumberFormat="1" applyFont="1" applyFill="1" applyBorder="1" applyAlignment="1">
      <alignment horizontal="center" vertical="center"/>
    </xf>
    <xf numFmtId="3" fontId="83" fillId="27" borderId="0" xfId="323" applyNumberFormat="1" applyFont="1" applyFill="1" applyBorder="1" applyAlignment="1">
      <alignment horizontal="center" vertical="center"/>
    </xf>
    <xf numFmtId="3" fontId="82" fillId="27" borderId="23" xfId="0" applyNumberFormat="1" applyFont="1" applyFill="1" applyBorder="1" applyAlignment="1">
      <alignment horizontal="center" vertical="center"/>
    </xf>
    <xf numFmtId="3" fontId="82" fillId="27" borderId="16" xfId="0" applyNumberFormat="1" applyFont="1" applyFill="1" applyBorder="1" applyAlignment="1">
      <alignment horizontal="center" vertical="center"/>
    </xf>
    <xf numFmtId="174" fontId="110" fillId="27" borderId="0" xfId="0" applyFont="1" applyFill="1" applyBorder="1" applyAlignment="1">
      <alignment horizontal="left" vertical="center" wrapText="1"/>
    </xf>
    <xf numFmtId="49" fontId="69" fillId="27" borderId="17" xfId="0" applyNumberFormat="1" applyFont="1" applyFill="1" applyBorder="1" applyAlignment="1">
      <alignment horizontal="center" vertical="center"/>
    </xf>
    <xf numFmtId="167" fontId="53" fillId="27" borderId="21" xfId="323" applyNumberFormat="1" applyFont="1" applyFill="1" applyBorder="1" applyAlignment="1">
      <alignment vertical="center"/>
    </xf>
    <xf numFmtId="167" fontId="53" fillId="27" borderId="12" xfId="323" applyNumberFormat="1" applyFont="1" applyFill="1" applyBorder="1" applyAlignment="1">
      <alignment vertical="center"/>
    </xf>
    <xf numFmtId="10" fontId="69" fillId="27" borderId="12" xfId="0" applyNumberFormat="1" applyFont="1" applyFill="1" applyBorder="1" applyAlignment="1">
      <alignment vertical="center"/>
    </xf>
    <xf numFmtId="10" fontId="69" fillId="27" borderId="27" xfId="0" applyNumberFormat="1" applyFont="1" applyFill="1" applyBorder="1" applyAlignment="1">
      <alignment vertical="center"/>
    </xf>
    <xf numFmtId="10" fontId="69" fillId="27" borderId="11" xfId="0" applyNumberFormat="1" applyFont="1" applyFill="1" applyBorder="1" applyAlignment="1">
      <alignment vertical="center"/>
    </xf>
    <xf numFmtId="10" fontId="69" fillId="27" borderId="22" xfId="0" applyNumberFormat="1" applyFont="1" applyFill="1" applyBorder="1" applyAlignment="1">
      <alignment vertical="center"/>
    </xf>
    <xf numFmtId="180" fontId="0" fillId="0" borderId="0" xfId="0" applyNumberFormat="1" applyFont="1" applyFill="1" applyBorder="1"/>
    <xf numFmtId="180" fontId="0" fillId="0" borderId="0" xfId="0" applyNumberFormat="1" applyFont="1"/>
    <xf numFmtId="167" fontId="82" fillId="0" borderId="15" xfId="336" applyNumberFormat="1" applyFont="1" applyFill="1" applyBorder="1" applyAlignment="1">
      <alignment horizontal="center" vertical="center" wrapText="1"/>
    </xf>
    <xf numFmtId="174" fontId="67" fillId="0" borderId="0" xfId="0" applyNumberFormat="1" applyFont="1" applyAlignment="1">
      <alignment vertical="center"/>
    </xf>
    <xf numFmtId="174" fontId="67" fillId="0" borderId="0" xfId="0" applyFont="1" applyAlignment="1">
      <alignment vertical="center"/>
    </xf>
    <xf numFmtId="38" fontId="67" fillId="27" borderId="21" xfId="0" applyNumberFormat="1" applyFont="1" applyFill="1" applyBorder="1"/>
    <xf numFmtId="38" fontId="67" fillId="27" borderId="20" xfId="0" applyNumberFormat="1" applyFont="1" applyFill="1" applyBorder="1"/>
    <xf numFmtId="174" fontId="74" fillId="0" borderId="0" xfId="0" applyFont="1"/>
    <xf numFmtId="171" fontId="67" fillId="0" borderId="0" xfId="551" applyNumberFormat="1" applyFont="1"/>
    <xf numFmtId="10" fontId="74" fillId="0" borderId="0" xfId="551" applyNumberFormat="1" applyFont="1"/>
    <xf numFmtId="0" fontId="66" fillId="27" borderId="13" xfId="742" applyFont="1" applyFill="1" applyBorder="1" applyAlignment="1">
      <alignment horizontal="center"/>
    </xf>
    <xf numFmtId="43" fontId="55" fillId="27" borderId="0" xfId="336" applyNumberFormat="1" applyFont="1" applyFill="1" applyBorder="1"/>
    <xf numFmtId="176" fontId="0" fillId="0" borderId="0" xfId="551" applyNumberFormat="1" applyFont="1" applyFill="1" applyBorder="1"/>
    <xf numFmtId="180" fontId="47" fillId="0" borderId="0" xfId="446" applyNumberFormat="1" applyFont="1"/>
    <xf numFmtId="174" fontId="69" fillId="0" borderId="13" xfId="0" applyFont="1" applyFill="1" applyBorder="1" applyAlignment="1">
      <alignment horizontal="center" vertical="center" wrapText="1"/>
    </xf>
    <xf numFmtId="167" fontId="69" fillId="0" borderId="19" xfId="323" applyNumberFormat="1" applyFont="1" applyFill="1" applyBorder="1"/>
    <xf numFmtId="167" fontId="69" fillId="0" borderId="13" xfId="323" applyNumberFormat="1" applyFont="1" applyFill="1" applyBorder="1" applyAlignment="1">
      <alignment vertical="center"/>
    </xf>
    <xf numFmtId="167" fontId="68" fillId="27" borderId="19" xfId="0" applyNumberFormat="1" applyFont="1" applyFill="1" applyBorder="1" applyAlignment="1">
      <alignment horizontal="right" wrapText="1"/>
    </xf>
    <xf numFmtId="167" fontId="68" fillId="27" borderId="13" xfId="0" applyNumberFormat="1" applyFont="1" applyFill="1" applyBorder="1" applyAlignment="1">
      <alignment horizontal="right" wrapText="1"/>
    </xf>
    <xf numFmtId="167" fontId="69" fillId="27" borderId="17" xfId="0" applyNumberFormat="1" applyFont="1" applyFill="1" applyBorder="1" applyAlignment="1">
      <alignment horizontal="center" vertical="center" wrapText="1"/>
    </xf>
    <xf numFmtId="167" fontId="69" fillId="27" borderId="19" xfId="0" applyNumberFormat="1" applyFont="1" applyFill="1" applyBorder="1" applyAlignment="1">
      <alignment horizontal="center" vertical="center" wrapText="1"/>
    </xf>
    <xf numFmtId="167" fontId="69" fillId="27" borderId="14" xfId="0" applyNumberFormat="1" applyFont="1" applyFill="1" applyBorder="1" applyAlignment="1">
      <alignment horizontal="center" vertical="center" wrapText="1"/>
    </xf>
    <xf numFmtId="167" fontId="69" fillId="27" borderId="14" xfId="323" applyNumberFormat="1" applyFont="1" applyFill="1" applyBorder="1"/>
    <xf numFmtId="167" fontId="69" fillId="27" borderId="17" xfId="323" applyNumberFormat="1" applyFont="1" applyFill="1" applyBorder="1" applyAlignment="1">
      <alignment vertical="center"/>
    </xf>
    <xf numFmtId="167" fontId="69" fillId="27" borderId="19" xfId="323" applyNumberFormat="1" applyFont="1" applyFill="1" applyBorder="1" applyAlignment="1">
      <alignment vertical="center"/>
    </xf>
    <xf numFmtId="167" fontId="69" fillId="27" borderId="14" xfId="323" applyNumberFormat="1" applyFont="1" applyFill="1" applyBorder="1" applyAlignment="1">
      <alignment vertical="center"/>
    </xf>
    <xf numFmtId="174" fontId="69" fillId="27" borderId="16" xfId="388" applyFont="1" applyFill="1" applyBorder="1" applyAlignment="1">
      <alignment horizontal="center" vertical="center" wrapText="1"/>
    </xf>
    <xf numFmtId="4" fontId="53" fillId="27" borderId="26" xfId="323" applyNumberFormat="1" applyFont="1" applyFill="1" applyBorder="1" applyAlignment="1">
      <alignment horizontal="right"/>
    </xf>
    <xf numFmtId="49" fontId="69" fillId="27" borderId="13" xfId="388" applyNumberFormat="1" applyFont="1" applyFill="1" applyBorder="1" applyAlignment="1">
      <alignment horizontal="center"/>
    </xf>
    <xf numFmtId="4" fontId="69" fillId="27" borderId="16" xfId="323" applyNumberFormat="1" applyFont="1" applyFill="1" applyBorder="1" applyAlignment="1">
      <alignment horizontal="right"/>
    </xf>
    <xf numFmtId="0" fontId="47" fillId="0" borderId="0" xfId="744" applyFill="1" applyBorder="1"/>
    <xf numFmtId="0" fontId="47" fillId="0" borderId="0" xfId="744" applyBorder="1"/>
    <xf numFmtId="174" fontId="74" fillId="0" borderId="0" xfId="0" applyNumberFormat="1" applyFont="1" applyBorder="1" applyAlignment="1">
      <alignment horizontal="left"/>
    </xf>
    <xf numFmtId="0" fontId="0" fillId="0" borderId="0" xfId="0" applyNumberFormat="1"/>
    <xf numFmtId="174" fontId="88" fillId="27" borderId="0" xfId="0" applyFont="1" applyFill="1"/>
    <xf numFmtId="174" fontId="88" fillId="0" borderId="0" xfId="0" applyFont="1"/>
    <xf numFmtId="1" fontId="88" fillId="27" borderId="0" xfId="0" applyNumberFormat="1" applyFont="1" applyFill="1" applyAlignment="1">
      <alignment vertical="center"/>
    </xf>
    <xf numFmtId="2" fontId="88" fillId="27" borderId="0" xfId="0" applyNumberFormat="1" applyFont="1" applyFill="1" applyAlignment="1">
      <alignment vertical="center"/>
    </xf>
    <xf numFmtId="2" fontId="0" fillId="27" borderId="0" xfId="551" applyNumberFormat="1" applyFont="1" applyFill="1" applyAlignment="1">
      <alignment vertical="center"/>
    </xf>
    <xf numFmtId="2" fontId="55" fillId="0" borderId="0" xfId="551" applyNumberFormat="1" applyFont="1" applyFill="1" applyBorder="1" applyAlignment="1" applyProtection="1"/>
    <xf numFmtId="2" fontId="55" fillId="0" borderId="0" xfId="0" applyNumberFormat="1" applyFont="1" applyFill="1" applyBorder="1" applyAlignment="1" applyProtection="1"/>
    <xf numFmtId="174" fontId="67" fillId="0" borderId="0" xfId="0" applyNumberFormat="1" applyFont="1" applyBorder="1" applyAlignment="1">
      <alignment vertical="center"/>
    </xf>
    <xf numFmtId="174" fontId="0" fillId="0" borderId="19" xfId="0" applyBorder="1"/>
    <xf numFmtId="3" fontId="82" fillId="27" borderId="19" xfId="328" applyNumberFormat="1" applyFont="1" applyFill="1" applyBorder="1" applyAlignment="1">
      <alignment vertical="center"/>
    </xf>
    <xf numFmtId="10" fontId="64" fillId="0" borderId="0" xfId="0" applyNumberFormat="1" applyFont="1" applyFill="1" applyBorder="1" applyAlignment="1" applyProtection="1"/>
    <xf numFmtId="2" fontId="64" fillId="0" borderId="0" xfId="0" applyNumberFormat="1" applyFont="1" applyFill="1" applyBorder="1" applyAlignment="1" applyProtection="1"/>
    <xf numFmtId="174" fontId="74" fillId="0" borderId="0" xfId="0" applyNumberFormat="1" applyFont="1" applyBorder="1"/>
    <xf numFmtId="174" fontId="74" fillId="0" borderId="0" xfId="0" applyFont="1" applyAlignment="1">
      <alignment horizontal="justify" vertical="justify" wrapText="1"/>
    </xf>
    <xf numFmtId="174" fontId="74" fillId="0" borderId="0" xfId="0" applyNumberFormat="1" applyFont="1"/>
    <xf numFmtId="167" fontId="64" fillId="27" borderId="14" xfId="323" applyNumberFormat="1" applyFont="1" applyFill="1" applyBorder="1" applyAlignment="1">
      <alignment horizontal="center" vertical="center"/>
    </xf>
    <xf numFmtId="49" fontId="85" fillId="0" borderId="20" xfId="0" applyNumberFormat="1" applyFont="1" applyFill="1" applyBorder="1" applyAlignment="1">
      <alignment horizontal="center"/>
    </xf>
    <xf numFmtId="167" fontId="64" fillId="0" borderId="19" xfId="323" applyNumberFormat="1" applyFont="1" applyFill="1" applyBorder="1" applyAlignment="1">
      <alignment horizontal="center" vertical="center"/>
    </xf>
    <xf numFmtId="174" fontId="85" fillId="0" borderId="13" xfId="0" applyNumberFormat="1" applyFont="1" applyFill="1" applyBorder="1" applyAlignment="1">
      <alignment horizontal="center"/>
    </xf>
    <xf numFmtId="167" fontId="85" fillId="0" borderId="22" xfId="323" applyNumberFormat="1" applyFont="1" applyFill="1" applyBorder="1" applyAlignment="1">
      <alignment horizontal="center" vertical="center"/>
    </xf>
    <xf numFmtId="167" fontId="64" fillId="27" borderId="19" xfId="323" applyNumberFormat="1" applyFont="1" applyFill="1" applyBorder="1" applyAlignment="1">
      <alignment horizontal="center" vertical="center"/>
    </xf>
    <xf numFmtId="3" fontId="135" fillId="0" borderId="0" xfId="348" applyNumberFormat="1" applyFont="1" applyFill="1" applyBorder="1" applyAlignment="1">
      <alignment horizontal="center" vertical="center" wrapText="1"/>
    </xf>
    <xf numFmtId="171" fontId="100" fillId="0" borderId="0" xfId="551" applyNumberFormat="1" applyFont="1"/>
    <xf numFmtId="167" fontId="69" fillId="27" borderId="21" xfId="323" applyNumberFormat="1" applyFont="1" applyFill="1" applyBorder="1" applyAlignment="1">
      <alignment vertical="center"/>
    </xf>
    <xf numFmtId="167" fontId="69" fillId="27" borderId="17" xfId="0" applyNumberFormat="1" applyFont="1" applyFill="1" applyBorder="1" applyAlignment="1">
      <alignment horizontal="center" vertical="center"/>
    </xf>
    <xf numFmtId="167" fontId="69" fillId="27" borderId="13" xfId="323" applyNumberFormat="1" applyFont="1" applyFill="1" applyBorder="1" applyAlignment="1">
      <alignment horizontal="center" vertical="center"/>
    </xf>
    <xf numFmtId="171" fontId="0" fillId="0" borderId="0" xfId="551" applyNumberFormat="1" applyFont="1" applyFill="1" applyBorder="1" applyAlignment="1"/>
    <xf numFmtId="167" fontId="68" fillId="0" borderId="19" xfId="323" applyNumberFormat="1" applyFont="1" applyFill="1" applyBorder="1"/>
    <xf numFmtId="167" fontId="68" fillId="0" borderId="13" xfId="323" applyNumberFormat="1" applyFont="1" applyFill="1" applyBorder="1"/>
    <xf numFmtId="167" fontId="61" fillId="27" borderId="0" xfId="323" applyNumberFormat="1" applyFont="1" applyFill="1" applyBorder="1" applyAlignment="1">
      <alignment horizontal="center"/>
    </xf>
    <xf numFmtId="174" fontId="88" fillId="0" borderId="0" xfId="0" applyFont="1" applyAlignment="1">
      <alignment horizontal="justify" vertical="justify" wrapText="1"/>
    </xf>
    <xf numFmtId="174" fontId="71" fillId="0" borderId="0" xfId="0" applyFont="1" applyFill="1" applyBorder="1" applyAlignment="1">
      <alignment horizontal="center" vertical="center" wrapText="1"/>
    </xf>
    <xf numFmtId="174" fontId="82" fillId="0" borderId="0" xfId="0" applyFont="1" applyFill="1" applyBorder="1" applyAlignment="1">
      <alignment horizontal="center" vertical="center" wrapText="1"/>
    </xf>
    <xf numFmtId="174" fontId="69" fillId="0" borderId="17" xfId="0" applyNumberFormat="1" applyFont="1" applyFill="1" applyBorder="1" applyAlignment="1">
      <alignment horizontal="center" vertical="center" wrapText="1"/>
    </xf>
    <xf numFmtId="171" fontId="73" fillId="0" borderId="17" xfId="551" applyNumberFormat="1" applyFont="1" applyBorder="1"/>
    <xf numFmtId="167" fontId="73" fillId="0" borderId="21" xfId="323" applyNumberFormat="1" applyFont="1" applyBorder="1"/>
    <xf numFmtId="167" fontId="73" fillId="0" borderId="20" xfId="323" applyNumberFormat="1" applyFont="1" applyBorder="1"/>
    <xf numFmtId="174" fontId="85" fillId="0" borderId="27" xfId="0" applyNumberFormat="1" applyFont="1" applyFill="1" applyBorder="1" applyAlignment="1" applyProtection="1">
      <alignment horizontal="center" vertical="center" wrapText="1"/>
    </xf>
    <xf numFmtId="171" fontId="73" fillId="0" borderId="19" xfId="551" applyNumberFormat="1" applyFont="1" applyBorder="1"/>
    <xf numFmtId="171" fontId="73" fillId="0" borderId="14" xfId="551" applyNumberFormat="1" applyFont="1" applyBorder="1"/>
    <xf numFmtId="171" fontId="136" fillId="0" borderId="0" xfId="551" applyNumberFormat="1" applyFont="1"/>
    <xf numFmtId="174" fontId="78" fillId="0" borderId="0" xfId="0" applyNumberFormat="1" applyFont="1" applyFill="1" applyBorder="1" applyAlignment="1">
      <alignment horizontal="center" vertical="center" wrapText="1"/>
    </xf>
    <xf numFmtId="174" fontId="136" fillId="0" borderId="0" xfId="0" applyFont="1"/>
    <xf numFmtId="3" fontId="137" fillId="0" borderId="0" xfId="336" applyNumberFormat="1" applyFont="1" applyFill="1" applyBorder="1" applyAlignment="1"/>
    <xf numFmtId="171" fontId="136" fillId="0" borderId="0" xfId="0" applyNumberFormat="1" applyFont="1"/>
    <xf numFmtId="174" fontId="136" fillId="0" borderId="0" xfId="0" applyNumberFormat="1" applyFont="1" applyBorder="1" applyAlignment="1"/>
    <xf numFmtId="174" fontId="136" fillId="0" borderId="0" xfId="0" applyNumberFormat="1" applyFont="1" applyBorder="1" applyAlignment="1">
      <alignment horizontal="left"/>
    </xf>
    <xf numFmtId="174" fontId="136" fillId="0" borderId="0" xfId="0" applyFont="1" applyAlignment="1">
      <alignment horizontal="justify" vertical="justify" wrapText="1"/>
    </xf>
    <xf numFmtId="174" fontId="136" fillId="0" borderId="0" xfId="0" applyNumberFormat="1" applyFont="1"/>
    <xf numFmtId="171" fontId="82" fillId="27" borderId="26" xfId="551" applyNumberFormat="1" applyFont="1" applyFill="1" applyBorder="1" applyAlignment="1">
      <alignment horizontal="center" vertical="center"/>
    </xf>
    <xf numFmtId="174" fontId="82" fillId="0" borderId="13" xfId="347" applyNumberFormat="1" applyFont="1" applyFill="1" applyBorder="1" applyAlignment="1">
      <alignment horizontal="center" vertical="center"/>
    </xf>
    <xf numFmtId="174" fontId="82" fillId="0" borderId="23" xfId="347" applyFont="1" applyFill="1" applyBorder="1" applyAlignment="1">
      <alignment horizontal="center" vertical="center" wrapText="1"/>
    </xf>
    <xf numFmtId="174" fontId="82" fillId="0" borderId="16" xfId="347" applyFont="1" applyFill="1" applyBorder="1" applyAlignment="1">
      <alignment horizontal="center" vertical="center" wrapText="1"/>
    </xf>
    <xf numFmtId="17" fontId="82" fillId="0" borderId="19" xfId="394" applyNumberFormat="1" applyFont="1" applyFill="1" applyBorder="1" applyAlignment="1">
      <alignment horizontal="center"/>
    </xf>
    <xf numFmtId="167" fontId="0" fillId="0" borderId="0" xfId="0" applyNumberFormat="1" applyAlignment="1">
      <alignment horizontal="left" indent="1"/>
    </xf>
    <xf numFmtId="49" fontId="82" fillId="27" borderId="13" xfId="0" applyNumberFormat="1" applyFont="1" applyFill="1" applyBorder="1" applyAlignment="1">
      <alignment horizontal="center" vertical="center"/>
    </xf>
    <xf numFmtId="174" fontId="82" fillId="27" borderId="23" xfId="0" applyFont="1" applyFill="1" applyBorder="1" applyAlignment="1">
      <alignment horizontal="center" vertical="center" wrapText="1"/>
    </xf>
    <xf numFmtId="174" fontId="82" fillId="27" borderId="16" xfId="0" applyFont="1" applyFill="1" applyBorder="1" applyAlignment="1">
      <alignment horizontal="center" vertical="center" wrapText="1"/>
    </xf>
    <xf numFmtId="174" fontId="82" fillId="27" borderId="13" xfId="0" applyFont="1" applyFill="1" applyBorder="1" applyAlignment="1">
      <alignment horizontal="center"/>
    </xf>
    <xf numFmtId="43" fontId="55" fillId="0" borderId="21" xfId="323" applyFont="1" applyFill="1" applyBorder="1"/>
    <xf numFmtId="43" fontId="55" fillId="0" borderId="20" xfId="323" applyFont="1" applyFill="1" applyBorder="1"/>
    <xf numFmtId="43" fontId="55" fillId="0" borderId="18" xfId="323" applyFont="1" applyFill="1" applyBorder="1"/>
    <xf numFmtId="10" fontId="66" fillId="0" borderId="17" xfId="551" applyNumberFormat="1" applyFont="1" applyFill="1" applyBorder="1"/>
    <xf numFmtId="10" fontId="66" fillId="0" borderId="19" xfId="551" applyNumberFormat="1" applyFont="1" applyFill="1" applyBorder="1"/>
    <xf numFmtId="10" fontId="66" fillId="0" borderId="14" xfId="551" applyNumberFormat="1" applyFont="1" applyFill="1" applyBorder="1"/>
    <xf numFmtId="174" fontId="60" fillId="27" borderId="0" xfId="0" applyFont="1" applyFill="1" applyBorder="1" applyAlignment="1">
      <alignment horizontal="center" vertical="center" wrapText="1"/>
    </xf>
    <xf numFmtId="43" fontId="53" fillId="27" borderId="0" xfId="323" applyNumberFormat="1" applyFont="1" applyFill="1" applyBorder="1" applyAlignment="1">
      <alignment horizontal="center"/>
    </xf>
    <xf numFmtId="10" fontId="69" fillId="27" borderId="26" xfId="446" applyNumberFormat="1" applyFont="1" applyFill="1" applyBorder="1" applyAlignment="1">
      <alignment horizontal="center"/>
    </xf>
    <xf numFmtId="180" fontId="0" fillId="0" borderId="0" xfId="551" applyNumberFormat="1" applyFont="1"/>
    <xf numFmtId="0" fontId="66" fillId="27" borderId="0" xfId="793" applyFont="1" applyFill="1" applyBorder="1" applyAlignment="1">
      <alignment horizontal="center"/>
    </xf>
    <xf numFmtId="3" fontId="53" fillId="0" borderId="21" xfId="0" applyNumberFormat="1" applyFont="1" applyFill="1" applyBorder="1" applyAlignment="1" applyProtection="1">
      <alignment horizontal="center"/>
    </xf>
    <xf numFmtId="3" fontId="53" fillId="0" borderId="12" xfId="0" applyNumberFormat="1" applyFont="1" applyFill="1" applyBorder="1" applyAlignment="1" applyProtection="1">
      <alignment horizontal="center"/>
    </xf>
    <xf numFmtId="3" fontId="69" fillId="0" borderId="17" xfId="0" applyNumberFormat="1" applyFont="1" applyFill="1" applyBorder="1" applyAlignment="1" applyProtection="1">
      <alignment horizontal="center"/>
    </xf>
    <xf numFmtId="3" fontId="55" fillId="0" borderId="12" xfId="0" applyNumberFormat="1" applyFont="1" applyFill="1" applyBorder="1" applyAlignment="1" applyProtection="1">
      <alignment horizontal="center"/>
    </xf>
    <xf numFmtId="175" fontId="69" fillId="0" borderId="27" xfId="0" applyNumberFormat="1" applyFont="1" applyFill="1" applyBorder="1" applyAlignment="1" applyProtection="1">
      <alignment horizontal="center"/>
    </xf>
    <xf numFmtId="3" fontId="53" fillId="0" borderId="20" xfId="0" applyNumberFormat="1" applyFont="1" applyFill="1" applyBorder="1" applyAlignment="1" applyProtection="1">
      <alignment horizontal="center"/>
    </xf>
    <xf numFmtId="3" fontId="53" fillId="0" borderId="0" xfId="0" applyNumberFormat="1" applyFont="1" applyFill="1" applyBorder="1" applyAlignment="1" applyProtection="1">
      <alignment horizontal="center"/>
    </xf>
    <xf numFmtId="3" fontId="69" fillId="0" borderId="19" xfId="0" applyNumberFormat="1" applyFont="1" applyFill="1" applyBorder="1" applyAlignment="1" applyProtection="1">
      <alignment horizontal="center"/>
    </xf>
    <xf numFmtId="3" fontId="55" fillId="0" borderId="0" xfId="0" applyNumberFormat="1" applyFont="1" applyFill="1" applyBorder="1" applyAlignment="1" applyProtection="1">
      <alignment horizontal="center"/>
    </xf>
    <xf numFmtId="175" fontId="69" fillId="0" borderId="26" xfId="0" applyNumberFormat="1" applyFont="1" applyFill="1" applyBorder="1" applyAlignment="1" applyProtection="1">
      <alignment horizontal="center"/>
    </xf>
    <xf numFmtId="3" fontId="55" fillId="27" borderId="0" xfId="0" applyNumberFormat="1" applyFont="1" applyFill="1" applyBorder="1" applyAlignment="1" applyProtection="1">
      <alignment horizontal="center"/>
    </xf>
    <xf numFmtId="3" fontId="85" fillId="0" borderId="15" xfId="0" applyNumberFormat="1" applyFont="1" applyFill="1" applyBorder="1" applyAlignment="1" applyProtection="1">
      <alignment vertical="center"/>
    </xf>
    <xf numFmtId="167" fontId="73" fillId="27" borderId="15" xfId="323" applyNumberFormat="1" applyFont="1" applyFill="1" applyBorder="1" applyAlignment="1">
      <alignment vertical="center"/>
    </xf>
    <xf numFmtId="174" fontId="73" fillId="27" borderId="23" xfId="0" applyNumberFormat="1" applyFont="1" applyFill="1" applyBorder="1" applyAlignment="1">
      <alignment vertical="center"/>
    </xf>
    <xf numFmtId="167" fontId="73" fillId="27" borderId="23" xfId="323" applyNumberFormat="1" applyFont="1" applyFill="1" applyBorder="1" applyAlignment="1">
      <alignment vertical="center"/>
    </xf>
    <xf numFmtId="167" fontId="73" fillId="0" borderId="13" xfId="323" applyNumberFormat="1" applyFont="1" applyBorder="1" applyAlignment="1">
      <alignment vertical="center"/>
    </xf>
    <xf numFmtId="9" fontId="73" fillId="0" borderId="14" xfId="551" applyFont="1" applyBorder="1" applyAlignment="1">
      <alignment vertical="center"/>
    </xf>
    <xf numFmtId="174" fontId="0" fillId="27" borderId="0" xfId="0" applyNumberFormat="1" applyFill="1" applyAlignment="1">
      <alignment vertical="center"/>
    </xf>
    <xf numFmtId="174" fontId="52" fillId="27" borderId="13" xfId="0" applyNumberFormat="1" applyFont="1" applyFill="1" applyBorder="1" applyAlignment="1">
      <alignment horizontal="center" vertical="center" wrapText="1"/>
    </xf>
    <xf numFmtId="3" fontId="83" fillId="27" borderId="0" xfId="328" applyNumberFormat="1" applyFont="1" applyFill="1" applyBorder="1" applyAlignment="1">
      <alignment horizontal="center"/>
    </xf>
    <xf numFmtId="3" fontId="82" fillId="27" borderId="0" xfId="328" applyNumberFormat="1" applyFont="1" applyFill="1" applyBorder="1" applyAlignment="1">
      <alignment horizontal="center"/>
    </xf>
    <xf numFmtId="3" fontId="82" fillId="27" borderId="19" xfId="328" applyNumberFormat="1" applyFont="1" applyFill="1" applyBorder="1" applyAlignment="1">
      <alignment horizontal="center"/>
    </xf>
    <xf numFmtId="2" fontId="82" fillId="27" borderId="26" xfId="551" applyNumberFormat="1" applyFont="1" applyFill="1" applyBorder="1" applyAlignment="1">
      <alignment horizontal="center"/>
    </xf>
    <xf numFmtId="17" fontId="85" fillId="0" borderId="19" xfId="336" applyNumberFormat="1" applyFont="1" applyFill="1" applyBorder="1" applyAlignment="1">
      <alignment horizontal="center" vertical="center"/>
    </xf>
    <xf numFmtId="3" fontId="64" fillId="27" borderId="0" xfId="328" applyNumberFormat="1" applyFont="1" applyFill="1" applyBorder="1" applyAlignment="1">
      <alignment horizontal="center" vertical="center"/>
    </xf>
    <xf numFmtId="17" fontId="85" fillId="27" borderId="19" xfId="336" applyNumberFormat="1" applyFont="1" applyFill="1" applyBorder="1" applyAlignment="1">
      <alignment horizontal="center" vertical="center"/>
    </xf>
    <xf numFmtId="3" fontId="64" fillId="0" borderId="0" xfId="328" applyNumberFormat="1" applyFont="1" applyFill="1" applyBorder="1" applyAlignment="1">
      <alignment horizontal="center" vertical="center"/>
    </xf>
    <xf numFmtId="171" fontId="73" fillId="0" borderId="26" xfId="0" applyNumberFormat="1" applyFont="1" applyFill="1" applyBorder="1" applyAlignment="1">
      <alignment horizontal="center" vertical="center"/>
    </xf>
    <xf numFmtId="17" fontId="85" fillId="0" borderId="14" xfId="336" applyNumberFormat="1" applyFont="1" applyFill="1" applyBorder="1" applyAlignment="1">
      <alignment horizontal="center" vertical="center"/>
    </xf>
    <xf numFmtId="171" fontId="73" fillId="0" borderId="22" xfId="0" applyNumberFormat="1" applyFont="1" applyFill="1" applyBorder="1" applyAlignment="1">
      <alignment horizontal="center" vertical="center"/>
    </xf>
    <xf numFmtId="174" fontId="69" fillId="27" borderId="17" xfId="388" applyNumberFormat="1" applyFont="1" applyFill="1" applyBorder="1" applyAlignment="1">
      <alignment horizontal="center" vertical="center"/>
    </xf>
    <xf numFmtId="174" fontId="69" fillId="27" borderId="17" xfId="388" applyNumberFormat="1" applyFont="1" applyFill="1" applyBorder="1" applyAlignment="1">
      <alignment horizontal="center" vertical="center" wrapText="1"/>
    </xf>
    <xf numFmtId="171" fontId="69" fillId="27" borderId="17" xfId="388" applyNumberFormat="1" applyFont="1" applyFill="1" applyBorder="1" applyAlignment="1">
      <alignment horizontal="center" vertical="center"/>
    </xf>
    <xf numFmtId="171" fontId="69" fillId="27" borderId="19" xfId="388" applyNumberFormat="1" applyFont="1" applyFill="1" applyBorder="1" applyAlignment="1">
      <alignment horizontal="center" vertical="center"/>
    </xf>
    <xf numFmtId="171" fontId="69" fillId="27" borderId="14" xfId="388" applyNumberFormat="1" applyFont="1" applyFill="1" applyBorder="1" applyAlignment="1">
      <alignment horizontal="center" vertical="center"/>
    </xf>
    <xf numFmtId="0" fontId="69" fillId="27" borderId="17" xfId="388" applyNumberFormat="1" applyFont="1" applyFill="1" applyBorder="1" applyAlignment="1">
      <alignment horizontal="center" vertical="center"/>
    </xf>
    <xf numFmtId="3" fontId="64" fillId="27" borderId="11" xfId="328" applyNumberFormat="1" applyFont="1" applyFill="1" applyBorder="1" applyAlignment="1">
      <alignment horizontal="center" vertical="center"/>
    </xf>
    <xf numFmtId="167" fontId="83" fillId="27" borderId="0" xfId="323" applyNumberFormat="1" applyFont="1" applyFill="1" applyBorder="1" applyAlignment="1"/>
    <xf numFmtId="10" fontId="82" fillId="27" borderId="26" xfId="0" applyNumberFormat="1" applyFont="1" applyFill="1" applyBorder="1" applyAlignment="1"/>
    <xf numFmtId="40" fontId="47" fillId="0" borderId="0" xfId="742" applyNumberFormat="1"/>
    <xf numFmtId="43" fontId="47" fillId="0" borderId="0" xfId="744" applyNumberFormat="1" applyAlignment="1">
      <alignment vertical="center"/>
    </xf>
    <xf numFmtId="0" fontId="0" fillId="0" borderId="0" xfId="744" applyFont="1"/>
    <xf numFmtId="0" fontId="66" fillId="27" borderId="19" xfId="742" applyFont="1" applyFill="1" applyBorder="1" applyAlignment="1">
      <alignment horizontal="center"/>
    </xf>
    <xf numFmtId="43" fontId="47" fillId="0" borderId="0" xfId="742" applyNumberFormat="1"/>
    <xf numFmtId="10" fontId="47" fillId="0" borderId="0" xfId="743" applyNumberFormat="1"/>
    <xf numFmtId="43" fontId="142" fillId="0" borderId="0" xfId="673" applyFont="1" applyBorder="1" applyAlignment="1" applyProtection="1">
      <alignment horizontal="right" vertical="center"/>
      <protection locked="0"/>
    </xf>
    <xf numFmtId="174" fontId="0" fillId="0" borderId="0" xfId="0" applyBorder="1" applyAlignment="1">
      <alignment horizontal="center"/>
    </xf>
    <xf numFmtId="4" fontId="53" fillId="27" borderId="0" xfId="323" applyNumberFormat="1" applyFont="1" applyFill="1" applyBorder="1" applyAlignment="1">
      <alignment horizontal="center"/>
    </xf>
    <xf numFmtId="4" fontId="69" fillId="27" borderId="19" xfId="323" applyNumberFormat="1" applyFont="1" applyFill="1" applyBorder="1" applyAlignment="1">
      <alignment horizontal="center"/>
    </xf>
    <xf numFmtId="4" fontId="53" fillId="27" borderId="11" xfId="323" applyNumberFormat="1" applyFont="1" applyFill="1" applyBorder="1" applyAlignment="1">
      <alignment horizontal="center"/>
    </xf>
    <xf numFmtId="4" fontId="69" fillId="27" borderId="14" xfId="323" applyNumberFormat="1" applyFont="1" applyFill="1" applyBorder="1" applyAlignment="1">
      <alignment horizontal="center"/>
    </xf>
    <xf numFmtId="171" fontId="69" fillId="27" borderId="19" xfId="448" applyNumberFormat="1" applyFont="1" applyFill="1" applyBorder="1" applyAlignment="1">
      <alignment horizontal="center" vertical="center"/>
    </xf>
    <xf numFmtId="171" fontId="69" fillId="27" borderId="13" xfId="448" applyNumberFormat="1" applyFont="1" applyFill="1" applyBorder="1" applyAlignment="1">
      <alignment horizontal="center" vertical="center"/>
    </xf>
    <xf numFmtId="167" fontId="53" fillId="31" borderId="20" xfId="323" applyNumberFormat="1" applyFont="1" applyFill="1" applyBorder="1" applyAlignment="1">
      <alignment horizontal="center" vertical="center"/>
    </xf>
    <xf numFmtId="167" fontId="53" fillId="31" borderId="0" xfId="323" applyNumberFormat="1" applyFont="1" applyFill="1" applyBorder="1" applyAlignment="1">
      <alignment horizontal="center" vertical="center"/>
    </xf>
    <xf numFmtId="10" fontId="68" fillId="31" borderId="0" xfId="0" applyNumberFormat="1" applyFont="1" applyFill="1" applyBorder="1" applyAlignment="1">
      <alignment horizontal="center" vertical="center"/>
    </xf>
    <xf numFmtId="167" fontId="53" fillId="27" borderId="20" xfId="323" applyNumberFormat="1" applyFont="1" applyFill="1" applyBorder="1" applyAlignment="1">
      <alignment horizontal="center" vertical="center"/>
    </xf>
    <xf numFmtId="10" fontId="68" fillId="27" borderId="0" xfId="0" applyNumberFormat="1" applyFont="1" applyFill="1" applyBorder="1" applyAlignment="1">
      <alignment horizontal="center" vertical="center"/>
    </xf>
    <xf numFmtId="167" fontId="61" fillId="27" borderId="0" xfId="323" applyNumberFormat="1" applyFont="1" applyFill="1" applyBorder="1" applyAlignment="1">
      <alignment horizontal="center" vertical="center"/>
    </xf>
    <xf numFmtId="167" fontId="68" fillId="27" borderId="0" xfId="323" applyNumberFormat="1" applyFont="1" applyFill="1" applyBorder="1" applyAlignment="1">
      <alignment horizontal="center" vertical="center"/>
    </xf>
    <xf numFmtId="10" fontId="68" fillId="27" borderId="26" xfId="0" applyNumberFormat="1" applyFont="1" applyFill="1" applyBorder="1" applyAlignment="1">
      <alignment horizontal="center" vertical="center"/>
    </xf>
    <xf numFmtId="167" fontId="53" fillId="27" borderId="18" xfId="323" applyNumberFormat="1" applyFont="1" applyFill="1" applyBorder="1" applyAlignment="1">
      <alignment horizontal="center" vertical="center"/>
    </xf>
    <xf numFmtId="167" fontId="53" fillId="27" borderId="11" xfId="323" applyNumberFormat="1" applyFont="1" applyFill="1" applyBorder="1" applyAlignment="1">
      <alignment horizontal="center" vertical="center"/>
    </xf>
    <xf numFmtId="10" fontId="68" fillId="27" borderId="11" xfId="0" applyNumberFormat="1" applyFont="1" applyFill="1" applyBorder="1" applyAlignment="1">
      <alignment horizontal="center" vertical="center"/>
    </xf>
    <xf numFmtId="167" fontId="68" fillId="27" borderId="11" xfId="323" applyNumberFormat="1" applyFont="1" applyFill="1" applyBorder="1" applyAlignment="1">
      <alignment horizontal="center" vertical="center"/>
    </xf>
    <xf numFmtId="10" fontId="68" fillId="27" borderId="22" xfId="0" applyNumberFormat="1" applyFont="1" applyFill="1" applyBorder="1" applyAlignment="1">
      <alignment horizontal="center" vertical="center"/>
    </xf>
    <xf numFmtId="49" fontId="52" fillId="27" borderId="13" xfId="0" applyNumberFormat="1" applyFont="1" applyFill="1" applyBorder="1" applyAlignment="1">
      <alignment horizontal="center" vertical="center"/>
    </xf>
    <xf numFmtId="49" fontId="52" fillId="27" borderId="23" xfId="0" applyNumberFormat="1" applyFont="1" applyFill="1" applyBorder="1" applyAlignment="1">
      <alignment horizontal="center" vertical="center" wrapText="1"/>
    </xf>
    <xf numFmtId="49" fontId="52" fillId="27" borderId="16" xfId="0" applyNumberFormat="1" applyFont="1" applyFill="1" applyBorder="1" applyAlignment="1">
      <alignment horizontal="center" vertical="center" wrapText="1"/>
    </xf>
    <xf numFmtId="0" fontId="67" fillId="27" borderId="0" xfId="323" applyNumberFormat="1" applyFont="1" applyFill="1" applyBorder="1" applyAlignment="1">
      <alignment vertical="center"/>
    </xf>
    <xf numFmtId="167" fontId="67" fillId="27" borderId="0" xfId="323" applyNumberFormat="1" applyFont="1" applyFill="1" applyBorder="1" applyAlignment="1">
      <alignment vertical="center"/>
    </xf>
    <xf numFmtId="171" fontId="52" fillId="27" borderId="26" xfId="0" applyNumberFormat="1" applyFont="1" applyFill="1" applyBorder="1" applyAlignment="1">
      <alignment vertical="center"/>
    </xf>
    <xf numFmtId="171" fontId="52" fillId="27" borderId="16" xfId="0" applyNumberFormat="1" applyFont="1" applyFill="1" applyBorder="1" applyAlignment="1">
      <alignment horizontal="right" wrapText="1"/>
    </xf>
    <xf numFmtId="174" fontId="55" fillId="0" borderId="0" xfId="0" applyNumberFormat="1" applyFont="1" applyBorder="1" applyAlignment="1">
      <alignment horizontal="left"/>
    </xf>
    <xf numFmtId="10" fontId="82" fillId="27" borderId="0" xfId="328" applyNumberFormat="1" applyFont="1" applyFill="1" applyBorder="1" applyAlignment="1">
      <alignment horizontal="center"/>
    </xf>
    <xf numFmtId="171" fontId="55" fillId="0" borderId="0" xfId="551" applyNumberFormat="1" applyFont="1" applyBorder="1" applyAlignment="1">
      <alignment horizontal="right"/>
    </xf>
    <xf numFmtId="174" fontId="72" fillId="0" borderId="0" xfId="0" applyFont="1" applyAlignment="1">
      <alignment horizontal="center" vertical="center"/>
    </xf>
    <xf numFmtId="182" fontId="55" fillId="0" borderId="0" xfId="0" applyNumberFormat="1" applyFont="1" applyBorder="1" applyAlignment="1">
      <alignment horizontal="left"/>
    </xf>
    <xf numFmtId="10" fontId="55" fillId="0" borderId="0" xfId="551" applyNumberFormat="1" applyFont="1" applyBorder="1" applyAlignment="1">
      <alignment horizontal="left"/>
    </xf>
    <xf numFmtId="192" fontId="55" fillId="0" borderId="0" xfId="0" applyNumberFormat="1" applyFont="1" applyBorder="1" applyAlignment="1">
      <alignment horizontal="left"/>
    </xf>
    <xf numFmtId="189" fontId="55" fillId="0" borderId="0" xfId="0" applyNumberFormat="1" applyFont="1" applyBorder="1" applyAlignment="1">
      <alignment horizontal="left"/>
    </xf>
    <xf numFmtId="180" fontId="55" fillId="0" borderId="0" xfId="0" applyNumberFormat="1" applyFont="1" applyBorder="1" applyAlignment="1">
      <alignment horizontal="left"/>
    </xf>
    <xf numFmtId="9" fontId="72" fillId="0" borderId="0" xfId="551" applyFont="1" applyAlignment="1">
      <alignment horizontal="center" vertical="center"/>
    </xf>
    <xf numFmtId="3" fontId="83" fillId="27" borderId="21" xfId="328" applyNumberFormat="1" applyFont="1" applyFill="1" applyBorder="1" applyAlignment="1">
      <alignment vertical="center"/>
    </xf>
    <xf numFmtId="3" fontId="82" fillId="27" borderId="17" xfId="328" applyNumberFormat="1" applyFont="1" applyFill="1" applyBorder="1" applyAlignment="1">
      <alignment vertical="center"/>
    </xf>
    <xf numFmtId="3" fontId="82" fillId="27" borderId="27" xfId="328" applyNumberFormat="1" applyFont="1" applyFill="1" applyBorder="1" applyAlignment="1">
      <alignment vertical="center"/>
    </xf>
    <xf numFmtId="3" fontId="82" fillId="27" borderId="26" xfId="328" applyNumberFormat="1" applyFont="1" applyFill="1" applyBorder="1" applyAlignment="1">
      <alignment vertical="center"/>
    </xf>
    <xf numFmtId="167" fontId="82" fillId="27" borderId="0" xfId="324" applyNumberFormat="1" applyFont="1" applyFill="1" applyBorder="1" applyAlignment="1">
      <alignment vertical="center"/>
    </xf>
    <xf numFmtId="167" fontId="83" fillId="27" borderId="0" xfId="324" applyNumberFormat="1" applyFont="1" applyFill="1" applyBorder="1" applyAlignment="1">
      <alignment vertical="center"/>
    </xf>
    <xf numFmtId="167" fontId="83" fillId="27" borderId="26" xfId="324" applyNumberFormat="1" applyFont="1" applyFill="1" applyBorder="1" applyAlignment="1">
      <alignment vertical="center"/>
    </xf>
    <xf numFmtId="40" fontId="47" fillId="0" borderId="0" xfId="744" applyNumberFormat="1"/>
    <xf numFmtId="196" fontId="47" fillId="0" borderId="0" xfId="744" applyNumberFormat="1"/>
    <xf numFmtId="43" fontId="47" fillId="0" borderId="0" xfId="744" applyNumberFormat="1"/>
    <xf numFmtId="43" fontId="66" fillId="27" borderId="17" xfId="323" applyFont="1" applyFill="1" applyBorder="1" applyAlignment="1">
      <alignment horizontal="center"/>
    </xf>
    <xf numFmtId="43" fontId="66" fillId="27" borderId="19" xfId="323" applyFont="1" applyFill="1" applyBorder="1" applyAlignment="1">
      <alignment horizontal="center"/>
    </xf>
    <xf numFmtId="43" fontId="66" fillId="27" borderId="14" xfId="323" applyFont="1" applyFill="1" applyBorder="1" applyAlignment="1">
      <alignment horizontal="center"/>
    </xf>
    <xf numFmtId="43" fontId="66" fillId="27" borderId="13" xfId="742" applyNumberFormat="1" applyFont="1" applyFill="1" applyBorder="1" applyAlignment="1">
      <alignment horizontal="center"/>
    </xf>
    <xf numFmtId="43" fontId="69" fillId="27" borderId="13" xfId="0" applyNumberFormat="1" applyFont="1" applyFill="1" applyBorder="1" applyAlignment="1">
      <alignment horizontal="center" vertical="center" wrapText="1"/>
    </xf>
    <xf numFmtId="43" fontId="62" fillId="27" borderId="19" xfId="0" applyNumberFormat="1" applyFont="1" applyFill="1" applyBorder="1" applyAlignment="1">
      <alignment horizontal="left" vertical="center"/>
    </xf>
    <xf numFmtId="43" fontId="81" fillId="36" borderId="0" xfId="0" applyNumberFormat="1" applyFont="1" applyFill="1" applyBorder="1" applyAlignment="1">
      <alignment horizontal="right" vertical="center"/>
    </xf>
    <xf numFmtId="43" fontId="81" fillId="36" borderId="26" xfId="0" applyNumberFormat="1" applyFont="1" applyFill="1" applyBorder="1" applyAlignment="1">
      <alignment horizontal="right" vertical="center"/>
    </xf>
    <xf numFmtId="43" fontId="81" fillId="27" borderId="0" xfId="0" applyNumberFormat="1" applyFont="1" applyFill="1" applyBorder="1" applyAlignment="1">
      <alignment horizontal="right" vertical="center"/>
    </xf>
    <xf numFmtId="43" fontId="81" fillId="32" borderId="0" xfId="0" applyNumberFormat="1" applyFont="1" applyFill="1" applyBorder="1" applyAlignment="1">
      <alignment horizontal="right" vertical="center"/>
    </xf>
    <xf numFmtId="43" fontId="81" fillId="32" borderId="0" xfId="0" applyNumberFormat="1" applyFont="1" applyFill="1" applyBorder="1" applyAlignment="1">
      <alignment horizontal="left" vertical="center"/>
    </xf>
    <xf numFmtId="43" fontId="81" fillId="32" borderId="26" xfId="0" applyNumberFormat="1" applyFont="1" applyFill="1" applyBorder="1" applyAlignment="1">
      <alignment horizontal="right" vertical="center"/>
    </xf>
    <xf numFmtId="43" fontId="82" fillId="27" borderId="13" xfId="0" applyNumberFormat="1" applyFont="1" applyFill="1" applyBorder="1" applyAlignment="1">
      <alignment horizontal="center" vertical="center"/>
    </xf>
    <xf numFmtId="43" fontId="82" fillId="27" borderId="23" xfId="0" applyNumberFormat="1" applyFont="1" applyFill="1" applyBorder="1" applyAlignment="1">
      <alignment horizontal="center" vertical="center" wrapText="1"/>
    </xf>
    <xf numFmtId="0" fontId="82" fillId="27" borderId="19" xfId="0" applyNumberFormat="1" applyFont="1" applyFill="1" applyBorder="1" applyAlignment="1">
      <alignment horizontal="center" vertical="center"/>
    </xf>
    <xf numFmtId="40" fontId="83" fillId="27" borderId="0" xfId="335" applyNumberFormat="1" applyFont="1" applyFill="1" applyBorder="1" applyAlignment="1">
      <alignment vertical="center"/>
    </xf>
    <xf numFmtId="40" fontId="83" fillId="27" borderId="0" xfId="0" applyNumberFormat="1" applyFont="1" applyFill="1" applyBorder="1" applyAlignment="1">
      <alignment vertical="center"/>
    </xf>
    <xf numFmtId="43" fontId="82" fillId="27" borderId="15" xfId="0" applyNumberFormat="1" applyFont="1" applyFill="1" applyBorder="1" applyAlignment="1">
      <alignment vertical="center"/>
    </xf>
    <xf numFmtId="43" fontId="82" fillId="27" borderId="23" xfId="0" applyNumberFormat="1" applyFont="1" applyFill="1" applyBorder="1" applyAlignment="1">
      <alignment vertical="center"/>
    </xf>
    <xf numFmtId="43" fontId="51" fillId="0" borderId="0" xfId="0" applyNumberFormat="1" applyFont="1" applyFill="1" applyBorder="1" applyAlignment="1">
      <alignment vertical="center"/>
    </xf>
    <xf numFmtId="171" fontId="0" fillId="0" borderId="0" xfId="551" applyNumberFormat="1" applyFont="1" applyFill="1" applyBorder="1" applyAlignment="1">
      <alignment vertical="center"/>
    </xf>
    <xf numFmtId="171" fontId="47" fillId="0" borderId="0" xfId="551" applyNumberFormat="1" applyFont="1"/>
    <xf numFmtId="10" fontId="55" fillId="27" borderId="0" xfId="323" applyNumberFormat="1" applyFont="1" applyFill="1" applyBorder="1"/>
    <xf numFmtId="174" fontId="70" fillId="27" borderId="0" xfId="0" applyFont="1" applyFill="1" applyBorder="1"/>
    <xf numFmtId="43" fontId="61" fillId="27" borderId="0" xfId="0" applyNumberFormat="1" applyFont="1" applyFill="1" applyBorder="1"/>
    <xf numFmtId="174" fontId="53" fillId="27" borderId="0" xfId="0" applyFont="1" applyFill="1" applyBorder="1"/>
    <xf numFmtId="167" fontId="68" fillId="27" borderId="19" xfId="0" applyNumberFormat="1" applyFont="1" applyFill="1" applyBorder="1" applyAlignment="1">
      <alignment horizontal="center" wrapText="1"/>
    </xf>
    <xf numFmtId="167" fontId="68" fillId="27" borderId="13" xfId="0" applyNumberFormat="1" applyFont="1" applyFill="1" applyBorder="1" applyAlignment="1">
      <alignment horizontal="center" wrapText="1"/>
    </xf>
    <xf numFmtId="10" fontId="68" fillId="27" borderId="0" xfId="0" applyNumberFormat="1" applyFont="1" applyFill="1" applyBorder="1" applyAlignment="1">
      <alignment horizontal="center"/>
    </xf>
    <xf numFmtId="10" fontId="68" fillId="27" borderId="26" xfId="0" applyNumberFormat="1" applyFont="1" applyFill="1" applyBorder="1" applyAlignment="1">
      <alignment horizontal="center"/>
    </xf>
    <xf numFmtId="10" fontId="68" fillId="27" borderId="23" xfId="0" applyNumberFormat="1" applyFont="1" applyFill="1" applyBorder="1" applyAlignment="1">
      <alignment horizontal="center"/>
    </xf>
    <xf numFmtId="10" fontId="68" fillId="27" borderId="16" xfId="0" applyNumberFormat="1" applyFont="1" applyFill="1" applyBorder="1" applyAlignment="1">
      <alignment horizontal="center"/>
    </xf>
    <xf numFmtId="167" fontId="69" fillId="27" borderId="19" xfId="323" applyNumberFormat="1" applyFont="1" applyFill="1" applyBorder="1"/>
    <xf numFmtId="167" fontId="69" fillId="27" borderId="13" xfId="323" applyNumberFormat="1" applyFont="1" applyFill="1" applyBorder="1"/>
    <xf numFmtId="167" fontId="69" fillId="27" borderId="13" xfId="0" applyNumberFormat="1" applyFont="1" applyFill="1" applyBorder="1" applyAlignment="1">
      <alignment horizontal="center" vertical="center" wrapText="1"/>
    </xf>
    <xf numFmtId="174" fontId="86" fillId="0" borderId="0" xfId="0" applyFont="1" applyFill="1" applyBorder="1" applyAlignment="1">
      <alignment horizontal="center" vertical="center" wrapText="1"/>
    </xf>
    <xf numFmtId="174" fontId="0" fillId="0" borderId="0" xfId="0" applyAlignment="1">
      <alignment horizontal="center"/>
    </xf>
    <xf numFmtId="174" fontId="82" fillId="0" borderId="13" xfId="347" applyFont="1" applyFill="1" applyBorder="1" applyAlignment="1">
      <alignment horizontal="center" vertical="center" wrapText="1"/>
    </xf>
    <xf numFmtId="10" fontId="82" fillId="27" borderId="19" xfId="324" applyNumberFormat="1" applyFont="1" applyFill="1" applyBorder="1" applyAlignment="1">
      <alignment horizontal="right"/>
    </xf>
    <xf numFmtId="10" fontId="82" fillId="27" borderId="14" xfId="324" applyNumberFormat="1" applyFont="1" applyFill="1" applyBorder="1" applyAlignment="1">
      <alignment horizontal="right"/>
    </xf>
    <xf numFmtId="43" fontId="81" fillId="32" borderId="0" xfId="323" applyFont="1" applyFill="1" applyBorder="1"/>
    <xf numFmtId="49" fontId="68" fillId="31" borderId="20" xfId="0" applyNumberFormat="1" applyFont="1" applyFill="1" applyBorder="1" applyAlignment="1">
      <alignment horizontal="center" vertical="center" wrapText="1"/>
    </xf>
    <xf numFmtId="167" fontId="61" fillId="27" borderId="20" xfId="323" applyNumberFormat="1" applyFont="1" applyFill="1" applyBorder="1" applyAlignment="1">
      <alignment horizontal="center" vertical="center"/>
    </xf>
    <xf numFmtId="49" fontId="82" fillId="27" borderId="23" xfId="0" applyNumberFormat="1" applyFont="1" applyFill="1" applyBorder="1" applyAlignment="1">
      <alignment horizontal="center" vertical="center" wrapText="1"/>
    </xf>
    <xf numFmtId="49" fontId="52" fillId="27" borderId="13" xfId="0" applyNumberFormat="1" applyFont="1" applyFill="1" applyBorder="1" applyAlignment="1">
      <alignment horizontal="center" vertical="center" wrapText="1"/>
    </xf>
    <xf numFmtId="167" fontId="52" fillId="27" borderId="23" xfId="0" applyNumberFormat="1" applyFont="1" applyFill="1" applyBorder="1" applyAlignment="1">
      <alignment horizontal="right" wrapText="1"/>
    </xf>
    <xf numFmtId="0" fontId="85" fillId="27" borderId="13" xfId="437" applyFont="1" applyFill="1" applyBorder="1" applyAlignment="1">
      <alignment horizontal="left" vertical="center" wrapText="1"/>
    </xf>
    <xf numFmtId="167" fontId="85" fillId="27" borderId="15" xfId="323" applyNumberFormat="1" applyFont="1" applyFill="1" applyBorder="1" applyAlignment="1">
      <alignment horizontal="center" vertical="center" wrapText="1"/>
    </xf>
    <xf numFmtId="167" fontId="85" fillId="27" borderId="23" xfId="323" applyNumberFormat="1" applyFont="1" applyFill="1" applyBorder="1" applyAlignment="1">
      <alignment horizontal="center" vertical="center" wrapText="1"/>
    </xf>
    <xf numFmtId="167" fontId="85" fillId="27" borderId="13" xfId="323" applyNumberFormat="1" applyFont="1" applyFill="1" applyBorder="1" applyAlignment="1">
      <alignment horizontal="center" vertical="center" wrapText="1"/>
    </xf>
    <xf numFmtId="174" fontId="82" fillId="27" borderId="15" xfId="0" applyNumberFormat="1" applyFont="1" applyFill="1" applyBorder="1" applyAlignment="1">
      <alignment horizontal="center" vertical="center"/>
    </xf>
    <xf numFmtId="175" fontId="69" fillId="27" borderId="22" xfId="0" applyNumberFormat="1" applyFont="1" applyFill="1" applyBorder="1" applyAlignment="1" applyProtection="1">
      <alignment horizontal="center"/>
    </xf>
    <xf numFmtId="49" fontId="82" fillId="27" borderId="19" xfId="0" applyNumberFormat="1" applyFont="1" applyFill="1" applyBorder="1" applyAlignment="1" applyProtection="1">
      <alignment horizontal="center" vertical="center"/>
    </xf>
    <xf numFmtId="49" fontId="82" fillId="27" borderId="14" xfId="0" applyNumberFormat="1" applyFont="1" applyFill="1" applyBorder="1" applyAlignment="1" applyProtection="1">
      <alignment horizontal="center" vertical="center"/>
    </xf>
    <xf numFmtId="174" fontId="74" fillId="27" borderId="0" xfId="0" applyFont="1" applyFill="1" applyBorder="1"/>
    <xf numFmtId="171" fontId="73" fillId="27" borderId="0" xfId="0" applyNumberFormat="1" applyFont="1" applyFill="1" applyBorder="1" applyAlignment="1">
      <alignment horizontal="center"/>
    </xf>
    <xf numFmtId="197" fontId="55" fillId="0" borderId="0" xfId="551" applyNumberFormat="1" applyFont="1" applyBorder="1" applyAlignment="1">
      <alignment horizontal="left"/>
    </xf>
    <xf numFmtId="167" fontId="53" fillId="27" borderId="11" xfId="394" applyNumberFormat="1" applyFont="1" applyFill="1" applyBorder="1" applyAlignment="1">
      <alignment horizontal="right"/>
    </xf>
    <xf numFmtId="3" fontId="82" fillId="0" borderId="23" xfId="328" applyNumberFormat="1" applyFont="1" applyFill="1" applyBorder="1" applyAlignment="1">
      <alignment horizontal="center" vertical="center"/>
    </xf>
    <xf numFmtId="3" fontId="82" fillId="0" borderId="15" xfId="328" applyNumberFormat="1" applyFont="1" applyFill="1" applyBorder="1" applyAlignment="1">
      <alignment horizontal="center" vertical="center"/>
    </xf>
    <xf numFmtId="174" fontId="83" fillId="0" borderId="0" xfId="0" applyFont="1"/>
    <xf numFmtId="0" fontId="66" fillId="27" borderId="13" xfId="742" applyFont="1" applyFill="1" applyBorder="1" applyAlignment="1">
      <alignment horizontal="center" vertical="center"/>
    </xf>
    <xf numFmtId="0" fontId="66" fillId="27" borderId="23" xfId="742" applyFont="1" applyFill="1" applyBorder="1" applyAlignment="1">
      <alignment horizontal="center" vertical="center"/>
    </xf>
    <xf numFmtId="0" fontId="47" fillId="0" borderId="0" xfId="742" applyAlignment="1">
      <alignment vertical="center"/>
    </xf>
    <xf numFmtId="43" fontId="82" fillId="27" borderId="0" xfId="0" applyNumberFormat="1" applyFont="1" applyFill="1" applyBorder="1" applyAlignment="1">
      <alignment vertical="center"/>
    </xf>
    <xf numFmtId="43" fontId="82" fillId="27" borderId="13" xfId="0" applyNumberFormat="1" applyFont="1" applyFill="1" applyBorder="1" applyAlignment="1">
      <alignment horizontal="center" vertical="center" wrapText="1"/>
    </xf>
    <xf numFmtId="40" fontId="82" fillId="27" borderId="19" xfId="0" applyNumberFormat="1" applyFont="1" applyFill="1" applyBorder="1" applyAlignment="1">
      <alignment vertical="center"/>
    </xf>
    <xf numFmtId="40" fontId="82" fillId="27" borderId="13" xfId="0" applyNumberFormat="1" applyFont="1" applyFill="1" applyBorder="1" applyAlignment="1">
      <alignment vertical="center"/>
    </xf>
    <xf numFmtId="174" fontId="57" fillId="0" borderId="0" xfId="0" applyFont="1"/>
    <xf numFmtId="182" fontId="56" fillId="0" borderId="0" xfId="1094" applyNumberFormat="1" applyFont="1" applyFill="1" applyBorder="1" applyAlignment="1">
      <alignment horizontal="center" vertical="top"/>
    </xf>
    <xf numFmtId="175" fontId="64" fillId="27" borderId="26" xfId="0" applyNumberFormat="1" applyFont="1" applyFill="1" applyBorder="1" applyAlignment="1">
      <alignment horizontal="right"/>
    </xf>
    <xf numFmtId="182" fontId="73" fillId="0" borderId="12" xfId="1094" applyNumberFormat="1" applyFont="1" applyFill="1" applyBorder="1" applyAlignment="1">
      <alignment horizontal="center" vertical="center" wrapText="1"/>
    </xf>
    <xf numFmtId="182" fontId="85" fillId="0" borderId="27" xfId="1094" applyNumberFormat="1" applyFont="1" applyFill="1" applyBorder="1" applyAlignment="1">
      <alignment horizontal="center" vertical="center" wrapText="1"/>
    </xf>
    <xf numFmtId="175" fontId="64" fillId="27" borderId="0" xfId="0" applyNumberFormat="1" applyFont="1" applyFill="1" applyBorder="1" applyAlignment="1">
      <alignment horizontal="right"/>
    </xf>
    <xf numFmtId="175" fontId="64" fillId="27" borderId="27" xfId="0" applyNumberFormat="1" applyFont="1" applyFill="1" applyBorder="1" applyAlignment="1">
      <alignment horizontal="right"/>
    </xf>
    <xf numFmtId="175" fontId="64" fillId="27" borderId="22" xfId="0" applyNumberFormat="1" applyFont="1" applyFill="1" applyBorder="1" applyAlignment="1">
      <alignment horizontal="right"/>
    </xf>
    <xf numFmtId="17" fontId="73" fillId="0" borderId="21" xfId="393" applyNumberFormat="1" applyFont="1" applyFill="1" applyBorder="1" applyAlignment="1">
      <alignment horizontal="left" vertical="center"/>
    </xf>
    <xf numFmtId="17" fontId="73" fillId="0" borderId="20" xfId="393" applyNumberFormat="1" applyFont="1" applyFill="1" applyBorder="1" applyAlignment="1">
      <alignment horizontal="left" vertical="center"/>
    </xf>
    <xf numFmtId="17" fontId="73" fillId="0" borderId="18" xfId="393" applyNumberFormat="1" applyFont="1" applyFill="1" applyBorder="1" applyAlignment="1">
      <alignment horizontal="left" vertical="center"/>
    </xf>
    <xf numFmtId="0" fontId="66" fillId="0" borderId="0" xfId="0" applyNumberFormat="1" applyFont="1" applyFill="1" applyBorder="1" applyAlignment="1">
      <alignment horizontal="left" vertical="center" indent="1"/>
    </xf>
    <xf numFmtId="0" fontId="62" fillId="27" borderId="23" xfId="0" applyNumberFormat="1" applyFont="1" applyFill="1" applyBorder="1" applyAlignment="1">
      <alignment horizontal="left" vertical="center" indent="1"/>
    </xf>
    <xf numFmtId="41" fontId="62" fillId="27" borderId="13" xfId="0" applyNumberFormat="1" applyFont="1" applyFill="1" applyBorder="1" applyAlignment="1">
      <alignment horizontal="left" vertical="center" indent="1"/>
    </xf>
    <xf numFmtId="41" fontId="81" fillId="27" borderId="0" xfId="0" applyNumberFormat="1" applyFont="1" applyFill="1" applyBorder="1" applyAlignment="1">
      <alignment horizontal="left" vertical="center" indent="1"/>
    </xf>
    <xf numFmtId="41" fontId="62" fillId="27" borderId="19" xfId="0" applyNumberFormat="1" applyFont="1" applyFill="1" applyBorder="1" applyAlignment="1">
      <alignment horizontal="left" vertical="center" indent="1"/>
    </xf>
    <xf numFmtId="41" fontId="62" fillId="27" borderId="23" xfId="0" applyNumberFormat="1" applyFont="1" applyFill="1" applyBorder="1" applyAlignment="1">
      <alignment horizontal="left" vertical="center" indent="1"/>
    </xf>
    <xf numFmtId="174" fontId="55" fillId="27" borderId="0" xfId="0" applyFont="1" applyFill="1" applyBorder="1" applyAlignment="1">
      <alignment horizontal="left" indent="1"/>
    </xf>
    <xf numFmtId="174" fontId="0" fillId="0" borderId="0" xfId="0" applyAlignment="1">
      <alignment horizontal="left" indent="1"/>
    </xf>
    <xf numFmtId="43" fontId="53" fillId="27" borderId="0" xfId="323" applyNumberFormat="1" applyFont="1" applyFill="1" applyBorder="1"/>
    <xf numFmtId="10" fontId="53" fillId="27" borderId="0" xfId="551" applyNumberFormat="1" applyFont="1" applyFill="1" applyBorder="1"/>
    <xf numFmtId="174" fontId="71" fillId="0" borderId="0" xfId="0" applyFont="1" applyFill="1" applyBorder="1" applyAlignment="1">
      <alignment horizontal="center" vertical="center" wrapText="1"/>
    </xf>
    <xf numFmtId="174" fontId="82" fillId="27" borderId="0" xfId="0" applyFont="1" applyFill="1" applyBorder="1" applyAlignment="1">
      <alignment horizontal="center" vertical="center" wrapText="1"/>
    </xf>
    <xf numFmtId="174" fontId="0" fillId="0" borderId="0" xfId="0" applyAlignment="1">
      <alignment horizontal="center"/>
    </xf>
    <xf numFmtId="177" fontId="0" fillId="0" borderId="0" xfId="551" applyNumberFormat="1" applyFont="1"/>
    <xf numFmtId="174" fontId="69" fillId="27" borderId="13" xfId="347" applyNumberFormat="1" applyFont="1" applyFill="1" applyBorder="1" applyAlignment="1">
      <alignment horizontal="center" vertical="center"/>
    </xf>
    <xf numFmtId="174" fontId="69" fillId="27" borderId="23" xfId="347" applyFont="1" applyFill="1" applyBorder="1" applyAlignment="1">
      <alignment horizontal="center" vertical="center" wrapText="1"/>
    </xf>
    <xf numFmtId="174" fontId="69" fillId="27" borderId="16" xfId="347" applyFont="1" applyFill="1" applyBorder="1" applyAlignment="1">
      <alignment horizontal="center" vertical="center" wrapText="1"/>
    </xf>
    <xf numFmtId="174" fontId="61" fillId="0" borderId="0" xfId="0" applyFont="1" applyFill="1" applyBorder="1"/>
    <xf numFmtId="174" fontId="61" fillId="0" borderId="0" xfId="0" applyFont="1" applyBorder="1"/>
    <xf numFmtId="49" fontId="69" fillId="27" borderId="19" xfId="394" applyNumberFormat="1" applyFont="1" applyFill="1" applyBorder="1" applyAlignment="1">
      <alignment horizontal="center" vertical="center"/>
    </xf>
    <xf numFmtId="167" fontId="69" fillId="27" borderId="0" xfId="324" applyNumberFormat="1" applyFont="1" applyFill="1" applyBorder="1" applyAlignment="1">
      <alignment horizontal="center" vertical="center"/>
    </xf>
    <xf numFmtId="167" fontId="53" fillId="27" borderId="0" xfId="324" applyNumberFormat="1" applyFont="1" applyFill="1" applyBorder="1" applyAlignment="1">
      <alignment horizontal="center" vertical="center"/>
    </xf>
    <xf numFmtId="167" fontId="53" fillId="27" borderId="26" xfId="324" applyNumberFormat="1" applyFont="1" applyFill="1" applyBorder="1" applyAlignment="1">
      <alignment horizontal="center" vertical="center"/>
    </xf>
    <xf numFmtId="17" fontId="69" fillId="27" borderId="19" xfId="394" applyNumberFormat="1" applyFont="1" applyFill="1" applyBorder="1" applyAlignment="1">
      <alignment horizontal="center" vertical="center"/>
    </xf>
    <xf numFmtId="174" fontId="61" fillId="27" borderId="0" xfId="0" applyFont="1" applyFill="1" applyAlignment="1">
      <alignment horizontal="center"/>
    </xf>
    <xf numFmtId="174" fontId="53" fillId="27" borderId="0" xfId="347" applyFont="1" applyFill="1" applyBorder="1" applyAlignment="1">
      <alignment horizontal="center"/>
    </xf>
    <xf numFmtId="174" fontId="53" fillId="0" borderId="0" xfId="347" applyFont="1" applyFill="1" applyBorder="1" applyAlignment="1">
      <alignment horizontal="center"/>
    </xf>
    <xf numFmtId="174" fontId="53" fillId="0" borderId="0" xfId="347" applyFont="1" applyAlignment="1">
      <alignment horizontal="center"/>
    </xf>
    <xf numFmtId="43" fontId="55" fillId="0" borderId="0" xfId="323" applyFont="1" applyFill="1" applyBorder="1" applyAlignment="1">
      <alignment horizontal="right"/>
    </xf>
    <xf numFmtId="10" fontId="53" fillId="27" borderId="0" xfId="551" applyNumberFormat="1" applyFont="1" applyFill="1" applyBorder="1" applyAlignment="1">
      <alignment vertical="center"/>
    </xf>
    <xf numFmtId="43" fontId="69" fillId="27" borderId="0" xfId="336" applyNumberFormat="1" applyFont="1" applyFill="1" applyBorder="1" applyAlignment="1">
      <alignment vertical="center"/>
    </xf>
    <xf numFmtId="182" fontId="73" fillId="0" borderId="12" xfId="1094" applyNumberFormat="1" applyFont="1" applyFill="1" applyBorder="1" applyAlignment="1">
      <alignment horizontal="right" vertical="center" wrapText="1"/>
    </xf>
    <xf numFmtId="3" fontId="64" fillId="27" borderId="21" xfId="0" applyNumberFormat="1" applyFont="1" applyFill="1" applyBorder="1" applyAlignment="1">
      <alignment horizontal="right"/>
    </xf>
    <xf numFmtId="3" fontId="64" fillId="27" borderId="20" xfId="0" applyNumberFormat="1" applyFont="1" applyFill="1" applyBorder="1" applyAlignment="1">
      <alignment horizontal="right"/>
    </xf>
    <xf numFmtId="3" fontId="64" fillId="27" borderId="18" xfId="0" applyNumberFormat="1" applyFont="1" applyFill="1" applyBorder="1" applyAlignment="1">
      <alignment horizontal="right"/>
    </xf>
    <xf numFmtId="3" fontId="64" fillId="27" borderId="12" xfId="0" applyNumberFormat="1" applyFont="1" applyFill="1" applyBorder="1" applyAlignment="1">
      <alignment horizontal="right"/>
    </xf>
    <xf numFmtId="3" fontId="64" fillId="27" borderId="0" xfId="0" applyNumberFormat="1" applyFont="1" applyFill="1" applyBorder="1" applyAlignment="1">
      <alignment horizontal="right"/>
    </xf>
    <xf numFmtId="3" fontId="64" fillId="27" borderId="11" xfId="0" applyNumberFormat="1" applyFont="1" applyFill="1" applyBorder="1" applyAlignment="1">
      <alignment horizontal="right"/>
    </xf>
    <xf numFmtId="4" fontId="82" fillId="27" borderId="0" xfId="0" applyNumberFormat="1" applyFont="1" applyFill="1" applyBorder="1" applyAlignment="1">
      <alignment horizontal="right"/>
    </xf>
    <xf numFmtId="174" fontId="66" fillId="27" borderId="15" xfId="0" applyNumberFormat="1" applyFont="1" applyFill="1" applyBorder="1" applyAlignment="1">
      <alignment horizontal="center" vertical="center"/>
    </xf>
    <xf numFmtId="174" fontId="66" fillId="0" borderId="15" xfId="0" applyNumberFormat="1" applyFont="1" applyFill="1" applyBorder="1" applyAlignment="1">
      <alignment horizontal="center" vertical="center" wrapText="1"/>
    </xf>
    <xf numFmtId="174" fontId="66" fillId="0" borderId="23" xfId="0" applyNumberFormat="1" applyFont="1" applyFill="1" applyBorder="1" applyAlignment="1">
      <alignment horizontal="center" vertical="center" wrapText="1"/>
    </xf>
    <xf numFmtId="1" fontId="66" fillId="27" borderId="15" xfId="347" applyNumberFormat="1" applyFont="1" applyFill="1" applyBorder="1" applyAlignment="1">
      <alignment horizontal="center" vertical="center"/>
    </xf>
    <xf numFmtId="4" fontId="66" fillId="27" borderId="15" xfId="0" applyNumberFormat="1" applyFont="1" applyFill="1" applyBorder="1" applyAlignment="1">
      <alignment horizontal="right"/>
    </xf>
    <xf numFmtId="4" fontId="66" fillId="27" borderId="23" xfId="0" applyNumberFormat="1" applyFont="1" applyFill="1" applyBorder="1" applyAlignment="1">
      <alignment horizontal="right"/>
    </xf>
    <xf numFmtId="4" fontId="66" fillId="27" borderId="16" xfId="0" applyNumberFormat="1" applyFont="1" applyFill="1" applyBorder="1" applyAlignment="1">
      <alignment horizontal="right"/>
    </xf>
    <xf numFmtId="43" fontId="83" fillId="0" borderId="21" xfId="0" applyNumberFormat="1" applyFont="1" applyFill="1" applyBorder="1" applyAlignment="1" applyProtection="1">
      <alignment horizontal="center" vertical="center"/>
    </xf>
    <xf numFmtId="43" fontId="83" fillId="0" borderId="12" xfId="0" applyNumberFormat="1" applyFont="1" applyFill="1" applyBorder="1" applyAlignment="1" applyProtection="1">
      <alignment horizontal="center" vertical="center"/>
    </xf>
    <xf numFmtId="43" fontId="83" fillId="0" borderId="27" xfId="0" applyNumberFormat="1" applyFont="1" applyFill="1" applyBorder="1" applyAlignment="1" applyProtection="1">
      <alignment horizontal="center" vertical="center"/>
    </xf>
    <xf numFmtId="43" fontId="83" fillId="0" borderId="20" xfId="0" applyNumberFormat="1" applyFont="1" applyFill="1" applyBorder="1" applyAlignment="1" applyProtection="1">
      <alignment horizontal="center" vertical="center"/>
    </xf>
    <xf numFmtId="43" fontId="83" fillId="0" borderId="0" xfId="0" applyNumberFormat="1" applyFont="1" applyFill="1" applyBorder="1" applyAlignment="1" applyProtection="1">
      <alignment horizontal="center" vertical="center"/>
    </xf>
    <xf numFmtId="43" fontId="83" fillId="0" borderId="26" xfId="0" applyNumberFormat="1" applyFont="1" applyFill="1" applyBorder="1" applyAlignment="1" applyProtection="1">
      <alignment horizontal="center" vertical="center"/>
    </xf>
    <xf numFmtId="43" fontId="83" fillId="27" borderId="20" xfId="0" applyNumberFormat="1" applyFont="1" applyFill="1" applyBorder="1" applyAlignment="1" applyProtection="1">
      <alignment horizontal="center" vertical="center"/>
    </xf>
    <xf numFmtId="43" fontId="83" fillId="27" borderId="0" xfId="0" applyNumberFormat="1" applyFont="1" applyFill="1" applyBorder="1" applyAlignment="1" applyProtection="1">
      <alignment horizontal="center" vertical="center"/>
    </xf>
    <xf numFmtId="43" fontId="83" fillId="27" borderId="26" xfId="0" applyNumberFormat="1" applyFont="1" applyFill="1" applyBorder="1" applyAlignment="1" applyProtection="1">
      <alignment horizontal="center" vertical="center"/>
    </xf>
    <xf numFmtId="182" fontId="0" fillId="0" borderId="0" xfId="0" applyNumberFormat="1"/>
    <xf numFmtId="171" fontId="6" fillId="0" borderId="0" xfId="551" applyNumberFormat="1" applyFont="1" applyFill="1" applyBorder="1" applyAlignment="1">
      <alignment horizontal="right"/>
    </xf>
    <xf numFmtId="3" fontId="69" fillId="27" borderId="20" xfId="328" applyNumberFormat="1" applyFont="1" applyFill="1" applyBorder="1" applyAlignment="1">
      <alignment horizontal="center" vertical="center"/>
    </xf>
    <xf numFmtId="174" fontId="89" fillId="0" borderId="0" xfId="0" applyFont="1" applyFill="1" applyBorder="1" applyAlignment="1">
      <alignment horizontal="center" vertical="center" wrapText="1"/>
    </xf>
    <xf numFmtId="0" fontId="66" fillId="0" borderId="19" xfId="744" applyFont="1" applyFill="1" applyBorder="1" applyAlignment="1">
      <alignment horizontal="center"/>
    </xf>
    <xf numFmtId="174" fontId="82" fillId="0" borderId="20" xfId="0" applyFont="1" applyFill="1" applyBorder="1" applyAlignment="1">
      <alignment horizontal="center" vertical="center" wrapText="1"/>
    </xf>
    <xf numFmtId="174" fontId="82" fillId="0" borderId="0" xfId="0" applyFont="1" applyFill="1" applyBorder="1" applyAlignment="1">
      <alignment horizontal="center" vertical="center" wrapText="1"/>
    </xf>
    <xf numFmtId="174" fontId="0" fillId="0" borderId="0" xfId="0" applyNumberFormat="1" applyBorder="1" applyAlignment="1">
      <alignment vertical="center"/>
    </xf>
    <xf numFmtId="43" fontId="69" fillId="27" borderId="15" xfId="0" applyNumberFormat="1" applyFont="1" applyFill="1" applyBorder="1" applyAlignment="1">
      <alignment horizontal="center" vertical="center"/>
    </xf>
    <xf numFmtId="171" fontId="66" fillId="27" borderId="13" xfId="551" applyNumberFormat="1" applyFont="1" applyFill="1" applyBorder="1" applyAlignment="1">
      <alignment horizontal="center" vertical="center"/>
    </xf>
    <xf numFmtId="10" fontId="83" fillId="0" borderId="0" xfId="633" applyNumberFormat="1" applyFont="1" applyFill="1" applyBorder="1" applyAlignment="1">
      <alignment horizontal="center"/>
    </xf>
    <xf numFmtId="10" fontId="82" fillId="0" borderId="26" xfId="551" applyNumberFormat="1" applyFont="1" applyFill="1" applyBorder="1" applyAlignment="1">
      <alignment horizontal="center"/>
    </xf>
    <xf numFmtId="10" fontId="83" fillId="0" borderId="11" xfId="633" applyNumberFormat="1" applyFont="1" applyFill="1" applyBorder="1" applyAlignment="1">
      <alignment horizontal="center"/>
    </xf>
    <xf numFmtId="10" fontId="82" fillId="0" borderId="22" xfId="551" applyNumberFormat="1" applyFont="1" applyFill="1" applyBorder="1" applyAlignment="1">
      <alignment horizontal="center"/>
    </xf>
    <xf numFmtId="167" fontId="83" fillId="27" borderId="12" xfId="323" applyNumberFormat="1" applyFont="1" applyFill="1" applyBorder="1" applyAlignment="1"/>
    <xf numFmtId="167" fontId="82" fillId="27" borderId="17" xfId="323" applyNumberFormat="1" applyFont="1" applyFill="1" applyBorder="1" applyAlignment="1"/>
    <xf numFmtId="174" fontId="48" fillId="27" borderId="0" xfId="0" applyFont="1" applyFill="1" applyBorder="1"/>
    <xf numFmtId="198" fontId="48" fillId="27" borderId="0" xfId="0" applyNumberFormat="1" applyFont="1" applyFill="1" applyBorder="1"/>
    <xf numFmtId="198" fontId="144" fillId="27" borderId="0" xfId="0" applyNumberFormat="1" applyFont="1" applyFill="1" applyBorder="1" applyAlignment="1">
      <alignment horizontal="center" vertical="center" wrapText="1"/>
    </xf>
    <xf numFmtId="3" fontId="145" fillId="0" borderId="0" xfId="0" applyNumberFormat="1" applyFont="1" applyFill="1" applyBorder="1" applyAlignment="1">
      <alignment horizontal="center"/>
    </xf>
    <xf numFmtId="171" fontId="0" fillId="0" borderId="0" xfId="551" applyNumberFormat="1" applyFont="1" applyAlignment="1">
      <alignment horizontal="center" vertical="center"/>
    </xf>
    <xf numFmtId="174" fontId="51" fillId="0" borderId="0" xfId="0" applyFont="1" applyAlignment="1">
      <alignment horizontal="center" vertical="center"/>
    </xf>
    <xf numFmtId="10" fontId="69" fillId="27" borderId="0" xfId="0" applyNumberFormat="1" applyFont="1" applyFill="1" applyBorder="1"/>
    <xf numFmtId="43" fontId="68" fillId="27" borderId="26" xfId="323" applyFont="1" applyFill="1" applyBorder="1"/>
    <xf numFmtId="174" fontId="82" fillId="27" borderId="15" xfId="0" applyFont="1" applyFill="1" applyBorder="1" applyAlignment="1">
      <alignment horizontal="left" vertical="center" wrapText="1"/>
    </xf>
    <xf numFmtId="43" fontId="82" fillId="27" borderId="16" xfId="607" applyFont="1" applyFill="1" applyBorder="1" applyAlignment="1">
      <alignment horizontal="right"/>
    </xf>
    <xf numFmtId="43" fontId="82" fillId="27" borderId="15" xfId="607" applyFont="1" applyFill="1" applyBorder="1" applyAlignment="1">
      <alignment horizontal="right"/>
    </xf>
    <xf numFmtId="43" fontId="110" fillId="27" borderId="16" xfId="607" applyFont="1" applyFill="1" applyBorder="1" applyAlignment="1">
      <alignment horizontal="right"/>
    </xf>
    <xf numFmtId="43" fontId="106" fillId="27" borderId="0" xfId="607" applyFont="1" applyFill="1" applyBorder="1" applyAlignment="1">
      <alignment horizontal="right"/>
    </xf>
    <xf numFmtId="43" fontId="106" fillId="27" borderId="26" xfId="607" applyFont="1" applyFill="1" applyBorder="1" applyAlignment="1">
      <alignment horizontal="right"/>
    </xf>
    <xf numFmtId="174" fontId="54" fillId="0" borderId="0" xfId="0" applyFont="1" applyFill="1" applyBorder="1" applyAlignment="1">
      <alignment horizontal="center" vertical="center" wrapText="1"/>
    </xf>
    <xf numFmtId="17" fontId="69" fillId="27" borderId="14" xfId="0" applyNumberFormat="1" applyFont="1" applyFill="1" applyBorder="1" applyAlignment="1">
      <alignment horizontal="center" vertical="center"/>
    </xf>
    <xf numFmtId="3" fontId="64" fillId="0" borderId="21" xfId="336" applyNumberFormat="1" applyFont="1" applyFill="1" applyBorder="1" applyAlignment="1">
      <alignment horizontal="center"/>
    </xf>
    <xf numFmtId="3" fontId="64" fillId="0" borderId="12" xfId="336" applyNumberFormat="1" applyFont="1" applyFill="1" applyBorder="1" applyAlignment="1">
      <alignment horizontal="center"/>
    </xf>
    <xf numFmtId="3" fontId="64" fillId="0" borderId="27" xfId="336" applyNumberFormat="1" applyFont="1" applyFill="1" applyBorder="1" applyAlignment="1">
      <alignment horizontal="center"/>
    </xf>
    <xf numFmtId="3" fontId="85" fillId="0" borderId="17" xfId="336" applyNumberFormat="1" applyFont="1" applyFill="1" applyBorder="1" applyAlignment="1">
      <alignment horizontal="center"/>
    </xf>
    <xf numFmtId="171" fontId="85" fillId="0" borderId="12" xfId="336" applyNumberFormat="1" applyFont="1" applyFill="1" applyBorder="1" applyAlignment="1">
      <alignment horizontal="center"/>
    </xf>
    <xf numFmtId="171" fontId="73" fillId="0" borderId="27" xfId="0" applyNumberFormat="1" applyFont="1" applyFill="1" applyBorder="1" applyAlignment="1">
      <alignment horizontal="center"/>
    </xf>
    <xf numFmtId="3" fontId="64" fillId="0" borderId="20" xfId="336" applyNumberFormat="1" applyFont="1" applyFill="1" applyBorder="1" applyAlignment="1">
      <alignment horizontal="center"/>
    </xf>
    <xf numFmtId="3" fontId="85" fillId="0" borderId="19" xfId="336" applyNumberFormat="1" applyFont="1" applyFill="1" applyBorder="1" applyAlignment="1">
      <alignment horizontal="center"/>
    </xf>
    <xf numFmtId="171" fontId="85" fillId="0" borderId="0" xfId="336" applyNumberFormat="1" applyFont="1" applyFill="1" applyBorder="1" applyAlignment="1">
      <alignment horizontal="center"/>
    </xf>
    <xf numFmtId="171" fontId="73" fillId="0" borderId="26" xfId="0" applyNumberFormat="1" applyFont="1" applyFill="1" applyBorder="1" applyAlignment="1">
      <alignment horizontal="center"/>
    </xf>
    <xf numFmtId="174" fontId="120" fillId="0" borderId="0" xfId="0" applyFont="1" applyAlignment="1">
      <alignment vertical="center"/>
    </xf>
    <xf numFmtId="180" fontId="47" fillId="0" borderId="0" xfId="388" applyNumberFormat="1" applyFont="1" applyBorder="1"/>
    <xf numFmtId="3" fontId="53" fillId="27" borderId="20" xfId="328" applyNumberFormat="1" applyFont="1" applyFill="1" applyBorder="1" applyAlignment="1">
      <alignment horizontal="center" vertical="center"/>
    </xf>
    <xf numFmtId="3" fontId="69" fillId="27" borderId="0" xfId="328" applyNumberFormat="1" applyFont="1" applyFill="1" applyBorder="1" applyAlignment="1">
      <alignment horizontal="center" vertical="center"/>
    </xf>
    <xf numFmtId="2" fontId="69" fillId="27" borderId="26" xfId="328" applyNumberFormat="1" applyFont="1" applyFill="1" applyBorder="1" applyAlignment="1">
      <alignment horizontal="center" vertical="center"/>
    </xf>
    <xf numFmtId="49" fontId="82" fillId="27" borderId="20" xfId="394" applyNumberFormat="1" applyFont="1" applyFill="1" applyBorder="1" applyAlignment="1">
      <alignment horizontal="left"/>
    </xf>
    <xf numFmtId="174" fontId="67" fillId="0" borderId="0" xfId="0" applyFont="1" applyAlignment="1">
      <alignment horizontal="center"/>
    </xf>
    <xf numFmtId="10" fontId="67" fillId="0" borderId="0" xfId="0" applyNumberFormat="1" applyFont="1" applyAlignment="1">
      <alignment horizontal="center"/>
    </xf>
    <xf numFmtId="49" fontId="82" fillId="27" borderId="18" xfId="394" applyNumberFormat="1" applyFont="1" applyFill="1" applyBorder="1" applyAlignment="1">
      <alignment horizontal="left"/>
    </xf>
    <xf numFmtId="43" fontId="69" fillId="27" borderId="16" xfId="394" applyNumberFormat="1" applyFont="1" applyFill="1" applyBorder="1" applyAlignment="1">
      <alignment horizontal="center" vertical="center" wrapText="1"/>
    </xf>
    <xf numFmtId="167" fontId="53" fillId="27" borderId="0" xfId="394" applyNumberFormat="1" applyFont="1" applyFill="1" applyBorder="1" applyAlignment="1">
      <alignment horizontal="center"/>
    </xf>
    <xf numFmtId="167" fontId="69" fillId="27" borderId="0" xfId="323" applyNumberFormat="1" applyFont="1" applyFill="1" applyBorder="1" applyAlignment="1">
      <alignment horizontal="center"/>
    </xf>
    <xf numFmtId="2" fontId="69" fillId="27" borderId="26" xfId="394" applyNumberFormat="1" applyFont="1" applyFill="1" applyBorder="1" applyAlignment="1">
      <alignment horizontal="center"/>
    </xf>
    <xf numFmtId="2" fontId="69" fillId="27" borderId="22" xfId="394" applyNumberFormat="1" applyFont="1" applyFill="1" applyBorder="1" applyAlignment="1">
      <alignment horizontal="center"/>
    </xf>
    <xf numFmtId="2" fontId="69" fillId="27" borderId="26" xfId="394" applyNumberFormat="1" applyFont="1" applyFill="1" applyBorder="1" applyAlignment="1">
      <alignment horizontal="right"/>
    </xf>
    <xf numFmtId="2" fontId="69" fillId="27" borderId="22" xfId="394" applyNumberFormat="1" applyFont="1" applyFill="1" applyBorder="1" applyAlignment="1">
      <alignment horizontal="right"/>
    </xf>
    <xf numFmtId="41" fontId="83" fillId="27" borderId="19" xfId="347" applyNumberFormat="1" applyFont="1" applyFill="1" applyBorder="1" applyAlignment="1">
      <alignment horizontal="right"/>
    </xf>
    <xf numFmtId="41" fontId="83" fillId="27" borderId="14" xfId="347" applyNumberFormat="1" applyFont="1" applyFill="1" applyBorder="1" applyAlignment="1">
      <alignment horizontal="right"/>
    </xf>
    <xf numFmtId="17" fontId="92" fillId="0" borderId="0" xfId="0" applyNumberFormat="1" applyFont="1" applyFill="1" applyBorder="1" applyAlignment="1">
      <alignment horizontal="center"/>
    </xf>
    <xf numFmtId="40" fontId="47" fillId="0" borderId="0" xfId="744" applyNumberFormat="1" applyAlignment="1">
      <alignment vertical="center"/>
    </xf>
    <xf numFmtId="174" fontId="61" fillId="0" borderId="0" xfId="442" applyFont="1"/>
    <xf numFmtId="10" fontId="82" fillId="27" borderId="19" xfId="391" applyNumberFormat="1" applyFont="1" applyFill="1" applyBorder="1" applyAlignment="1">
      <alignment horizontal="center" vertical="center"/>
    </xf>
    <xf numFmtId="174" fontId="82" fillId="27" borderId="23" xfId="388" applyFont="1" applyFill="1" applyBorder="1" applyAlignment="1">
      <alignment horizontal="center" vertical="center" wrapText="1"/>
    </xf>
    <xf numFmtId="174" fontId="82" fillId="27" borderId="13" xfId="388" applyFont="1" applyFill="1" applyBorder="1" applyAlignment="1">
      <alignment horizontal="center" vertical="center" wrapText="1"/>
    </xf>
    <xf numFmtId="172" fontId="0" fillId="0" borderId="0" xfId="0" applyNumberFormat="1" applyFill="1" applyBorder="1" applyAlignment="1">
      <alignment horizontal="right"/>
    </xf>
    <xf numFmtId="10" fontId="0" fillId="0" borderId="0" xfId="551" applyNumberFormat="1" applyFont="1" applyFill="1" applyBorder="1" applyAlignment="1">
      <alignment horizontal="right"/>
    </xf>
    <xf numFmtId="174" fontId="0" fillId="0" borderId="0" xfId="0" applyFill="1" applyBorder="1" applyAlignment="1">
      <alignment horizontal="right"/>
    </xf>
    <xf numFmtId="43" fontId="0" fillId="0" borderId="0" xfId="0" applyNumberFormat="1" applyAlignment="1">
      <alignment horizontal="right"/>
    </xf>
    <xf numFmtId="172" fontId="63" fillId="0" borderId="0" xfId="0" applyNumberFormat="1" applyFont="1" applyFill="1" applyBorder="1" applyAlignment="1">
      <alignment horizontal="right" indent="1"/>
    </xf>
    <xf numFmtId="10" fontId="63" fillId="0" borderId="0" xfId="551" applyNumberFormat="1" applyFont="1" applyFill="1" applyBorder="1" applyAlignment="1">
      <alignment horizontal="right" indent="1"/>
    </xf>
    <xf numFmtId="10" fontId="63" fillId="0" borderId="0" xfId="551" applyNumberFormat="1" applyFont="1" applyAlignment="1">
      <alignment horizontal="right"/>
    </xf>
    <xf numFmtId="174" fontId="86" fillId="27" borderId="0" xfId="0" applyFont="1" applyFill="1" applyBorder="1" applyAlignment="1">
      <alignment horizontal="center" vertical="center" wrapText="1"/>
    </xf>
    <xf numFmtId="174" fontId="88" fillId="0" borderId="0" xfId="0" applyFont="1" applyAlignment="1">
      <alignment horizontal="justify" vertical="justify" wrapText="1"/>
    </xf>
    <xf numFmtId="167" fontId="64" fillId="27" borderId="0" xfId="0" applyNumberFormat="1" applyFont="1" applyFill="1" applyBorder="1" applyAlignment="1" applyProtection="1">
      <alignment horizontal="center" vertical="center"/>
    </xf>
    <xf numFmtId="10" fontId="61" fillId="0" borderId="0" xfId="0" applyNumberFormat="1" applyFont="1"/>
    <xf numFmtId="2" fontId="61" fillId="0" borderId="0" xfId="0" applyNumberFormat="1" applyFont="1"/>
    <xf numFmtId="10" fontId="61" fillId="0" borderId="0" xfId="551" applyNumberFormat="1" applyFont="1"/>
    <xf numFmtId="180" fontId="61" fillId="0" borderId="0" xfId="0" applyNumberFormat="1" applyFont="1"/>
    <xf numFmtId="174" fontId="61" fillId="0" borderId="0" xfId="0" applyNumberFormat="1" applyFont="1"/>
    <xf numFmtId="180" fontId="74" fillId="31" borderId="0" xfId="0" applyNumberFormat="1" applyFont="1" applyFill="1"/>
    <xf numFmtId="174" fontId="74" fillId="31" borderId="0" xfId="0" applyFont="1" applyFill="1"/>
    <xf numFmtId="188" fontId="74" fillId="0" borderId="0" xfId="0" applyNumberFormat="1" applyFont="1"/>
    <xf numFmtId="10" fontId="73" fillId="0" borderId="0" xfId="551" applyNumberFormat="1" applyFont="1"/>
    <xf numFmtId="2" fontId="73" fillId="0" borderId="0" xfId="551" applyNumberFormat="1" applyFont="1"/>
    <xf numFmtId="2" fontId="146" fillId="31" borderId="0" xfId="0" applyNumberFormat="1" applyFont="1" applyFill="1"/>
    <xf numFmtId="17" fontId="82" fillId="0" borderId="19" xfId="336" applyNumberFormat="1" applyFont="1" applyFill="1" applyBorder="1" applyAlignment="1">
      <alignment horizontal="left" vertical="center"/>
    </xf>
    <xf numFmtId="17" fontId="82" fillId="0" borderId="17" xfId="336" applyNumberFormat="1" applyFont="1" applyFill="1" applyBorder="1" applyAlignment="1">
      <alignment horizontal="left" vertical="center"/>
    </xf>
    <xf numFmtId="17" fontId="82" fillId="0" borderId="13" xfId="336" applyNumberFormat="1" applyFont="1" applyFill="1" applyBorder="1" applyAlignment="1">
      <alignment horizontal="center" vertical="center"/>
    </xf>
    <xf numFmtId="3" fontId="83" fillId="0" borderId="12" xfId="328" applyNumberFormat="1" applyFont="1" applyFill="1" applyBorder="1" applyAlignment="1">
      <alignment horizontal="center" vertical="center"/>
    </xf>
    <xf numFmtId="3" fontId="83" fillId="0" borderId="0" xfId="328" applyNumberFormat="1" applyFont="1" applyFill="1" applyBorder="1" applyAlignment="1">
      <alignment horizontal="center" vertical="center"/>
    </xf>
    <xf numFmtId="0" fontId="83" fillId="0" borderId="0" xfId="328" applyNumberFormat="1" applyFont="1" applyFill="1" applyBorder="1" applyAlignment="1">
      <alignment horizontal="center" vertical="center"/>
    </xf>
    <xf numFmtId="3" fontId="82" fillId="27" borderId="21" xfId="328" applyNumberFormat="1" applyFont="1" applyFill="1" applyBorder="1" applyAlignment="1">
      <alignment horizontal="center" vertical="center"/>
    </xf>
    <xf numFmtId="3" fontId="82" fillId="27" borderId="20" xfId="328" applyNumberFormat="1" applyFont="1" applyFill="1" applyBorder="1" applyAlignment="1">
      <alignment horizontal="center" vertical="center"/>
    </xf>
    <xf numFmtId="38" fontId="67" fillId="27" borderId="18" xfId="0" applyNumberFormat="1" applyFont="1" applyFill="1" applyBorder="1"/>
    <xf numFmtId="38" fontId="67" fillId="27" borderId="11" xfId="0" applyNumberFormat="1" applyFont="1" applyFill="1" applyBorder="1"/>
    <xf numFmtId="3" fontId="83" fillId="27" borderId="11" xfId="0" applyNumberFormat="1" applyFont="1" applyFill="1" applyBorder="1" applyAlignment="1" applyProtection="1">
      <alignment horizontal="center"/>
    </xf>
    <xf numFmtId="174" fontId="88" fillId="0" borderId="0" xfId="0" applyFont="1" applyAlignment="1">
      <alignment horizontal="justify" vertical="justify" wrapText="1"/>
    </xf>
    <xf numFmtId="174" fontId="71" fillId="0" borderId="0" xfId="0" applyFont="1" applyFill="1" applyBorder="1" applyAlignment="1">
      <alignment horizontal="center" vertical="center" wrapText="1"/>
    </xf>
    <xf numFmtId="174" fontId="87" fillId="27" borderId="0" xfId="0" applyFont="1" applyFill="1" applyBorder="1" applyAlignment="1">
      <alignment horizontal="center" vertical="center" wrapText="1"/>
    </xf>
    <xf numFmtId="174" fontId="0" fillId="0" borderId="0" xfId="0" applyFill="1" applyBorder="1" applyAlignment="1">
      <alignment horizontal="left" wrapText="1"/>
    </xf>
    <xf numFmtId="174" fontId="70" fillId="27" borderId="0" xfId="0" applyFont="1" applyFill="1" applyBorder="1" applyAlignment="1">
      <alignment horizontal="center"/>
    </xf>
    <xf numFmtId="43" fontId="61" fillId="27" borderId="0" xfId="0" applyNumberFormat="1" applyFont="1" applyFill="1" applyBorder="1" applyAlignment="1">
      <alignment horizontal="center"/>
    </xf>
    <xf numFmtId="174" fontId="61" fillId="0" borderId="0" xfId="0" applyFont="1" applyAlignment="1">
      <alignment horizontal="center"/>
    </xf>
    <xf numFmtId="174" fontId="82" fillId="27" borderId="19" xfId="0" applyFont="1" applyFill="1" applyBorder="1" applyAlignment="1">
      <alignment horizontal="left" wrapText="1"/>
    </xf>
    <xf numFmtId="167" fontId="61" fillId="27" borderId="18" xfId="323" applyNumberFormat="1" applyFont="1" applyFill="1" applyBorder="1" applyAlignment="1">
      <alignment horizontal="center" vertical="center"/>
    </xf>
    <xf numFmtId="167" fontId="61" fillId="27" borderId="11" xfId="323" applyNumberFormat="1" applyFont="1" applyFill="1" applyBorder="1" applyAlignment="1">
      <alignment horizontal="center" vertical="center"/>
    </xf>
    <xf numFmtId="41" fontId="55" fillId="27" borderId="0" xfId="793" applyNumberFormat="1" applyFont="1" applyFill="1" applyBorder="1" applyAlignment="1">
      <alignment horizontal="center"/>
    </xf>
    <xf numFmtId="41" fontId="66" fillId="27" borderId="19" xfId="793" applyNumberFormat="1" applyFont="1" applyFill="1" applyBorder="1" applyAlignment="1">
      <alignment horizontal="center"/>
    </xf>
    <xf numFmtId="41" fontId="66" fillId="27" borderId="15" xfId="793" applyNumberFormat="1" applyFont="1" applyFill="1" applyBorder="1" applyAlignment="1">
      <alignment horizontal="center"/>
    </xf>
    <xf numFmtId="41" fontId="66" fillId="27" borderId="23" xfId="793" applyNumberFormat="1" applyFont="1" applyFill="1" applyBorder="1" applyAlignment="1">
      <alignment horizontal="center"/>
    </xf>
    <xf numFmtId="41" fontId="66" fillId="27" borderId="13" xfId="793" applyNumberFormat="1" applyFont="1" applyFill="1" applyBorder="1" applyAlignment="1">
      <alignment horizontal="center"/>
    </xf>
    <xf numFmtId="174" fontId="56" fillId="0" borderId="0" xfId="0" applyNumberFormat="1" applyFont="1" applyBorder="1" applyAlignment="1">
      <alignment horizontal="left" vertical="top"/>
    </xf>
    <xf numFmtId="174" fontId="114" fillId="0" borderId="0" xfId="0" applyNumberFormat="1" applyFont="1" applyBorder="1" applyAlignment="1">
      <alignment horizontal="left" vertical="top"/>
    </xf>
    <xf numFmtId="174" fontId="114" fillId="0" borderId="0" xfId="0" applyNumberFormat="1" applyFont="1" applyBorder="1" applyAlignment="1">
      <alignment horizontal="left"/>
    </xf>
    <xf numFmtId="174" fontId="114" fillId="0" borderId="0" xfId="0" applyFont="1"/>
    <xf numFmtId="10" fontId="114" fillId="0" borderId="0" xfId="0" applyNumberFormat="1" applyFont="1" applyFill="1" applyBorder="1" applyAlignment="1" applyProtection="1"/>
    <xf numFmtId="3" fontId="114" fillId="0" borderId="0" xfId="0" applyNumberFormat="1" applyFont="1" applyFill="1" applyBorder="1" applyAlignment="1" applyProtection="1"/>
    <xf numFmtId="180" fontId="147" fillId="0" borderId="0" xfId="0" applyNumberFormat="1" applyFont="1"/>
    <xf numFmtId="174" fontId="147" fillId="0" borderId="0" xfId="0" applyFont="1"/>
    <xf numFmtId="3" fontId="83" fillId="27" borderId="20" xfId="328" applyNumberFormat="1" applyFont="1" applyFill="1" applyBorder="1" applyAlignment="1">
      <alignment horizontal="center" vertical="center"/>
    </xf>
    <xf numFmtId="3" fontId="82" fillId="27" borderId="0" xfId="328" applyNumberFormat="1" applyFont="1" applyFill="1" applyBorder="1" applyAlignment="1">
      <alignment horizontal="center" vertical="center"/>
    </xf>
    <xf numFmtId="3" fontId="83" fillId="27" borderId="0" xfId="328" applyNumberFormat="1" applyFont="1" applyFill="1" applyBorder="1" applyAlignment="1">
      <alignment horizontal="center" vertical="center"/>
    </xf>
    <xf numFmtId="2" fontId="82" fillId="27" borderId="26" xfId="328" applyNumberFormat="1" applyFont="1" applyFill="1" applyBorder="1" applyAlignment="1">
      <alignment horizontal="center" vertical="center"/>
    </xf>
    <xf numFmtId="3" fontId="83" fillId="27" borderId="18" xfId="328" applyNumberFormat="1" applyFont="1" applyFill="1" applyBorder="1" applyAlignment="1">
      <alignment horizontal="center" vertical="center"/>
    </xf>
    <xf numFmtId="3" fontId="82" fillId="27" borderId="11" xfId="328" applyNumberFormat="1" applyFont="1" applyFill="1" applyBorder="1" applyAlignment="1">
      <alignment horizontal="center" vertical="center"/>
    </xf>
    <xf numFmtId="3" fontId="83" fillId="27" borderId="11" xfId="328" applyNumberFormat="1" applyFont="1" applyFill="1" applyBorder="1" applyAlignment="1">
      <alignment horizontal="center" vertical="center"/>
    </xf>
    <xf numFmtId="2" fontId="82" fillId="27" borderId="22" xfId="328" applyNumberFormat="1" applyFont="1" applyFill="1" applyBorder="1" applyAlignment="1">
      <alignment horizontal="center" vertical="center"/>
    </xf>
    <xf numFmtId="174" fontId="148" fillId="0" borderId="0" xfId="0" applyFont="1"/>
    <xf numFmtId="171" fontId="124" fillId="0" borderId="22" xfId="551" applyNumberFormat="1" applyFont="1" applyFill="1" applyBorder="1" applyAlignment="1">
      <alignment horizontal="center"/>
    </xf>
    <xf numFmtId="174" fontId="55" fillId="0" borderId="0" xfId="388" applyFont="1"/>
    <xf numFmtId="174" fontId="83" fillId="0" borderId="0" xfId="0" applyFont="1" applyBorder="1" applyAlignment="1">
      <alignment vertical="top"/>
    </xf>
    <xf numFmtId="174" fontId="83" fillId="0" borderId="0" xfId="0" applyFont="1" applyBorder="1" applyAlignment="1">
      <alignment vertical="top" wrapText="1"/>
    </xf>
    <xf numFmtId="10" fontId="83" fillId="0" borderId="0" xfId="0" applyNumberFormat="1" applyFont="1" applyBorder="1" applyAlignment="1">
      <alignment vertical="top" wrapText="1"/>
    </xf>
    <xf numFmtId="174" fontId="81" fillId="0" borderId="0" xfId="0" applyFont="1" applyBorder="1" applyAlignment="1">
      <alignment vertical="top"/>
    </xf>
    <xf numFmtId="43" fontId="82" fillId="27" borderId="21" xfId="394" applyNumberFormat="1" applyFont="1" applyFill="1" applyBorder="1" applyAlignment="1">
      <alignment horizontal="center" vertical="center" wrapText="1"/>
    </xf>
    <xf numFmtId="43" fontId="82" fillId="27" borderId="12" xfId="394" applyNumberFormat="1" applyFont="1" applyFill="1" applyBorder="1" applyAlignment="1">
      <alignment horizontal="center" vertical="center" wrapText="1"/>
    </xf>
    <xf numFmtId="171" fontId="149" fillId="0" borderId="0" xfId="551" applyNumberFormat="1" applyFont="1" applyFill="1" applyBorder="1"/>
    <xf numFmtId="2" fontId="149" fillId="0" borderId="0" xfId="551" applyNumberFormat="1" applyFont="1" applyFill="1" applyBorder="1"/>
    <xf numFmtId="2" fontId="151" fillId="27" borderId="0" xfId="0" applyNumberFormat="1" applyFont="1" applyFill="1" applyAlignment="1">
      <alignment vertical="center"/>
    </xf>
    <xf numFmtId="2" fontId="152" fillId="27" borderId="0" xfId="0" applyNumberFormat="1" applyFont="1" applyFill="1" applyAlignment="1">
      <alignment vertical="center"/>
    </xf>
    <xf numFmtId="174" fontId="153" fillId="27" borderId="0" xfId="0" applyFont="1" applyFill="1" applyAlignment="1">
      <alignment vertical="center"/>
    </xf>
    <xf numFmtId="2" fontId="153" fillId="27" borderId="0" xfId="0" applyNumberFormat="1" applyFont="1" applyFill="1" applyAlignment="1">
      <alignment vertical="center"/>
    </xf>
    <xf numFmtId="171" fontId="152" fillId="27" borderId="0" xfId="551" applyNumberFormat="1" applyFont="1" applyFill="1" applyAlignment="1">
      <alignment vertical="center"/>
    </xf>
    <xf numFmtId="2" fontId="152" fillId="27" borderId="0" xfId="551" applyNumberFormat="1" applyFont="1" applyFill="1" applyAlignment="1">
      <alignment vertical="center"/>
    </xf>
    <xf numFmtId="2" fontId="154" fillId="27" borderId="0" xfId="0" applyNumberFormat="1" applyFont="1" applyFill="1" applyAlignment="1">
      <alignment vertical="center"/>
    </xf>
    <xf numFmtId="2" fontId="155" fillId="27" borderId="0" xfId="0" applyNumberFormat="1" applyFont="1" applyFill="1" applyAlignment="1">
      <alignment vertical="center"/>
    </xf>
    <xf numFmtId="171" fontId="82" fillId="0" borderId="27" xfId="551" applyNumberFormat="1" applyFont="1" applyFill="1" applyBorder="1" applyAlignment="1">
      <alignment horizontal="center"/>
    </xf>
    <xf numFmtId="174" fontId="53" fillId="0" borderId="0" xfId="0" applyFont="1"/>
    <xf numFmtId="176" fontId="55" fillId="0" borderId="0" xfId="551" applyNumberFormat="1" applyFont="1" applyBorder="1" applyAlignment="1">
      <alignment horizontal="left"/>
    </xf>
    <xf numFmtId="17" fontId="82" fillId="27" borderId="14" xfId="394" applyNumberFormat="1" applyFont="1" applyFill="1" applyBorder="1" applyAlignment="1">
      <alignment horizontal="center"/>
    </xf>
    <xf numFmtId="174" fontId="85" fillId="0" borderId="13" xfId="336" applyNumberFormat="1" applyFont="1" applyFill="1" applyBorder="1" applyAlignment="1">
      <alignment horizontal="center" vertical="center" wrapText="1"/>
    </xf>
    <xf numFmtId="167" fontId="85" fillId="0" borderId="23" xfId="336" applyNumberFormat="1" applyFont="1" applyFill="1" applyBorder="1" applyAlignment="1">
      <alignment horizontal="center" vertical="center" wrapText="1"/>
    </xf>
    <xf numFmtId="167" fontId="85" fillId="0" borderId="16" xfId="336" applyNumberFormat="1" applyFont="1" applyFill="1" applyBorder="1" applyAlignment="1">
      <alignment horizontal="center" vertical="center" wrapText="1"/>
    </xf>
    <xf numFmtId="171" fontId="64" fillId="0" borderId="0" xfId="551" applyNumberFormat="1" applyFont="1" applyFill="1" applyBorder="1" applyAlignment="1"/>
    <xf numFmtId="38" fontId="74" fillId="27" borderId="18" xfId="0" applyNumberFormat="1" applyFont="1" applyFill="1" applyBorder="1" applyAlignment="1">
      <alignment horizontal="center" vertical="center"/>
    </xf>
    <xf numFmtId="38" fontId="73" fillId="27" borderId="22" xfId="0" applyNumberFormat="1" applyFont="1" applyFill="1" applyBorder="1" applyAlignment="1">
      <alignment horizontal="center" vertical="center"/>
    </xf>
    <xf numFmtId="3" fontId="69" fillId="27" borderId="14" xfId="0" applyNumberFormat="1" applyFont="1" applyFill="1" applyBorder="1" applyAlignment="1" applyProtection="1">
      <alignment horizontal="center"/>
    </xf>
    <xf numFmtId="1" fontId="157" fillId="27" borderId="0" xfId="0" applyNumberFormat="1" applyFont="1" applyFill="1"/>
    <xf numFmtId="3" fontId="64" fillId="0" borderId="0" xfId="336" applyNumberFormat="1" applyFont="1" applyFill="1" applyBorder="1" applyAlignment="1">
      <alignment horizontal="center" vertical="center"/>
    </xf>
    <xf numFmtId="3" fontId="64" fillId="0" borderId="26" xfId="336" applyNumberFormat="1" applyFont="1" applyFill="1" applyBorder="1" applyAlignment="1">
      <alignment horizontal="center" vertical="center"/>
    </xf>
    <xf numFmtId="3" fontId="73" fillId="0" borderId="19" xfId="0" applyNumberFormat="1" applyFont="1" applyFill="1" applyBorder="1" applyAlignment="1">
      <alignment horizontal="center" vertical="center"/>
    </xf>
    <xf numFmtId="3" fontId="64" fillId="0" borderId="0" xfId="336" applyNumberFormat="1" applyFont="1" applyFill="1" applyBorder="1" applyAlignment="1">
      <alignment vertical="center"/>
    </xf>
    <xf numFmtId="43" fontId="64" fillId="0" borderId="0" xfId="336" applyNumberFormat="1" applyFont="1" applyFill="1" applyBorder="1" applyAlignment="1">
      <alignment horizontal="right" vertical="center"/>
    </xf>
    <xf numFmtId="174" fontId="55" fillId="0" borderId="0" xfId="0" applyNumberFormat="1" applyFont="1" applyFill="1" applyBorder="1" applyAlignment="1" applyProtection="1">
      <alignment vertical="center"/>
    </xf>
    <xf numFmtId="3" fontId="73" fillId="0" borderId="0" xfId="0" applyNumberFormat="1" applyFont="1" applyFill="1" applyBorder="1" applyAlignment="1">
      <alignment vertical="center"/>
    </xf>
    <xf numFmtId="3" fontId="64" fillId="27" borderId="11" xfId="336" applyNumberFormat="1" applyFont="1" applyFill="1" applyBorder="1" applyAlignment="1">
      <alignment horizontal="center" vertical="center"/>
    </xf>
    <xf numFmtId="3" fontId="64" fillId="27" borderId="22" xfId="336" applyNumberFormat="1" applyFont="1" applyFill="1" applyBorder="1" applyAlignment="1">
      <alignment horizontal="center" vertical="center"/>
    </xf>
    <xf numFmtId="3" fontId="85" fillId="0" borderId="14" xfId="328" applyNumberFormat="1" applyFont="1" applyFill="1" applyBorder="1" applyAlignment="1">
      <alignment horizontal="center" vertical="center"/>
    </xf>
    <xf numFmtId="3" fontId="64" fillId="27" borderId="18" xfId="336" applyNumberFormat="1" applyFont="1" applyFill="1" applyBorder="1" applyAlignment="1">
      <alignment horizontal="center"/>
    </xf>
    <xf numFmtId="3" fontId="85" fillId="27" borderId="14" xfId="336" applyNumberFormat="1" applyFont="1" applyFill="1" applyBorder="1" applyAlignment="1">
      <alignment horizontal="center"/>
    </xf>
    <xf numFmtId="171" fontId="85" fillId="27" borderId="11" xfId="336" applyNumberFormat="1" applyFont="1" applyFill="1" applyBorder="1" applyAlignment="1">
      <alignment horizontal="center"/>
    </xf>
    <xf numFmtId="171" fontId="73" fillId="27" borderId="22" xfId="0" applyNumberFormat="1" applyFont="1" applyFill="1" applyBorder="1" applyAlignment="1">
      <alignment horizontal="center"/>
    </xf>
    <xf numFmtId="3" fontId="83" fillId="27" borderId="11" xfId="328" applyNumberFormat="1" applyFont="1" applyFill="1" applyBorder="1" applyAlignment="1">
      <alignment horizontal="center"/>
    </xf>
    <xf numFmtId="3" fontId="82" fillId="27" borderId="11" xfId="328" applyNumberFormat="1" applyFont="1" applyFill="1" applyBorder="1" applyAlignment="1">
      <alignment horizontal="center"/>
    </xf>
    <xf numFmtId="3" fontId="82" fillId="27" borderId="14" xfId="328" applyNumberFormat="1" applyFont="1" applyFill="1" applyBorder="1" applyAlignment="1">
      <alignment horizontal="center"/>
    </xf>
    <xf numFmtId="10" fontId="82" fillId="27" borderId="11" xfId="328" applyNumberFormat="1" applyFont="1" applyFill="1" applyBorder="1" applyAlignment="1">
      <alignment horizontal="center"/>
    </xf>
    <xf numFmtId="2" fontId="82" fillId="27" borderId="22" xfId="551" applyNumberFormat="1" applyFont="1" applyFill="1" applyBorder="1" applyAlignment="1">
      <alignment horizontal="center"/>
    </xf>
    <xf numFmtId="3" fontId="53" fillId="27" borderId="18" xfId="328" applyNumberFormat="1" applyFont="1" applyFill="1" applyBorder="1" applyAlignment="1">
      <alignment horizontal="center" vertical="center"/>
    </xf>
    <xf numFmtId="3" fontId="69" fillId="27" borderId="11" xfId="328" applyNumberFormat="1" applyFont="1" applyFill="1" applyBorder="1" applyAlignment="1">
      <alignment horizontal="center" vertical="center"/>
    </xf>
    <xf numFmtId="3" fontId="53" fillId="27" borderId="11" xfId="328" applyNumberFormat="1" applyFont="1" applyFill="1" applyBorder="1" applyAlignment="1">
      <alignment horizontal="center" vertical="center"/>
    </xf>
    <xf numFmtId="3" fontId="69" fillId="27" borderId="18" xfId="328" applyNumberFormat="1" applyFont="1" applyFill="1" applyBorder="1" applyAlignment="1">
      <alignment horizontal="center" vertical="center"/>
    </xf>
    <xf numFmtId="2" fontId="69" fillId="27" borderId="22" xfId="328" applyNumberFormat="1" applyFont="1" applyFill="1" applyBorder="1" applyAlignment="1">
      <alignment horizontal="center" vertical="center"/>
    </xf>
    <xf numFmtId="3" fontId="83" fillId="27" borderId="18" xfId="328" applyNumberFormat="1" applyFont="1" applyFill="1" applyBorder="1" applyAlignment="1">
      <alignment vertical="center"/>
    </xf>
    <xf numFmtId="3" fontId="83" fillId="27" borderId="11" xfId="328" applyNumberFormat="1" applyFont="1" applyFill="1" applyBorder="1" applyAlignment="1">
      <alignment vertical="center"/>
    </xf>
    <xf numFmtId="3" fontId="82" fillId="27" borderId="14" xfId="328" applyNumberFormat="1" applyFont="1" applyFill="1" applyBorder="1" applyAlignment="1">
      <alignment vertical="center"/>
    </xf>
    <xf numFmtId="3" fontId="82" fillId="27" borderId="22" xfId="328" applyNumberFormat="1" applyFont="1" applyFill="1" applyBorder="1" applyAlignment="1">
      <alignment vertical="center"/>
    </xf>
    <xf numFmtId="167" fontId="53" fillId="27" borderId="11" xfId="394" applyNumberFormat="1" applyFont="1" applyFill="1" applyBorder="1" applyAlignment="1">
      <alignment horizontal="center"/>
    </xf>
    <xf numFmtId="167" fontId="69" fillId="27" borderId="11" xfId="323" applyNumberFormat="1" applyFont="1" applyFill="1" applyBorder="1" applyAlignment="1">
      <alignment horizontal="center"/>
    </xf>
    <xf numFmtId="167" fontId="83" fillId="27" borderId="18" xfId="394" applyNumberFormat="1" applyFont="1" applyFill="1" applyBorder="1" applyAlignment="1">
      <alignment horizontal="center" vertical="center"/>
    </xf>
    <xf numFmtId="171" fontId="82" fillId="27" borderId="11" xfId="397" applyNumberFormat="1" applyFont="1" applyFill="1" applyBorder="1" applyAlignment="1">
      <alignment horizontal="center" vertical="center"/>
    </xf>
    <xf numFmtId="167" fontId="83" fillId="27" borderId="11" xfId="394" applyNumberFormat="1" applyFont="1" applyFill="1" applyBorder="1" applyAlignment="1">
      <alignment horizontal="center" vertical="center"/>
    </xf>
    <xf numFmtId="171" fontId="82" fillId="27" borderId="11" xfId="394" applyNumberFormat="1" applyFont="1" applyFill="1" applyBorder="1" applyAlignment="1">
      <alignment horizontal="center" vertical="center"/>
    </xf>
    <xf numFmtId="17" fontId="69" fillId="27" borderId="14" xfId="394" applyNumberFormat="1" applyFont="1" applyFill="1" applyBorder="1" applyAlignment="1">
      <alignment horizontal="center" vertical="center"/>
    </xf>
    <xf numFmtId="167" fontId="69" fillId="27" borderId="11" xfId="324" applyNumberFormat="1" applyFont="1" applyFill="1" applyBorder="1" applyAlignment="1">
      <alignment horizontal="center" vertical="center"/>
    </xf>
    <xf numFmtId="167" fontId="53" fillId="27" borderId="11" xfId="324" applyNumberFormat="1" applyFont="1" applyFill="1" applyBorder="1" applyAlignment="1">
      <alignment horizontal="center" vertical="center"/>
    </xf>
    <xf numFmtId="167" fontId="53" fillId="27" borderId="22" xfId="324" applyNumberFormat="1" applyFont="1" applyFill="1" applyBorder="1" applyAlignment="1">
      <alignment horizontal="center" vertical="center"/>
    </xf>
    <xf numFmtId="167" fontId="82" fillId="27" borderId="11" xfId="324" applyNumberFormat="1" applyFont="1" applyFill="1" applyBorder="1" applyAlignment="1">
      <alignment vertical="center"/>
    </xf>
    <xf numFmtId="167" fontId="83" fillId="27" borderId="11" xfId="324" applyNumberFormat="1" applyFont="1" applyFill="1" applyBorder="1" applyAlignment="1">
      <alignment vertical="center"/>
    </xf>
    <xf numFmtId="167" fontId="83" fillId="27" borderId="22" xfId="324" applyNumberFormat="1" applyFont="1" applyFill="1" applyBorder="1" applyAlignment="1">
      <alignment vertical="center"/>
    </xf>
    <xf numFmtId="41" fontId="85" fillId="27" borderId="23" xfId="361" applyNumberFormat="1" applyFont="1" applyFill="1" applyBorder="1" applyAlignment="1">
      <alignment horizontal="center" vertical="center"/>
    </xf>
    <xf numFmtId="3" fontId="64" fillId="27" borderId="0" xfId="0" applyNumberFormat="1" applyFont="1" applyFill="1" applyBorder="1" applyAlignment="1">
      <alignment horizontal="right" vertical="center"/>
    </xf>
    <xf numFmtId="10" fontId="85" fillId="27" borderId="26" xfId="551" applyNumberFormat="1" applyFont="1" applyFill="1" applyBorder="1" applyAlignment="1">
      <alignment horizontal="right" vertical="center"/>
    </xf>
    <xf numFmtId="171" fontId="85" fillId="27" borderId="16" xfId="361" applyNumberFormat="1" applyFont="1" applyFill="1" applyBorder="1" applyAlignment="1">
      <alignment horizontal="right" vertical="center"/>
    </xf>
    <xf numFmtId="1" fontId="69" fillId="27" borderId="20" xfId="347" applyNumberFormat="1" applyFont="1" applyFill="1" applyBorder="1" applyAlignment="1">
      <alignment horizontal="left" vertical="center"/>
    </xf>
    <xf numFmtId="175" fontId="53" fillId="27" borderId="20" xfId="0" applyNumberFormat="1" applyFont="1" applyFill="1" applyBorder="1" applyAlignment="1">
      <alignment horizontal="right"/>
    </xf>
    <xf numFmtId="3" fontId="53" fillId="27" borderId="0" xfId="0" applyNumberFormat="1" applyFont="1" applyFill="1" applyBorder="1" applyAlignment="1">
      <alignment horizontal="right"/>
    </xf>
    <xf numFmtId="175" fontId="69" fillId="27" borderId="26" xfId="0" applyNumberFormat="1" applyFont="1" applyFill="1" applyBorder="1" applyAlignment="1">
      <alignment horizontal="right"/>
    </xf>
    <xf numFmtId="17" fontId="69" fillId="27" borderId="20" xfId="347" applyNumberFormat="1" applyFont="1" applyFill="1" applyBorder="1" applyAlignment="1">
      <alignment horizontal="left" vertical="center"/>
    </xf>
    <xf numFmtId="175" fontId="53" fillId="27" borderId="0" xfId="0" applyNumberFormat="1" applyFont="1" applyFill="1" applyBorder="1" applyAlignment="1">
      <alignment horizontal="right"/>
    </xf>
    <xf numFmtId="49" fontId="69" fillId="27" borderId="21" xfId="0" applyNumberFormat="1" applyFont="1" applyFill="1" applyBorder="1" applyAlignment="1">
      <alignment horizontal="left"/>
    </xf>
    <xf numFmtId="49" fontId="69" fillId="27" borderId="20" xfId="0" applyNumberFormat="1" applyFont="1" applyFill="1" applyBorder="1" applyAlignment="1">
      <alignment horizontal="left"/>
    </xf>
    <xf numFmtId="49" fontId="69" fillId="27" borderId="20" xfId="0" applyNumberFormat="1" applyFont="1" applyFill="1" applyBorder="1" applyAlignment="1">
      <alignment horizontal="left" vertical="center"/>
    </xf>
    <xf numFmtId="171" fontId="69" fillId="27" borderId="16" xfId="0" applyNumberFormat="1" applyFont="1" applyFill="1" applyBorder="1" applyAlignment="1">
      <alignment vertical="center"/>
    </xf>
    <xf numFmtId="167" fontId="69" fillId="27" borderId="17" xfId="0" applyNumberFormat="1" applyFont="1" applyFill="1" applyBorder="1" applyAlignment="1">
      <alignment horizontal="center" wrapText="1"/>
    </xf>
    <xf numFmtId="167" fontId="69" fillId="27" borderId="19" xfId="0" applyNumberFormat="1" applyFont="1" applyFill="1" applyBorder="1" applyAlignment="1">
      <alignment horizontal="center" wrapText="1"/>
    </xf>
    <xf numFmtId="171" fontId="64" fillId="0" borderId="0" xfId="551" applyNumberFormat="1" applyFont="1" applyFill="1" applyBorder="1" applyAlignment="1">
      <alignment vertical="center"/>
    </xf>
    <xf numFmtId="10" fontId="85" fillId="0" borderId="11" xfId="328" applyNumberFormat="1" applyFont="1" applyFill="1" applyBorder="1" applyAlignment="1">
      <alignment horizontal="center" vertical="center" wrapText="1"/>
    </xf>
    <xf numFmtId="10" fontId="85" fillId="0" borderId="26" xfId="336" applyNumberFormat="1" applyFont="1" applyFill="1" applyBorder="1" applyAlignment="1">
      <alignment horizontal="center" vertical="center"/>
    </xf>
    <xf numFmtId="174" fontId="69" fillId="27" borderId="23" xfId="446" applyFont="1" applyFill="1" applyBorder="1" applyAlignment="1">
      <alignment horizontal="center" wrapText="1"/>
    </xf>
    <xf numFmtId="10" fontId="69" fillId="27" borderId="0" xfId="446" applyNumberFormat="1" applyFont="1" applyFill="1" applyBorder="1" applyAlignment="1">
      <alignment horizontal="center"/>
    </xf>
    <xf numFmtId="174" fontId="82" fillId="27" borderId="17" xfId="450" applyFont="1" applyFill="1" applyBorder="1" applyAlignment="1">
      <alignment horizontal="center" vertical="center"/>
    </xf>
    <xf numFmtId="174" fontId="82" fillId="27" borderId="21" xfId="450" applyFont="1" applyFill="1" applyBorder="1" applyAlignment="1">
      <alignment horizontal="center" vertical="center" wrapText="1"/>
    </xf>
    <xf numFmtId="174" fontId="82" fillId="27" borderId="27" xfId="450" applyFont="1" applyFill="1" applyBorder="1" applyAlignment="1">
      <alignment horizontal="center" vertical="center" wrapText="1"/>
    </xf>
    <xf numFmtId="1" fontId="158" fillId="27" borderId="0" xfId="0" applyNumberFormat="1" applyFont="1" applyFill="1" applyAlignment="1">
      <alignment vertical="center"/>
    </xf>
    <xf numFmtId="174" fontId="120" fillId="27" borderId="0" xfId="0" applyFont="1" applyFill="1"/>
    <xf numFmtId="174" fontId="120" fillId="0" borderId="0" xfId="0" applyFont="1"/>
    <xf numFmtId="187" fontId="120" fillId="27" borderId="0" xfId="0" applyNumberFormat="1" applyFont="1" applyFill="1" applyAlignment="1">
      <alignment vertical="center"/>
    </xf>
    <xf numFmtId="171" fontId="152" fillId="27" borderId="0" xfId="551" applyNumberFormat="1" applyFont="1" applyFill="1"/>
    <xf numFmtId="3" fontId="159" fillId="27" borderId="0" xfId="0" applyNumberFormat="1" applyFont="1" applyFill="1" applyBorder="1" applyAlignment="1" applyProtection="1"/>
    <xf numFmtId="10" fontId="74" fillId="0" borderId="0" xfId="0" applyNumberFormat="1" applyFont="1"/>
    <xf numFmtId="188" fontId="73" fillId="0" borderId="0" xfId="0" applyNumberFormat="1" applyFont="1"/>
    <xf numFmtId="174" fontId="74" fillId="0" borderId="0" xfId="0" applyFont="1" applyAlignment="1">
      <alignment vertical="center"/>
    </xf>
    <xf numFmtId="180" fontId="74" fillId="0" borderId="0" xfId="0" applyNumberFormat="1" applyFont="1"/>
    <xf numFmtId="171" fontId="73" fillId="0" borderId="0" xfId="551" applyNumberFormat="1" applyFont="1"/>
    <xf numFmtId="171" fontId="74" fillId="0" borderId="0" xfId="551" applyNumberFormat="1" applyFont="1"/>
    <xf numFmtId="43" fontId="160" fillId="0" borderId="0" xfId="0" applyNumberFormat="1" applyFont="1"/>
    <xf numFmtId="10" fontId="150" fillId="0" borderId="0" xfId="551" applyNumberFormat="1" applyFont="1"/>
    <xf numFmtId="180" fontId="153" fillId="0" borderId="0" xfId="0" applyNumberFormat="1" applyFont="1"/>
    <xf numFmtId="9" fontId="73" fillId="0" borderId="0" xfId="0" applyNumberFormat="1" applyFont="1"/>
    <xf numFmtId="167" fontId="82" fillId="0" borderId="13" xfId="336" applyNumberFormat="1" applyFont="1" applyFill="1" applyBorder="1" applyAlignment="1">
      <alignment horizontal="center" vertical="center" wrapText="1"/>
    </xf>
    <xf numFmtId="171" fontId="82" fillId="27" borderId="17" xfId="0" applyNumberFormat="1" applyFont="1" applyFill="1" applyBorder="1" applyAlignment="1">
      <alignment horizontal="center"/>
    </xf>
    <xf numFmtId="171" fontId="82" fillId="27" borderId="19" xfId="0" applyNumberFormat="1" applyFont="1" applyFill="1" applyBorder="1" applyAlignment="1">
      <alignment horizontal="center"/>
    </xf>
    <xf numFmtId="171" fontId="82" fillId="0" borderId="13" xfId="0" applyNumberFormat="1" applyFont="1" applyBorder="1" applyAlignment="1">
      <alignment horizontal="center"/>
    </xf>
    <xf numFmtId="10" fontId="51" fillId="0" borderId="0" xfId="551" applyNumberFormat="1" applyFont="1" applyAlignment="1">
      <alignment horizontal="center"/>
    </xf>
    <xf numFmtId="174" fontId="51" fillId="0" borderId="0" xfId="0" applyFont="1" applyAlignment="1">
      <alignment horizontal="center"/>
    </xf>
    <xf numFmtId="10" fontId="0" fillId="0" borderId="0" xfId="551" applyNumberFormat="1" applyFont="1" applyAlignment="1">
      <alignment horizontal="center"/>
    </xf>
    <xf numFmtId="10" fontId="0" fillId="0" borderId="0" xfId="0" applyNumberFormat="1" applyAlignment="1">
      <alignment horizontal="center"/>
    </xf>
    <xf numFmtId="10" fontId="138" fillId="0" borderId="0" xfId="551" applyNumberFormat="1" applyFont="1" applyAlignment="1">
      <alignment horizontal="center"/>
    </xf>
    <xf numFmtId="10" fontId="138" fillId="0" borderId="0" xfId="0" applyNumberFormat="1" applyFont="1" applyAlignment="1">
      <alignment horizontal="center"/>
    </xf>
    <xf numFmtId="2" fontId="77" fillId="0" borderId="0" xfId="551" applyNumberFormat="1" applyFont="1"/>
    <xf numFmtId="43" fontId="66" fillId="27" borderId="13" xfId="394" applyNumberFormat="1" applyFont="1" applyFill="1" applyBorder="1" applyAlignment="1">
      <alignment horizontal="right"/>
    </xf>
    <xf numFmtId="188" fontId="0" fillId="0" borderId="0" xfId="0" applyNumberFormat="1" applyFill="1" applyBorder="1"/>
    <xf numFmtId="174" fontId="82" fillId="27" borderId="23" xfId="0" applyNumberFormat="1" applyFont="1" applyFill="1" applyBorder="1" applyAlignment="1">
      <alignment horizontal="center" vertical="center" wrapText="1"/>
    </xf>
    <xf numFmtId="174" fontId="82" fillId="27" borderId="15" xfId="0" applyNumberFormat="1" applyFont="1" applyFill="1" applyBorder="1" applyAlignment="1">
      <alignment horizontal="center" vertical="center"/>
    </xf>
    <xf numFmtId="49" fontId="82" fillId="27" borderId="20" xfId="0" applyNumberFormat="1" applyFont="1" applyFill="1" applyBorder="1" applyAlignment="1">
      <alignment horizontal="center"/>
    </xf>
    <xf numFmtId="3" fontId="83" fillId="27" borderId="21" xfId="323" applyNumberFormat="1" applyFont="1" applyFill="1" applyBorder="1" applyAlignment="1">
      <alignment horizontal="center"/>
    </xf>
    <xf numFmtId="3" fontId="83" fillId="27" borderId="12" xfId="323" applyNumberFormat="1" applyFont="1" applyFill="1" applyBorder="1" applyAlignment="1">
      <alignment horizontal="center"/>
    </xf>
    <xf numFmtId="3" fontId="82" fillId="27" borderId="12" xfId="323" applyNumberFormat="1" applyFont="1" applyFill="1" applyBorder="1" applyAlignment="1">
      <alignment horizontal="center"/>
    </xf>
    <xf numFmtId="171" fontId="82" fillId="27" borderId="12" xfId="0" applyNumberFormat="1" applyFont="1" applyFill="1" applyBorder="1" applyAlignment="1">
      <alignment horizontal="center"/>
    </xf>
    <xf numFmtId="171" fontId="82" fillId="27" borderId="27" xfId="0" applyNumberFormat="1" applyFont="1" applyFill="1" applyBorder="1" applyAlignment="1">
      <alignment horizontal="center"/>
    </xf>
    <xf numFmtId="3" fontId="82" fillId="27" borderId="15" xfId="0" applyNumberFormat="1" applyFont="1" applyFill="1" applyBorder="1" applyAlignment="1">
      <alignment horizontal="center" vertical="center"/>
    </xf>
    <xf numFmtId="0" fontId="66" fillId="27" borderId="19" xfId="919" applyFont="1" applyFill="1" applyBorder="1" applyAlignment="1">
      <alignment horizontal="left" vertical="center"/>
    </xf>
    <xf numFmtId="0" fontId="47" fillId="0" borderId="0" xfId="919" applyFill="1"/>
    <xf numFmtId="167" fontId="66" fillId="27" borderId="23" xfId="323" applyNumberFormat="1" applyFont="1" applyFill="1" applyBorder="1" applyAlignment="1">
      <alignment vertical="center"/>
    </xf>
    <xf numFmtId="171" fontId="66" fillId="27" borderId="16" xfId="919" applyNumberFormat="1" applyFont="1" applyFill="1" applyBorder="1" applyAlignment="1">
      <alignment vertical="center"/>
    </xf>
    <xf numFmtId="167" fontId="55" fillId="27" borderId="0" xfId="323" applyNumberFormat="1" applyFont="1" applyFill="1" applyBorder="1" applyAlignment="1"/>
    <xf numFmtId="171" fontId="66" fillId="27" borderId="26" xfId="919" applyNumberFormat="1" applyFont="1" applyFill="1" applyBorder="1" applyAlignment="1"/>
    <xf numFmtId="41" fontId="47" fillId="0" borderId="0" xfId="793" applyNumberFormat="1"/>
    <xf numFmtId="3" fontId="53" fillId="27" borderId="18" xfId="0" applyNumberFormat="1" applyFont="1" applyFill="1" applyBorder="1" applyAlignment="1" applyProtection="1">
      <alignment horizontal="center"/>
    </xf>
    <xf numFmtId="3" fontId="53" fillId="27" borderId="11" xfId="0" applyNumberFormat="1" applyFont="1" applyFill="1" applyBorder="1" applyAlignment="1" applyProtection="1">
      <alignment horizontal="center"/>
    </xf>
    <xf numFmtId="3" fontId="55" fillId="27" borderId="11" xfId="0" applyNumberFormat="1" applyFont="1" applyFill="1" applyBorder="1" applyAlignment="1" applyProtection="1">
      <alignment horizontal="center"/>
    </xf>
    <xf numFmtId="3" fontId="83" fillId="27" borderId="21" xfId="0" applyNumberFormat="1" applyFont="1" applyFill="1" applyBorder="1" applyAlignment="1" applyProtection="1"/>
    <xf numFmtId="171" fontId="82" fillId="27" borderId="12" xfId="551" applyNumberFormat="1" applyFont="1" applyFill="1" applyBorder="1" applyAlignment="1" applyProtection="1"/>
    <xf numFmtId="3" fontId="83" fillId="27" borderId="20" xfId="0" applyNumberFormat="1" applyFont="1" applyFill="1" applyBorder="1" applyAlignment="1" applyProtection="1"/>
    <xf numFmtId="171" fontId="82" fillId="27" borderId="0" xfId="551" applyNumberFormat="1" applyFont="1" applyFill="1" applyBorder="1" applyAlignment="1" applyProtection="1"/>
    <xf numFmtId="43" fontId="83" fillId="27" borderId="18" xfId="0" applyNumberFormat="1" applyFont="1" applyFill="1" applyBorder="1" applyAlignment="1" applyProtection="1">
      <alignment horizontal="center" vertical="center"/>
    </xf>
    <xf numFmtId="43" fontId="83" fillId="27" borderId="11" xfId="0" applyNumberFormat="1" applyFont="1" applyFill="1" applyBorder="1" applyAlignment="1" applyProtection="1">
      <alignment horizontal="center" vertical="center"/>
    </xf>
    <xf numFmtId="43" fontId="83" fillId="27" borderId="22" xfId="0" applyNumberFormat="1" applyFont="1" applyFill="1" applyBorder="1" applyAlignment="1" applyProtection="1">
      <alignment horizontal="center" vertical="center"/>
    </xf>
    <xf numFmtId="3" fontId="74" fillId="27" borderId="18" xfId="328" applyNumberFormat="1" applyFont="1" applyFill="1" applyBorder="1" applyAlignment="1"/>
    <xf numFmtId="3" fontId="74" fillId="27" borderId="11" xfId="328" applyNumberFormat="1" applyFont="1" applyFill="1" applyBorder="1" applyAlignment="1"/>
    <xf numFmtId="3" fontId="74" fillId="27" borderId="22" xfId="328" applyNumberFormat="1" applyFont="1" applyFill="1" applyBorder="1" applyAlignment="1"/>
    <xf numFmtId="3" fontId="82" fillId="27" borderId="18" xfId="328" applyNumberFormat="1" applyFont="1" applyFill="1" applyBorder="1" applyAlignment="1">
      <alignment horizontal="center" vertical="center"/>
    </xf>
    <xf numFmtId="167" fontId="53" fillId="27" borderId="26" xfId="394" applyNumberFormat="1" applyFont="1" applyFill="1" applyBorder="1" applyAlignment="1">
      <alignment horizontal="right"/>
    </xf>
    <xf numFmtId="167" fontId="53" fillId="27" borderId="22" xfId="394" applyNumberFormat="1" applyFont="1" applyFill="1" applyBorder="1" applyAlignment="1">
      <alignment horizontal="right"/>
    </xf>
    <xf numFmtId="2" fontId="47" fillId="0" borderId="0" xfId="743" applyNumberFormat="1"/>
    <xf numFmtId="167" fontId="69" fillId="27" borderId="14" xfId="0" applyNumberFormat="1" applyFont="1" applyFill="1" applyBorder="1" applyAlignment="1">
      <alignment horizontal="center" wrapText="1"/>
    </xf>
    <xf numFmtId="49" fontId="69" fillId="27" borderId="12" xfId="0" applyNumberFormat="1" applyFont="1" applyFill="1" applyBorder="1" applyAlignment="1">
      <alignment horizontal="center" vertical="center" wrapText="1"/>
    </xf>
    <xf numFmtId="174" fontId="162" fillId="0" borderId="0" xfId="1117" applyAlignment="1" applyProtection="1">
      <alignment horizontal="left" indent="5"/>
    </xf>
    <xf numFmtId="174" fontId="51" fillId="0" borderId="0" xfId="0" applyFont="1" applyAlignment="1">
      <alignment horizontal="left"/>
    </xf>
    <xf numFmtId="174" fontId="0" fillId="0" borderId="0" xfId="0" applyAlignment="1">
      <alignment horizontal="left" indent="5"/>
    </xf>
    <xf numFmtId="174" fontId="51" fillId="0" borderId="0" xfId="0" applyFont="1" applyAlignment="1">
      <alignment horizontal="left" indent="5"/>
    </xf>
    <xf numFmtId="174" fontId="162" fillId="0" borderId="0" xfId="1117" applyAlignment="1" applyProtection="1">
      <alignment horizontal="left" indent="8"/>
    </xf>
    <xf numFmtId="174" fontId="162" fillId="0" borderId="0" xfId="1117" applyAlignment="1" applyProtection="1"/>
    <xf numFmtId="174" fontId="0" fillId="0" borderId="0" xfId="0" applyAlignment="1">
      <alignment horizontal="left" indent="8"/>
    </xf>
    <xf numFmtId="174" fontId="162" fillId="27" borderId="0" xfId="1117" applyFill="1" applyAlignment="1" applyProtection="1">
      <alignment horizontal="left" indent="8"/>
    </xf>
    <xf numFmtId="174" fontId="51" fillId="0" borderId="0" xfId="0" applyFont="1" applyAlignment="1">
      <alignment horizontal="left" indent="3"/>
    </xf>
    <xf numFmtId="2" fontId="163" fillId="0" borderId="0" xfId="0" applyNumberFormat="1" applyFont="1" applyBorder="1" applyAlignment="1">
      <alignment horizontal="left"/>
    </xf>
    <xf numFmtId="4" fontId="83" fillId="27" borderId="0" xfId="328" applyNumberFormat="1" applyFont="1" applyFill="1" applyBorder="1" applyAlignment="1">
      <alignment horizontal="center"/>
    </xf>
    <xf numFmtId="183" fontId="55" fillId="0" borderId="0" xfId="0" applyNumberFormat="1" applyFont="1" applyBorder="1" applyAlignment="1">
      <alignment horizontal="left"/>
    </xf>
    <xf numFmtId="41" fontId="100" fillId="0" borderId="0" xfId="626" applyNumberFormat="1" applyFont="1"/>
    <xf numFmtId="180" fontId="51" fillId="0" borderId="0" xfId="0" applyNumberFormat="1" applyFont="1"/>
    <xf numFmtId="4" fontId="47" fillId="0" borderId="0" xfId="579" applyNumberFormat="1"/>
    <xf numFmtId="199" fontId="47" fillId="0" borderId="0" xfId="579" applyNumberFormat="1"/>
    <xf numFmtId="0" fontId="47" fillId="0" borderId="0" xfId="579" applyAlignment="1">
      <alignment horizontal="right"/>
    </xf>
    <xf numFmtId="167" fontId="66" fillId="27" borderId="15" xfId="323" applyNumberFormat="1" applyFont="1" applyFill="1" applyBorder="1" applyAlignment="1">
      <alignment vertical="center"/>
    </xf>
    <xf numFmtId="0" fontId="47" fillId="0" borderId="0" xfId="1121"/>
    <xf numFmtId="0" fontId="47" fillId="0" borderId="0" xfId="1121" applyNumberFormat="1"/>
    <xf numFmtId="0" fontId="47" fillId="0" borderId="0" xfId="1122"/>
    <xf numFmtId="0" fontId="47" fillId="0" borderId="0" xfId="1122" applyAlignment="1">
      <alignment horizontal="left"/>
    </xf>
    <xf numFmtId="0" fontId="47" fillId="0" borderId="0" xfId="1122" applyNumberFormat="1"/>
    <xf numFmtId="0" fontId="66" fillId="27" borderId="13" xfId="919" applyFont="1" applyFill="1" applyBorder="1" applyAlignment="1">
      <alignment horizontal="center" vertical="center" wrapText="1"/>
    </xf>
    <xf numFmtId="167" fontId="55" fillId="27" borderId="19" xfId="323" applyNumberFormat="1" applyFont="1" applyFill="1" applyBorder="1" applyAlignment="1"/>
    <xf numFmtId="167" fontId="66" fillId="27" borderId="13" xfId="323" applyNumberFormat="1" applyFont="1" applyFill="1" applyBorder="1" applyAlignment="1">
      <alignment vertical="center"/>
    </xf>
    <xf numFmtId="0" fontId="47" fillId="0" borderId="0" xfId="1123" applyAlignment="1">
      <alignment horizontal="left"/>
    </xf>
    <xf numFmtId="0" fontId="51" fillId="0" borderId="0" xfId="919" applyFont="1" applyAlignment="1">
      <alignment horizontal="center"/>
    </xf>
    <xf numFmtId="0" fontId="66" fillId="27" borderId="15" xfId="919" applyFont="1" applyFill="1" applyBorder="1" applyAlignment="1">
      <alignment horizontal="center" vertical="center" wrapText="1"/>
    </xf>
    <xf numFmtId="1" fontId="66" fillId="27" borderId="19" xfId="919" applyNumberFormat="1" applyFont="1" applyFill="1" applyBorder="1" applyAlignment="1">
      <alignment horizontal="center"/>
    </xf>
    <xf numFmtId="0" fontId="66" fillId="27" borderId="23" xfId="919" applyFont="1" applyFill="1" applyBorder="1" applyAlignment="1">
      <alignment horizontal="right" vertical="center" wrapText="1"/>
    </xf>
    <xf numFmtId="0" fontId="66" fillId="27" borderId="16" xfId="919" applyFont="1" applyFill="1" applyBorder="1" applyAlignment="1">
      <alignment horizontal="right" vertical="center" wrapText="1"/>
    </xf>
    <xf numFmtId="167" fontId="55" fillId="27" borderId="0" xfId="323" applyNumberFormat="1" applyFont="1" applyFill="1" applyBorder="1" applyAlignment="1">
      <alignment horizontal="right"/>
    </xf>
    <xf numFmtId="171" fontId="66" fillId="27" borderId="26" xfId="919" applyNumberFormat="1" applyFont="1" applyFill="1" applyBorder="1" applyAlignment="1">
      <alignment horizontal="right"/>
    </xf>
    <xf numFmtId="167" fontId="66" fillId="27" borderId="23" xfId="323" applyNumberFormat="1" applyFont="1" applyFill="1" applyBorder="1" applyAlignment="1">
      <alignment horizontal="right" vertical="center"/>
    </xf>
    <xf numFmtId="171" fontId="66" fillId="27" borderId="16" xfId="919" applyNumberFormat="1" applyFont="1" applyFill="1" applyBorder="1" applyAlignment="1">
      <alignment horizontal="right" vertical="center"/>
    </xf>
    <xf numFmtId="174" fontId="82" fillId="27" borderId="23" xfId="0" applyNumberFormat="1" applyFont="1" applyFill="1" applyBorder="1" applyAlignment="1">
      <alignment horizontal="center" vertical="center" wrapText="1"/>
    </xf>
    <xf numFmtId="1" fontId="66" fillId="27" borderId="13" xfId="919" applyNumberFormat="1" applyFont="1" applyFill="1" applyBorder="1" applyAlignment="1">
      <alignment horizontal="center"/>
    </xf>
    <xf numFmtId="167" fontId="66" fillId="27" borderId="23" xfId="323" applyNumberFormat="1" applyFont="1" applyFill="1" applyBorder="1" applyAlignment="1">
      <alignment horizontal="center" vertical="center"/>
    </xf>
    <xf numFmtId="167" fontId="66" fillId="27" borderId="20" xfId="919" applyNumberFormat="1" applyFont="1" applyFill="1" applyBorder="1" applyAlignment="1"/>
    <xf numFmtId="171" fontId="66" fillId="27" borderId="15" xfId="551" applyNumberFormat="1" applyFont="1" applyFill="1" applyBorder="1" applyAlignment="1">
      <alignment vertical="center"/>
    </xf>
    <xf numFmtId="171" fontId="66" fillId="27" borderId="16" xfId="551" applyNumberFormat="1" applyFont="1" applyFill="1" applyBorder="1" applyAlignment="1">
      <alignment vertical="center"/>
    </xf>
    <xf numFmtId="171" fontId="55" fillId="27" borderId="19" xfId="551" applyNumberFormat="1" applyFont="1" applyFill="1" applyBorder="1" applyAlignment="1"/>
    <xf numFmtId="9" fontId="66" fillId="27" borderId="13" xfId="551" applyNumberFormat="1" applyFont="1" applyFill="1" applyBorder="1" applyAlignment="1">
      <alignment vertical="center"/>
    </xf>
    <xf numFmtId="3" fontId="83" fillId="27" borderId="21" xfId="328" applyNumberFormat="1" applyFont="1" applyFill="1" applyBorder="1" applyAlignment="1">
      <alignment horizontal="center" vertical="center"/>
    </xf>
    <xf numFmtId="3" fontId="83" fillId="27" borderId="12" xfId="328" applyNumberFormat="1" applyFont="1" applyFill="1" applyBorder="1" applyAlignment="1">
      <alignment horizontal="center" vertical="center"/>
    </xf>
    <xf numFmtId="3" fontId="83" fillId="27" borderId="26" xfId="328" applyNumberFormat="1" applyFont="1" applyFill="1" applyBorder="1" applyAlignment="1">
      <alignment horizontal="center" vertical="center"/>
    </xf>
    <xf numFmtId="3" fontId="83" fillId="27" borderId="22" xfId="328" applyNumberFormat="1" applyFont="1" applyFill="1" applyBorder="1" applyAlignment="1">
      <alignment horizontal="center" vertical="center"/>
    </xf>
    <xf numFmtId="167" fontId="53" fillId="27" borderId="12" xfId="394" applyNumberFormat="1" applyFont="1" applyFill="1" applyBorder="1" applyAlignment="1">
      <alignment horizontal="center"/>
    </xf>
    <xf numFmtId="167" fontId="69" fillId="27" borderId="12" xfId="323" applyNumberFormat="1" applyFont="1" applyFill="1" applyBorder="1" applyAlignment="1">
      <alignment horizontal="center"/>
    </xf>
    <xf numFmtId="2" fontId="69" fillId="27" borderId="27" xfId="394" applyNumberFormat="1" applyFont="1" applyFill="1" applyBorder="1" applyAlignment="1">
      <alignment horizontal="center"/>
    </xf>
    <xf numFmtId="43" fontId="69" fillId="27" borderId="13" xfId="394" applyNumberFormat="1" applyFont="1" applyFill="1" applyBorder="1" applyAlignment="1">
      <alignment horizontal="center" vertical="center" wrapText="1"/>
    </xf>
    <xf numFmtId="43" fontId="69" fillId="27" borderId="15" xfId="394" applyNumberFormat="1" applyFont="1" applyFill="1" applyBorder="1" applyAlignment="1">
      <alignment horizontal="center" vertical="center" wrapText="1"/>
    </xf>
    <xf numFmtId="167" fontId="69" fillId="27" borderId="20" xfId="323" applyNumberFormat="1" applyFont="1" applyFill="1" applyBorder="1" applyAlignment="1">
      <alignment horizontal="right"/>
    </xf>
    <xf numFmtId="167" fontId="69" fillId="27" borderId="18" xfId="323" applyNumberFormat="1" applyFont="1" applyFill="1" applyBorder="1" applyAlignment="1">
      <alignment horizontal="right"/>
    </xf>
    <xf numFmtId="3" fontId="83" fillId="27" borderId="19" xfId="328" applyNumberFormat="1" applyFont="1" applyFill="1" applyBorder="1" applyAlignment="1">
      <alignment horizontal="center" vertical="center"/>
    </xf>
    <xf numFmtId="171" fontId="82" fillId="27" borderId="0" xfId="328" applyNumberFormat="1" applyFont="1" applyFill="1" applyBorder="1" applyAlignment="1">
      <alignment horizontal="center" vertical="center"/>
    </xf>
    <xf numFmtId="174" fontId="67" fillId="0" borderId="19" xfId="0" applyFont="1" applyBorder="1" applyAlignment="1">
      <alignment horizontal="center"/>
    </xf>
    <xf numFmtId="174" fontId="67" fillId="0" borderId="26" xfId="0" applyFont="1" applyBorder="1" applyAlignment="1">
      <alignment horizontal="center"/>
    </xf>
    <xf numFmtId="2" fontId="82" fillId="27" borderId="0" xfId="328" applyNumberFormat="1" applyFont="1" applyFill="1" applyBorder="1" applyAlignment="1">
      <alignment horizontal="center" vertical="center"/>
    </xf>
    <xf numFmtId="3" fontId="82" fillId="27" borderId="17" xfId="328" applyNumberFormat="1" applyFont="1" applyFill="1" applyBorder="1" applyAlignment="1">
      <alignment horizontal="center" vertical="center"/>
    </xf>
    <xf numFmtId="3" fontId="82" fillId="27" borderId="27" xfId="328" applyNumberFormat="1" applyFont="1" applyFill="1" applyBorder="1" applyAlignment="1">
      <alignment horizontal="center" vertical="center"/>
    </xf>
    <xf numFmtId="3" fontId="82" fillId="27" borderId="19" xfId="328" applyNumberFormat="1" applyFont="1" applyFill="1" applyBorder="1" applyAlignment="1">
      <alignment horizontal="center" vertical="center"/>
    </xf>
    <xf numFmtId="3" fontId="82" fillId="27" borderId="26" xfId="328" applyNumberFormat="1" applyFont="1" applyFill="1" applyBorder="1" applyAlignment="1">
      <alignment horizontal="center" vertical="center"/>
    </xf>
    <xf numFmtId="3" fontId="82" fillId="27" borderId="14" xfId="328" applyNumberFormat="1" applyFont="1" applyFill="1" applyBorder="1" applyAlignment="1">
      <alignment horizontal="center" vertical="center"/>
    </xf>
    <xf numFmtId="3" fontId="82" fillId="27" borderId="22" xfId="328" applyNumberFormat="1" applyFont="1" applyFill="1" applyBorder="1" applyAlignment="1">
      <alignment horizontal="center" vertical="center"/>
    </xf>
    <xf numFmtId="17" fontId="69" fillId="27" borderId="14" xfId="388" applyNumberFormat="1" applyFont="1" applyFill="1" applyBorder="1" applyAlignment="1">
      <alignment horizontal="center" vertical="center"/>
    </xf>
    <xf numFmtId="2" fontId="0" fillId="0" borderId="0" xfId="551" applyNumberFormat="1" applyFont="1" applyBorder="1" applyAlignment="1">
      <alignment horizontal="left"/>
    </xf>
    <xf numFmtId="3" fontId="53" fillId="27" borderId="11" xfId="325" applyNumberFormat="1" applyFont="1" applyFill="1" applyBorder="1" applyAlignment="1">
      <alignment horizontal="center" vertical="center"/>
    </xf>
    <xf numFmtId="174" fontId="82" fillId="27" borderId="15" xfId="0" applyNumberFormat="1" applyFont="1" applyFill="1" applyBorder="1" applyAlignment="1" applyProtection="1">
      <alignment horizontal="center" vertical="center"/>
    </xf>
    <xf numFmtId="174" fontId="82" fillId="27" borderId="23" xfId="0" applyNumberFormat="1" applyFont="1" applyFill="1" applyBorder="1" applyAlignment="1" applyProtection="1">
      <alignment horizontal="center" vertical="center"/>
    </xf>
    <xf numFmtId="174" fontId="82" fillId="27" borderId="13" xfId="0" applyNumberFormat="1" applyFont="1" applyFill="1" applyBorder="1" applyAlignment="1" applyProtection="1">
      <alignment horizontal="center" vertical="center"/>
    </xf>
    <xf numFmtId="182" fontId="74" fillId="0" borderId="0" xfId="1094" applyFont="1" applyFill="1" applyBorder="1"/>
    <xf numFmtId="49" fontId="69" fillId="27" borderId="17" xfId="0" applyNumberFormat="1" applyFont="1" applyFill="1" applyBorder="1" applyAlignment="1">
      <alignment horizontal="center" vertical="center" wrapText="1"/>
    </xf>
    <xf numFmtId="174" fontId="69" fillId="27" borderId="13" xfId="0" applyFont="1" applyFill="1" applyBorder="1" applyAlignment="1">
      <alignment horizontal="center" vertical="center" wrapText="1"/>
    </xf>
    <xf numFmtId="167" fontId="69" fillId="27" borderId="17" xfId="323" applyNumberFormat="1" applyFont="1" applyFill="1" applyBorder="1"/>
    <xf numFmtId="167" fontId="69" fillId="27" borderId="13" xfId="323" applyNumberFormat="1" applyFont="1" applyFill="1" applyBorder="1" applyAlignment="1">
      <alignment vertical="center"/>
    </xf>
    <xf numFmtId="167" fontId="55" fillId="27" borderId="20" xfId="323" applyNumberFormat="1" applyFont="1" applyFill="1" applyBorder="1" applyAlignment="1">
      <alignment horizontal="center"/>
    </xf>
    <xf numFmtId="49" fontId="66" fillId="27" borderId="15" xfId="0" applyNumberFormat="1" applyFont="1" applyFill="1" applyBorder="1" applyAlignment="1">
      <alignment horizontal="center" vertical="center"/>
    </xf>
    <xf numFmtId="37" fontId="66" fillId="27" borderId="15" xfId="323" applyNumberFormat="1" applyFont="1" applyFill="1" applyBorder="1" applyAlignment="1">
      <alignment horizontal="center" vertical="center"/>
    </xf>
    <xf numFmtId="49" fontId="51" fillId="27" borderId="13" xfId="0" applyNumberFormat="1" applyFont="1" applyFill="1" applyBorder="1" applyAlignment="1">
      <alignment horizontal="center" vertical="center" wrapText="1"/>
    </xf>
    <xf numFmtId="167" fontId="68" fillId="27" borderId="19" xfId="323" applyNumberFormat="1" applyFont="1" applyFill="1" applyBorder="1"/>
    <xf numFmtId="171" fontId="66" fillId="27" borderId="13" xfId="579" applyNumberFormat="1" applyFont="1" applyFill="1" applyBorder="1"/>
    <xf numFmtId="10" fontId="66" fillId="27" borderId="19" xfId="579" applyNumberFormat="1" applyFont="1" applyFill="1" applyBorder="1"/>
    <xf numFmtId="43" fontId="53" fillId="27" borderId="0" xfId="336" applyNumberFormat="1" applyFont="1" applyFill="1" applyBorder="1" applyAlignment="1">
      <alignment vertical="center"/>
    </xf>
    <xf numFmtId="43" fontId="69" fillId="27" borderId="13" xfId="336" applyFont="1" applyFill="1" applyBorder="1" applyAlignment="1">
      <alignment horizontal="center" vertical="center" wrapText="1"/>
    </xf>
    <xf numFmtId="43" fontId="53" fillId="27" borderId="0" xfId="328" applyFont="1" applyFill="1" applyBorder="1" applyAlignment="1">
      <alignment vertical="center"/>
    </xf>
    <xf numFmtId="43" fontId="69" fillId="27" borderId="23" xfId="336" applyFont="1" applyFill="1" applyBorder="1" applyAlignment="1">
      <alignment horizontal="center" vertical="center" wrapText="1"/>
    </xf>
    <xf numFmtId="17" fontId="69" fillId="27" borderId="19" xfId="0" applyNumberFormat="1" applyFont="1" applyFill="1" applyBorder="1" applyAlignment="1">
      <alignment horizontal="center" vertical="center"/>
    </xf>
    <xf numFmtId="43" fontId="69" fillId="27" borderId="19" xfId="336" applyFont="1" applyFill="1" applyBorder="1" applyAlignment="1">
      <alignment vertical="center"/>
    </xf>
    <xf numFmtId="43" fontId="55" fillId="27" borderId="0" xfId="323" applyFont="1" applyFill="1" applyBorder="1"/>
    <xf numFmtId="0" fontId="66" fillId="27" borderId="19" xfId="743" applyFont="1" applyFill="1" applyBorder="1" applyAlignment="1">
      <alignment horizontal="center"/>
    </xf>
    <xf numFmtId="43" fontId="55" fillId="27" borderId="11" xfId="323" applyFont="1" applyFill="1" applyBorder="1" applyAlignment="1">
      <alignment horizontal="center"/>
    </xf>
    <xf numFmtId="0" fontId="66" fillId="27" borderId="19" xfId="742" applyFont="1" applyFill="1" applyBorder="1" applyAlignment="1">
      <alignment horizontal="center"/>
    </xf>
    <xf numFmtId="43" fontId="53" fillId="36" borderId="0" xfId="328" applyFont="1" applyFill="1" applyBorder="1" applyAlignment="1">
      <alignment vertical="center"/>
    </xf>
    <xf numFmtId="43" fontId="55" fillId="0" borderId="0" xfId="323" applyFont="1" applyFill="1" applyBorder="1" applyAlignment="1">
      <alignment horizontal="right"/>
    </xf>
    <xf numFmtId="0" fontId="66" fillId="0" borderId="19" xfId="744" applyFont="1" applyFill="1" applyBorder="1" applyAlignment="1">
      <alignment horizontal="center"/>
    </xf>
    <xf numFmtId="17" fontId="69" fillId="27" borderId="14" xfId="0" applyNumberFormat="1" applyFont="1" applyFill="1" applyBorder="1" applyAlignment="1">
      <alignment horizontal="center" vertical="center"/>
    </xf>
    <xf numFmtId="43" fontId="53" fillId="27" borderId="11" xfId="328" applyFont="1" applyFill="1" applyBorder="1" applyAlignment="1">
      <alignment vertical="center"/>
    </xf>
    <xf numFmtId="43" fontId="69" fillId="27" borderId="14" xfId="336" applyFont="1" applyFill="1" applyBorder="1" applyAlignment="1">
      <alignment vertical="center"/>
    </xf>
    <xf numFmtId="174" fontId="0" fillId="0" borderId="0" xfId="0" applyBorder="1"/>
    <xf numFmtId="174" fontId="69" fillId="27" borderId="19" xfId="0" applyNumberFormat="1" applyFont="1" applyFill="1" applyBorder="1" applyAlignment="1">
      <alignment horizontal="left" vertical="center"/>
    </xf>
    <xf numFmtId="43" fontId="55" fillId="27" borderId="21" xfId="0" applyNumberFormat="1" applyFont="1" applyFill="1" applyBorder="1" applyAlignment="1">
      <alignment horizontal="center"/>
    </xf>
    <xf numFmtId="43" fontId="55" fillId="27" borderId="20" xfId="0" applyNumberFormat="1" applyFont="1" applyFill="1" applyBorder="1" applyAlignment="1">
      <alignment horizontal="center"/>
    </xf>
    <xf numFmtId="43" fontId="34" fillId="27" borderId="0" xfId="336" applyFont="1" applyFill="1" applyBorder="1" applyAlignment="1">
      <alignment horizontal="center"/>
    </xf>
    <xf numFmtId="43" fontId="81" fillId="27" borderId="0" xfId="0" applyNumberFormat="1" applyFont="1" applyFill="1" applyBorder="1" applyAlignment="1">
      <alignment horizontal="right" vertical="center"/>
    </xf>
    <xf numFmtId="43" fontId="81" fillId="32" borderId="0" xfId="0" applyNumberFormat="1" applyFont="1" applyFill="1" applyBorder="1" applyAlignment="1">
      <alignment horizontal="left" vertical="center"/>
    </xf>
    <xf numFmtId="43" fontId="81" fillId="27" borderId="0" xfId="0" applyNumberFormat="1" applyFont="1" applyFill="1" applyBorder="1" applyAlignment="1">
      <alignment horizontal="left" vertical="center"/>
    </xf>
    <xf numFmtId="174" fontId="0" fillId="0" borderId="0" xfId="0"/>
    <xf numFmtId="174" fontId="47" fillId="0" borderId="0" xfId="442" applyFont="1"/>
    <xf numFmtId="43" fontId="34" fillId="27" borderId="0" xfId="336" applyFont="1" applyFill="1" applyBorder="1" applyAlignment="1">
      <alignment horizontal="center"/>
    </xf>
    <xf numFmtId="43" fontId="55" fillId="27" borderId="0" xfId="394" applyNumberFormat="1" applyFont="1" applyFill="1" applyBorder="1" applyAlignment="1">
      <alignment horizontal="right"/>
    </xf>
    <xf numFmtId="49" fontId="66" fillId="27" borderId="23" xfId="394" applyNumberFormat="1" applyFont="1" applyFill="1" applyBorder="1" applyAlignment="1">
      <alignment horizontal="center" vertical="center"/>
    </xf>
    <xf numFmtId="43" fontId="53" fillId="27" borderId="0" xfId="336" applyNumberFormat="1" applyFont="1" applyFill="1" applyBorder="1"/>
    <xf numFmtId="43" fontId="69" fillId="27" borderId="19" xfId="0" applyNumberFormat="1" applyFont="1" applyFill="1" applyBorder="1" applyAlignment="1">
      <alignment horizontal="center" vertical="center"/>
    </xf>
    <xf numFmtId="0" fontId="69" fillId="27" borderId="13" xfId="579" applyFont="1" applyFill="1" applyBorder="1" applyAlignment="1">
      <alignment horizontal="center"/>
    </xf>
    <xf numFmtId="43" fontId="55" fillId="27" borderId="0" xfId="323" applyFont="1" applyFill="1" applyBorder="1"/>
    <xf numFmtId="169" fontId="69" fillId="27" borderId="23" xfId="323" applyNumberFormat="1" applyFont="1" applyFill="1" applyBorder="1" applyAlignment="1">
      <alignment vertical="center"/>
    </xf>
    <xf numFmtId="43" fontId="55" fillId="27" borderId="0" xfId="323" applyFont="1" applyFill="1" applyBorder="1" applyAlignment="1">
      <alignment horizontal="right"/>
    </xf>
    <xf numFmtId="4" fontId="95" fillId="27" borderId="26" xfId="323" applyNumberFormat="1" applyFont="1" applyFill="1" applyBorder="1" applyAlignment="1">
      <alignment horizontal="right"/>
    </xf>
    <xf numFmtId="49" fontId="104" fillId="27" borderId="19" xfId="388" applyNumberFormat="1" applyFont="1" applyFill="1" applyBorder="1" applyAlignment="1">
      <alignment horizontal="center"/>
    </xf>
    <xf numFmtId="17" fontId="82" fillId="27" borderId="19" xfId="450" applyNumberFormat="1" applyFont="1" applyFill="1" applyBorder="1" applyAlignment="1">
      <alignment horizontal="center"/>
    </xf>
    <xf numFmtId="17" fontId="82" fillId="27" borderId="14" xfId="450" applyNumberFormat="1" applyFont="1" applyFill="1" applyBorder="1" applyAlignment="1">
      <alignment horizontal="center"/>
    </xf>
    <xf numFmtId="43" fontId="34" fillId="27" borderId="20" xfId="336" applyFont="1" applyFill="1" applyBorder="1" applyAlignment="1">
      <alignment horizontal="center" vertical="center"/>
    </xf>
    <xf numFmtId="43" fontId="81" fillId="27" borderId="0" xfId="323" applyFont="1" applyFill="1" applyBorder="1"/>
    <xf numFmtId="43" fontId="81" fillId="27" borderId="0" xfId="323" applyFont="1" applyFill="1" applyBorder="1" applyAlignment="1">
      <alignment horizontal="right"/>
    </xf>
    <xf numFmtId="169" fontId="53" fillId="27" borderId="0" xfId="323" applyNumberFormat="1" applyFont="1" applyFill="1" applyBorder="1" applyAlignment="1">
      <alignment vertical="center"/>
    </xf>
    <xf numFmtId="10" fontId="83" fillId="27" borderId="26" xfId="450" applyNumberFormat="1" applyFont="1" applyFill="1" applyBorder="1" applyAlignment="1">
      <alignment horizontal="center"/>
    </xf>
    <xf numFmtId="10" fontId="83" fillId="27" borderId="22" xfId="450" applyNumberFormat="1" applyFont="1" applyFill="1" applyBorder="1" applyAlignment="1">
      <alignment horizontal="center"/>
    </xf>
    <xf numFmtId="190" fontId="69" fillId="27" borderId="19" xfId="336" applyNumberFormat="1" applyFont="1" applyFill="1" applyBorder="1"/>
    <xf numFmtId="0" fontId="82" fillId="27" borderId="19" xfId="0" applyNumberFormat="1" applyFont="1" applyFill="1" applyBorder="1" applyAlignment="1">
      <alignment horizontal="center" vertical="center"/>
    </xf>
    <xf numFmtId="40" fontId="83" fillId="27" borderId="0" xfId="335" applyNumberFormat="1" applyFont="1" applyFill="1" applyBorder="1" applyAlignment="1">
      <alignment vertical="center"/>
    </xf>
    <xf numFmtId="40" fontId="83" fillId="27" borderId="0" xfId="0" applyNumberFormat="1" applyFont="1" applyFill="1" applyBorder="1" applyAlignment="1">
      <alignment vertical="center"/>
    </xf>
    <xf numFmtId="10" fontId="83" fillId="27" borderId="0" xfId="450" applyNumberFormat="1" applyFont="1" applyFill="1" applyBorder="1" applyAlignment="1">
      <alignment horizontal="center"/>
    </xf>
    <xf numFmtId="10" fontId="83" fillId="27" borderId="12" xfId="450" applyNumberFormat="1" applyFont="1" applyFill="1" applyBorder="1" applyAlignment="1">
      <alignment horizontal="center"/>
    </xf>
    <xf numFmtId="10" fontId="83" fillId="27" borderId="27" xfId="450" applyNumberFormat="1" applyFont="1" applyFill="1" applyBorder="1" applyAlignment="1">
      <alignment horizontal="center"/>
    </xf>
    <xf numFmtId="10" fontId="83" fillId="27" borderId="11" xfId="450" applyNumberFormat="1" applyFont="1" applyFill="1" applyBorder="1" applyAlignment="1">
      <alignment horizontal="center"/>
    </xf>
    <xf numFmtId="17" fontId="82" fillId="27" borderId="17" xfId="450" applyNumberFormat="1" applyFont="1" applyFill="1" applyBorder="1" applyAlignment="1">
      <alignment horizontal="center"/>
    </xf>
    <xf numFmtId="174" fontId="0" fillId="0" borderId="0" xfId="0" applyAlignment="1">
      <alignment horizontal="center"/>
    </xf>
    <xf numFmtId="3" fontId="83" fillId="27" borderId="20" xfId="328" applyNumberFormat="1" applyFont="1" applyFill="1" applyBorder="1" applyAlignment="1">
      <alignment horizontal="center"/>
    </xf>
    <xf numFmtId="3" fontId="83" fillId="27" borderId="18" xfId="328" applyNumberFormat="1" applyFont="1" applyFill="1" applyBorder="1" applyAlignment="1">
      <alignment horizontal="center"/>
    </xf>
    <xf numFmtId="174" fontId="0" fillId="0" borderId="0" xfId="0" applyNumberFormat="1" applyBorder="1" applyAlignment="1">
      <alignment horizontal="center"/>
    </xf>
    <xf numFmtId="174" fontId="0" fillId="0" borderId="0" xfId="0" applyNumberFormat="1" applyAlignment="1">
      <alignment horizontal="center"/>
    </xf>
    <xf numFmtId="43" fontId="69" fillId="27" borderId="12" xfId="394" applyNumberFormat="1" applyFont="1" applyFill="1" applyBorder="1" applyAlignment="1">
      <alignment horizontal="center" vertical="center" wrapText="1"/>
    </xf>
    <xf numFmtId="43" fontId="69" fillId="27" borderId="27" xfId="394" applyNumberFormat="1" applyFont="1" applyFill="1" applyBorder="1" applyAlignment="1">
      <alignment horizontal="center" vertical="center" wrapText="1"/>
    </xf>
    <xf numFmtId="17" fontId="69" fillId="27" borderId="17" xfId="394" applyNumberFormat="1" applyFont="1" applyFill="1" applyBorder="1" applyAlignment="1">
      <alignment horizontal="center"/>
    </xf>
    <xf numFmtId="43" fontId="69" fillId="27" borderId="17" xfId="394" applyNumberFormat="1" applyFont="1" applyFill="1" applyBorder="1" applyAlignment="1">
      <alignment horizontal="center" vertical="center" wrapText="1"/>
    </xf>
    <xf numFmtId="174" fontId="79" fillId="0" borderId="0" xfId="0" applyFont="1" applyFill="1" applyBorder="1" applyAlignment="1">
      <alignment vertical="center" wrapText="1"/>
    </xf>
    <xf numFmtId="167" fontId="83" fillId="27" borderId="21" xfId="323" applyNumberFormat="1" applyFont="1" applyFill="1" applyBorder="1" applyAlignment="1">
      <alignment horizontal="center"/>
    </xf>
    <xf numFmtId="167" fontId="83" fillId="27" borderId="12" xfId="323" applyNumberFormat="1" applyFont="1" applyFill="1" applyBorder="1" applyAlignment="1">
      <alignment horizontal="center"/>
    </xf>
    <xf numFmtId="167" fontId="82" fillId="27" borderId="12" xfId="323" applyNumberFormat="1" applyFont="1" applyFill="1" applyBorder="1" applyAlignment="1">
      <alignment horizontal="center"/>
    </xf>
    <xf numFmtId="167" fontId="83" fillId="27" borderId="20" xfId="323" applyNumberFormat="1" applyFont="1" applyFill="1" applyBorder="1" applyAlignment="1">
      <alignment horizontal="center"/>
    </xf>
    <xf numFmtId="167" fontId="83" fillId="27" borderId="0" xfId="323" applyNumberFormat="1" applyFont="1" applyFill="1" applyBorder="1" applyAlignment="1">
      <alignment horizontal="center"/>
    </xf>
    <xf numFmtId="167" fontId="82" fillId="27" borderId="0" xfId="323" applyNumberFormat="1" applyFont="1" applyFill="1" applyBorder="1" applyAlignment="1">
      <alignment horizontal="center"/>
    </xf>
    <xf numFmtId="167" fontId="83" fillId="27" borderId="0" xfId="394" applyNumberFormat="1" applyFont="1" applyFill="1" applyBorder="1" applyAlignment="1">
      <alignment horizontal="center"/>
    </xf>
    <xf numFmtId="167" fontId="82" fillId="27" borderId="0" xfId="394" applyNumberFormat="1" applyFont="1" applyFill="1" applyBorder="1" applyAlignment="1">
      <alignment horizontal="center"/>
    </xf>
    <xf numFmtId="167" fontId="83" fillId="27" borderId="20" xfId="394" applyNumberFormat="1" applyFont="1" applyFill="1" applyBorder="1" applyAlignment="1">
      <alignment horizontal="center"/>
    </xf>
    <xf numFmtId="43" fontId="82" fillId="27" borderId="27" xfId="394" applyNumberFormat="1" applyFont="1" applyFill="1" applyBorder="1" applyAlignment="1"/>
    <xf numFmtId="43" fontId="82" fillId="27" borderId="26" xfId="394" applyNumberFormat="1" applyFont="1" applyFill="1" applyBorder="1" applyAlignment="1"/>
    <xf numFmtId="43" fontId="82" fillId="27" borderId="22" xfId="394" applyNumberFormat="1" applyFont="1" applyFill="1" applyBorder="1" applyAlignment="1"/>
    <xf numFmtId="171" fontId="82" fillId="27" borderId="21" xfId="394" applyNumberFormat="1" applyFont="1" applyFill="1" applyBorder="1" applyAlignment="1"/>
    <xf numFmtId="171" fontId="82" fillId="27" borderId="12" xfId="394" applyNumberFormat="1" applyFont="1" applyFill="1" applyBorder="1" applyAlignment="1"/>
    <xf numFmtId="171" fontId="82" fillId="27" borderId="20" xfId="394" applyNumberFormat="1" applyFont="1" applyFill="1" applyBorder="1" applyAlignment="1"/>
    <xf numFmtId="171" fontId="82" fillId="27" borderId="0" xfId="394" applyNumberFormat="1" applyFont="1" applyFill="1" applyBorder="1" applyAlignment="1"/>
    <xf numFmtId="171" fontId="82" fillId="27" borderId="0" xfId="0" applyNumberFormat="1" applyFont="1" applyFill="1" applyBorder="1" applyAlignment="1"/>
    <xf numFmtId="171" fontId="82" fillId="27" borderId="18" xfId="394" applyNumberFormat="1" applyFont="1" applyFill="1" applyBorder="1" applyAlignment="1"/>
    <xf numFmtId="171" fontId="82" fillId="27" borderId="11" xfId="0" applyNumberFormat="1" applyFont="1" applyFill="1" applyBorder="1" applyAlignment="1"/>
    <xf numFmtId="167" fontId="83" fillId="0" borderId="18" xfId="394" applyNumberFormat="1" applyFont="1" applyFill="1" applyBorder="1" applyAlignment="1">
      <alignment horizontal="center"/>
    </xf>
    <xf numFmtId="167" fontId="83" fillId="0" borderId="11" xfId="394" applyNumberFormat="1" applyFont="1" applyFill="1" applyBorder="1" applyAlignment="1">
      <alignment horizontal="center"/>
    </xf>
    <xf numFmtId="167" fontId="82" fillId="0" borderId="11" xfId="394" applyNumberFormat="1" applyFont="1" applyFill="1" applyBorder="1" applyAlignment="1">
      <alignment horizontal="center"/>
    </xf>
    <xf numFmtId="43" fontId="82" fillId="27" borderId="17" xfId="394" applyNumberFormat="1" applyFont="1" applyFill="1" applyBorder="1" applyAlignment="1">
      <alignment horizontal="center" vertical="center" wrapText="1"/>
    </xf>
    <xf numFmtId="167" fontId="82" fillId="27" borderId="17" xfId="394" applyNumberFormat="1" applyFont="1" applyFill="1" applyBorder="1" applyAlignment="1">
      <alignment horizontal="center" vertical="center"/>
    </xf>
    <xf numFmtId="167" fontId="82" fillId="27" borderId="19" xfId="394" applyNumberFormat="1" applyFont="1" applyFill="1" applyBorder="1" applyAlignment="1">
      <alignment horizontal="center" vertical="center"/>
    </xf>
    <xf numFmtId="167" fontId="82" fillId="27" borderId="14" xfId="394" applyNumberFormat="1" applyFont="1" applyFill="1" applyBorder="1" applyAlignment="1">
      <alignment horizontal="center" vertical="center"/>
    </xf>
    <xf numFmtId="10" fontId="82" fillId="27" borderId="17" xfId="324" applyNumberFormat="1" applyFont="1" applyFill="1" applyBorder="1" applyAlignment="1">
      <alignment horizontal="right"/>
    </xf>
    <xf numFmtId="49" fontId="104" fillId="27" borderId="19" xfId="0" applyNumberFormat="1" applyFont="1" applyFill="1" applyBorder="1" applyAlignment="1">
      <alignment horizontal="left" vertical="center"/>
    </xf>
    <xf numFmtId="49" fontId="104" fillId="27" borderId="14" xfId="0" applyNumberFormat="1" applyFont="1" applyFill="1" applyBorder="1" applyAlignment="1">
      <alignment horizontal="left" vertical="center"/>
    </xf>
    <xf numFmtId="3" fontId="95" fillId="27" borderId="0" xfId="325" applyNumberFormat="1" applyFont="1" applyFill="1" applyBorder="1" applyAlignment="1">
      <alignment horizontal="center"/>
    </xf>
    <xf numFmtId="3" fontId="104" fillId="27" borderId="0" xfId="0" applyNumberFormat="1" applyFont="1" applyFill="1" applyBorder="1" applyAlignment="1">
      <alignment horizontal="center"/>
    </xf>
    <xf numFmtId="10" fontId="104" fillId="27" borderId="26" xfId="0" applyNumberFormat="1" applyFont="1" applyFill="1" applyBorder="1" applyAlignment="1">
      <alignment horizontal="center"/>
    </xf>
    <xf numFmtId="3" fontId="95" fillId="27" borderId="11" xfId="325" applyNumberFormat="1" applyFont="1" applyFill="1" applyBorder="1" applyAlignment="1">
      <alignment horizontal="center"/>
    </xf>
    <xf numFmtId="3" fontId="104" fillId="27" borderId="11" xfId="0" applyNumberFormat="1" applyFont="1" applyFill="1" applyBorder="1" applyAlignment="1">
      <alignment horizontal="center"/>
    </xf>
    <xf numFmtId="10" fontId="104" fillId="27" borderId="22" xfId="0" applyNumberFormat="1" applyFont="1" applyFill="1" applyBorder="1" applyAlignment="1">
      <alignment horizontal="center"/>
    </xf>
    <xf numFmtId="0" fontId="66" fillId="0" borderId="13" xfId="744" applyFont="1" applyFill="1" applyBorder="1" applyAlignment="1">
      <alignment horizontal="center" vertical="center"/>
    </xf>
    <xf numFmtId="43" fontId="66" fillId="0" borderId="23" xfId="323" applyFont="1" applyFill="1" applyBorder="1" applyAlignment="1">
      <alignment vertical="center"/>
    </xf>
    <xf numFmtId="43" fontId="66" fillId="0" borderId="13" xfId="323" applyFont="1" applyFill="1" applyBorder="1" applyAlignment="1">
      <alignment vertical="center"/>
    </xf>
    <xf numFmtId="167" fontId="62" fillId="36" borderId="0" xfId="0" applyNumberFormat="1" applyFont="1" applyFill="1" applyBorder="1" applyAlignment="1">
      <alignment horizontal="center" vertical="center"/>
    </xf>
    <xf numFmtId="43" fontId="69" fillId="27" borderId="17" xfId="0" applyNumberFormat="1" applyFont="1" applyFill="1" applyBorder="1" applyAlignment="1">
      <alignment horizontal="center" vertical="center"/>
    </xf>
    <xf numFmtId="43" fontId="53" fillId="27" borderId="12" xfId="336" applyNumberFormat="1" applyFont="1" applyFill="1" applyBorder="1"/>
    <xf numFmtId="190" fontId="69" fillId="27" borderId="17" xfId="336" applyNumberFormat="1" applyFont="1" applyFill="1" applyBorder="1"/>
    <xf numFmtId="43" fontId="53" fillId="27" borderId="11" xfId="336" applyNumberFormat="1" applyFont="1" applyFill="1" applyBorder="1"/>
    <xf numFmtId="190" fontId="69" fillId="27" borderId="14" xfId="336" applyNumberFormat="1" applyFont="1" applyFill="1" applyBorder="1"/>
    <xf numFmtId="43" fontId="53" fillId="27" borderId="21" xfId="323" applyNumberFormat="1" applyFont="1" applyFill="1" applyBorder="1" applyAlignment="1"/>
    <xf numFmtId="10" fontId="69" fillId="27" borderId="0" xfId="446" applyNumberFormat="1" applyFont="1" applyFill="1" applyBorder="1" applyAlignment="1"/>
    <xf numFmtId="43" fontId="53" fillId="27" borderId="12" xfId="323" applyNumberFormat="1" applyFont="1" applyFill="1" applyBorder="1" applyAlignment="1"/>
    <xf numFmtId="10" fontId="69" fillId="27" borderId="27" xfId="446" applyNumberFormat="1" applyFont="1" applyFill="1" applyBorder="1" applyAlignment="1"/>
    <xf numFmtId="43" fontId="53" fillId="27" borderId="20" xfId="323" applyNumberFormat="1" applyFont="1" applyFill="1" applyBorder="1" applyAlignment="1"/>
    <xf numFmtId="43" fontId="53" fillId="27" borderId="0" xfId="323" applyNumberFormat="1" applyFont="1" applyFill="1" applyBorder="1" applyAlignment="1"/>
    <xf numFmtId="10" fontId="69" fillId="27" borderId="26" xfId="446" applyNumberFormat="1" applyFont="1" applyFill="1" applyBorder="1" applyAlignment="1"/>
    <xf numFmtId="43" fontId="53" fillId="27" borderId="18" xfId="323" applyNumberFormat="1" applyFont="1" applyFill="1" applyBorder="1" applyAlignment="1"/>
    <xf numFmtId="174" fontId="0" fillId="27" borderId="11" xfId="0" applyFill="1" applyBorder="1" applyAlignment="1"/>
    <xf numFmtId="43" fontId="53" fillId="27" borderId="11" xfId="323" applyNumberFormat="1" applyFont="1" applyFill="1" applyBorder="1" applyAlignment="1"/>
    <xf numFmtId="10" fontId="69" fillId="27" borderId="22" xfId="446" applyNumberFormat="1" applyFont="1" applyFill="1" applyBorder="1" applyAlignment="1"/>
    <xf numFmtId="0" fontId="69" fillId="27" borderId="14" xfId="0" applyNumberFormat="1" applyFont="1" applyFill="1" applyBorder="1" applyAlignment="1">
      <alignment horizontal="center"/>
    </xf>
    <xf numFmtId="43" fontId="53" fillId="27" borderId="11" xfId="0" applyNumberFormat="1" applyFont="1" applyFill="1" applyBorder="1" applyAlignment="1">
      <alignment horizontal="right"/>
    </xf>
    <xf numFmtId="10" fontId="69" fillId="27" borderId="11" xfId="0" applyNumberFormat="1" applyFont="1" applyFill="1" applyBorder="1" applyAlignment="1">
      <alignment horizontal="right" vertical="center"/>
    </xf>
    <xf numFmtId="43" fontId="53" fillId="27" borderId="11" xfId="0" applyNumberFormat="1" applyFont="1" applyFill="1" applyBorder="1" applyAlignment="1">
      <alignment horizontal="right" vertical="center"/>
    </xf>
    <xf numFmtId="10" fontId="69" fillId="0" borderId="11" xfId="0" applyNumberFormat="1" applyFont="1" applyFill="1" applyBorder="1" applyAlignment="1">
      <alignment horizontal="right" vertical="center"/>
    </xf>
    <xf numFmtId="43" fontId="69" fillId="27" borderId="14" xfId="0" applyNumberFormat="1" applyFont="1" applyFill="1" applyBorder="1" applyAlignment="1">
      <alignment vertical="center"/>
    </xf>
    <xf numFmtId="167" fontId="69" fillId="27" borderId="22" xfId="0" applyNumberFormat="1" applyFont="1" applyFill="1" applyBorder="1" applyAlignment="1">
      <alignment vertical="center" wrapText="1"/>
    </xf>
    <xf numFmtId="167" fontId="69" fillId="27" borderId="15" xfId="0" applyNumberFormat="1" applyFont="1" applyFill="1" applyBorder="1" applyAlignment="1">
      <alignment vertical="center" wrapText="1"/>
    </xf>
    <xf numFmtId="167" fontId="69" fillId="27" borderId="16" xfId="0" applyNumberFormat="1" applyFont="1" applyFill="1" applyBorder="1" applyAlignment="1">
      <alignment vertical="center" wrapText="1"/>
    </xf>
    <xf numFmtId="167" fontId="69" fillId="31" borderId="19" xfId="0" applyNumberFormat="1" applyFont="1" applyFill="1" applyBorder="1" applyAlignment="1">
      <alignment horizontal="center" vertical="center" wrapText="1"/>
    </xf>
    <xf numFmtId="167" fontId="69" fillId="27" borderId="13" xfId="0" applyNumberFormat="1" applyFont="1" applyFill="1" applyBorder="1" applyAlignment="1">
      <alignment horizontal="center" wrapText="1"/>
    </xf>
    <xf numFmtId="167" fontId="68" fillId="27" borderId="19" xfId="323" applyNumberFormat="1" applyFont="1" applyFill="1" applyBorder="1" applyAlignment="1">
      <alignment horizontal="right"/>
    </xf>
    <xf numFmtId="167" fontId="69" fillId="27" borderId="19" xfId="323" applyNumberFormat="1" applyFont="1" applyFill="1" applyBorder="1" applyAlignment="1">
      <alignment horizontal="right"/>
    </xf>
    <xf numFmtId="174" fontId="0" fillId="0" borderId="0" xfId="0" applyAlignment="1">
      <alignment horizontal="center"/>
    </xf>
    <xf numFmtId="174" fontId="82" fillId="27" borderId="23" xfId="0" applyFont="1" applyFill="1" applyBorder="1" applyAlignment="1">
      <alignment horizontal="center" vertical="center" wrapText="1"/>
    </xf>
    <xf numFmtId="49" fontId="68" fillId="27" borderId="17" xfId="0" applyNumberFormat="1" applyFont="1" applyFill="1" applyBorder="1" applyAlignment="1">
      <alignment horizontal="left"/>
    </xf>
    <xf numFmtId="49" fontId="68" fillId="27" borderId="19" xfId="0" applyNumberFormat="1" applyFont="1" applyFill="1" applyBorder="1" applyAlignment="1">
      <alignment horizontal="left"/>
    </xf>
    <xf numFmtId="49" fontId="68" fillId="27" borderId="14" xfId="0" applyNumberFormat="1" applyFont="1" applyFill="1" applyBorder="1" applyAlignment="1">
      <alignment horizontal="left"/>
    </xf>
    <xf numFmtId="49" fontId="68" fillId="27" borderId="13" xfId="0" applyNumberFormat="1" applyFont="1" applyFill="1" applyBorder="1" applyAlignment="1">
      <alignment horizontal="left" vertical="center" wrapText="1"/>
    </xf>
    <xf numFmtId="49" fontId="52" fillId="27" borderId="15" xfId="0" applyNumberFormat="1" applyFont="1" applyFill="1" applyBorder="1" applyAlignment="1">
      <alignment horizontal="center" vertical="center" wrapText="1"/>
    </xf>
    <xf numFmtId="171" fontId="52" fillId="27" borderId="20" xfId="0" applyNumberFormat="1" applyFont="1" applyFill="1" applyBorder="1" applyAlignment="1">
      <alignment vertical="center"/>
    </xf>
    <xf numFmtId="171" fontId="52" fillId="27" borderId="15" xfId="0" applyNumberFormat="1" applyFont="1" applyFill="1" applyBorder="1" applyAlignment="1">
      <alignment horizontal="right" wrapText="1"/>
    </xf>
    <xf numFmtId="167" fontId="52" fillId="27" borderId="19" xfId="0" applyNumberFormat="1" applyFont="1" applyFill="1" applyBorder="1" applyAlignment="1">
      <alignment horizontal="center" vertical="center" wrapText="1"/>
    </xf>
    <xf numFmtId="167" fontId="52" fillId="27" borderId="13" xfId="0" applyNumberFormat="1" applyFont="1" applyFill="1" applyBorder="1" applyAlignment="1">
      <alignment horizontal="center" wrapText="1"/>
    </xf>
    <xf numFmtId="49" fontId="68" fillId="0" borderId="23" xfId="0" applyNumberFormat="1" applyFont="1" applyFill="1" applyBorder="1" applyAlignment="1">
      <alignment vertical="center" wrapText="1"/>
    </xf>
    <xf numFmtId="49" fontId="68" fillId="0" borderId="15" xfId="0" applyNumberFormat="1" applyFont="1" applyFill="1" applyBorder="1" applyAlignment="1">
      <alignment vertical="center" wrapText="1"/>
    </xf>
    <xf numFmtId="49" fontId="68" fillId="0" borderId="16" xfId="0" applyNumberFormat="1" applyFont="1" applyFill="1" applyBorder="1" applyAlignment="1">
      <alignment vertical="center" wrapText="1"/>
    </xf>
    <xf numFmtId="0" fontId="61" fillId="0" borderId="0" xfId="323" applyNumberFormat="1" applyFont="1" applyFill="1" applyBorder="1" applyAlignment="1"/>
    <xf numFmtId="167" fontId="61" fillId="0" borderId="0" xfId="323" applyNumberFormat="1" applyFont="1" applyFill="1" applyBorder="1" applyAlignment="1"/>
    <xf numFmtId="167" fontId="68" fillId="0" borderId="19" xfId="0" applyNumberFormat="1" applyFont="1" applyFill="1" applyBorder="1" applyAlignment="1">
      <alignment wrapText="1"/>
    </xf>
    <xf numFmtId="171" fontId="68" fillId="0" borderId="20" xfId="0" applyNumberFormat="1" applyFont="1" applyFill="1" applyBorder="1" applyAlignment="1"/>
    <xf numFmtId="171" fontId="68" fillId="0" borderId="26" xfId="0" applyNumberFormat="1" applyFont="1" applyFill="1" applyBorder="1" applyAlignment="1"/>
    <xf numFmtId="167" fontId="68" fillId="0" borderId="23" xfId="0" applyNumberFormat="1" applyFont="1" applyFill="1" applyBorder="1" applyAlignment="1">
      <alignment wrapText="1"/>
    </xf>
    <xf numFmtId="167" fontId="68" fillId="0" borderId="13" xfId="0" applyNumberFormat="1" applyFont="1" applyFill="1" applyBorder="1" applyAlignment="1">
      <alignment wrapText="1"/>
    </xf>
    <xf numFmtId="171" fontId="68" fillId="0" borderId="15" xfId="0" applyNumberFormat="1" applyFont="1" applyFill="1" applyBorder="1" applyAlignment="1">
      <alignment wrapText="1"/>
    </xf>
    <xf numFmtId="171" fontId="68" fillId="0" borderId="16" xfId="0" applyNumberFormat="1" applyFont="1" applyFill="1" applyBorder="1" applyAlignment="1">
      <alignment wrapText="1"/>
    </xf>
    <xf numFmtId="10" fontId="68" fillId="27" borderId="20" xfId="323" applyNumberFormat="1" applyFont="1" applyFill="1" applyBorder="1" applyAlignment="1">
      <alignment horizontal="right" vertical="center"/>
    </xf>
    <xf numFmtId="10" fontId="68" fillId="27" borderId="15" xfId="0" applyNumberFormat="1" applyFont="1" applyFill="1" applyBorder="1" applyAlignment="1">
      <alignment vertical="center"/>
    </xf>
    <xf numFmtId="167" fontId="68" fillId="27" borderId="13" xfId="0" applyNumberFormat="1" applyFont="1" applyFill="1" applyBorder="1" applyAlignment="1">
      <alignment horizontal="center" vertical="center" wrapText="1"/>
    </xf>
    <xf numFmtId="167" fontId="68" fillId="27" borderId="19" xfId="323" applyNumberFormat="1" applyFont="1" applyFill="1" applyBorder="1" applyAlignment="1">
      <alignment horizontal="right" vertical="center"/>
    </xf>
    <xf numFmtId="167" fontId="69" fillId="27" borderId="19" xfId="323" applyNumberFormat="1" applyFont="1" applyFill="1" applyBorder="1" applyAlignment="1">
      <alignment horizontal="right" vertical="center"/>
    </xf>
    <xf numFmtId="167" fontId="68" fillId="27" borderId="19" xfId="323" applyNumberFormat="1" applyFont="1" applyFill="1" applyBorder="1" applyAlignment="1">
      <alignment horizontal="center" vertical="center"/>
    </xf>
    <xf numFmtId="167" fontId="69" fillId="27" borderId="19" xfId="323" applyNumberFormat="1" applyFont="1" applyFill="1" applyBorder="1" applyAlignment="1">
      <alignment horizontal="center" vertical="center"/>
    </xf>
    <xf numFmtId="167" fontId="64" fillId="27" borderId="17" xfId="323" applyNumberFormat="1" applyFont="1" applyFill="1" applyBorder="1" applyAlignment="1">
      <alignment horizontal="center" vertical="center"/>
    </xf>
    <xf numFmtId="174" fontId="82" fillId="0" borderId="16" xfId="388" applyNumberFormat="1" applyFont="1" applyFill="1" applyBorder="1" applyAlignment="1">
      <alignment horizontal="center" vertical="center" wrapText="1"/>
    </xf>
    <xf numFmtId="171" fontId="105" fillId="0" borderId="20" xfId="626" applyNumberFormat="1" applyFont="1" applyFill="1" applyBorder="1" applyAlignment="1">
      <alignment horizontal="center"/>
    </xf>
    <xf numFmtId="171" fontId="105" fillId="0" borderId="18" xfId="626" applyNumberFormat="1" applyFont="1" applyFill="1" applyBorder="1" applyAlignment="1">
      <alignment horizontal="center"/>
    </xf>
    <xf numFmtId="171" fontId="105" fillId="0" borderId="20" xfId="392" applyNumberFormat="1" applyFont="1" applyFill="1" applyBorder="1" applyAlignment="1">
      <alignment horizontal="center"/>
    </xf>
    <xf numFmtId="171" fontId="105" fillId="0" borderId="26" xfId="392" applyNumberFormat="1" applyFont="1" applyFill="1" applyBorder="1" applyAlignment="1">
      <alignment horizontal="center"/>
    </xf>
    <xf numFmtId="171" fontId="105" fillId="0" borderId="18" xfId="392" applyNumberFormat="1" applyFont="1" applyFill="1" applyBorder="1" applyAlignment="1">
      <alignment horizontal="center"/>
    </xf>
    <xf numFmtId="171" fontId="105" fillId="0" borderId="22" xfId="392" applyNumberFormat="1" applyFont="1" applyFill="1" applyBorder="1" applyAlignment="1">
      <alignment horizontal="center"/>
    </xf>
    <xf numFmtId="171" fontId="85" fillId="27" borderId="0" xfId="551" applyNumberFormat="1" applyFont="1" applyFill="1" applyBorder="1" applyAlignment="1" applyProtection="1">
      <alignment horizontal="right"/>
    </xf>
    <xf numFmtId="3" fontId="64" fillId="27" borderId="0" xfId="0" applyNumberFormat="1" applyFont="1" applyFill="1" applyBorder="1" applyAlignment="1" applyProtection="1">
      <alignment horizontal="right"/>
    </xf>
    <xf numFmtId="171" fontId="85" fillId="27" borderId="0" xfId="0" applyNumberFormat="1" applyFont="1" applyFill="1" applyBorder="1" applyAlignment="1">
      <alignment horizontal="right"/>
    </xf>
    <xf numFmtId="171" fontId="85" fillId="27" borderId="26" xfId="0" applyNumberFormat="1" applyFont="1" applyFill="1" applyBorder="1" applyAlignment="1">
      <alignment horizontal="right"/>
    </xf>
    <xf numFmtId="174" fontId="73" fillId="0" borderId="0" xfId="0" applyFont="1"/>
    <xf numFmtId="173" fontId="83" fillId="27" borderId="0" xfId="323" applyNumberFormat="1" applyFont="1" applyFill="1" applyBorder="1" applyAlignment="1">
      <alignment horizontal="center"/>
    </xf>
    <xf numFmtId="167" fontId="82" fillId="27" borderId="23" xfId="323" applyNumberFormat="1" applyFont="1" applyFill="1" applyBorder="1" applyAlignment="1"/>
    <xf numFmtId="10" fontId="82" fillId="27" borderId="16" xfId="0" applyNumberFormat="1" applyFont="1" applyFill="1" applyBorder="1" applyAlignment="1"/>
    <xf numFmtId="167" fontId="83" fillId="27" borderId="23" xfId="323" applyNumberFormat="1" applyFont="1" applyFill="1" applyBorder="1" applyAlignment="1"/>
    <xf numFmtId="167" fontId="83" fillId="27" borderId="0" xfId="323" applyNumberFormat="1" applyFont="1" applyFill="1" applyBorder="1" applyAlignment="1">
      <alignment vertical="center"/>
    </xf>
    <xf numFmtId="167" fontId="83" fillId="27" borderId="0" xfId="323" applyNumberFormat="1" applyFont="1" applyFill="1" applyBorder="1" applyAlignment="1">
      <alignment horizontal="center" vertical="center"/>
    </xf>
    <xf numFmtId="173" fontId="83" fillId="27" borderId="0" xfId="323" applyNumberFormat="1" applyFont="1" applyFill="1" applyBorder="1" applyAlignment="1">
      <alignment horizontal="center" vertical="center"/>
    </xf>
    <xf numFmtId="10" fontId="82" fillId="27" borderId="26" xfId="0" applyNumberFormat="1" applyFont="1" applyFill="1" applyBorder="1" applyAlignment="1">
      <alignment vertical="center"/>
    </xf>
    <xf numFmtId="2" fontId="0" fillId="0" borderId="0" xfId="551" applyNumberFormat="1" applyFont="1" applyBorder="1" applyAlignment="1">
      <alignment vertical="center"/>
    </xf>
    <xf numFmtId="174" fontId="52" fillId="27" borderId="15" xfId="0" applyNumberFormat="1" applyFont="1" applyFill="1" applyBorder="1" applyAlignment="1">
      <alignment horizontal="center" vertical="center"/>
    </xf>
    <xf numFmtId="171" fontId="47" fillId="0" borderId="0" xfId="1123" applyNumberFormat="1" applyAlignment="1">
      <alignment horizontal="left"/>
    </xf>
    <xf numFmtId="1" fontId="47" fillId="0" borderId="0" xfId="919" applyNumberFormat="1"/>
    <xf numFmtId="171" fontId="66" fillId="27" borderId="20" xfId="551" applyNumberFormat="1" applyFont="1" applyFill="1" applyBorder="1" applyAlignment="1"/>
    <xf numFmtId="171" fontId="66" fillId="27" borderId="26" xfId="551" applyNumberFormat="1" applyFont="1" applyFill="1" applyBorder="1" applyAlignment="1"/>
    <xf numFmtId="171" fontId="66" fillId="27" borderId="18" xfId="551" applyNumberFormat="1" applyFont="1" applyFill="1" applyBorder="1" applyAlignment="1"/>
    <xf numFmtId="171" fontId="66" fillId="27" borderId="22" xfId="551" applyNumberFormat="1" applyFont="1" applyFill="1" applyBorder="1" applyAlignment="1"/>
    <xf numFmtId="171" fontId="165" fillId="31" borderId="0" xfId="551" applyNumberFormat="1" applyFont="1" applyFill="1"/>
    <xf numFmtId="171" fontId="166" fillId="0" borderId="0" xfId="551" applyNumberFormat="1" applyFont="1"/>
    <xf numFmtId="182" fontId="114" fillId="0" borderId="0" xfId="0" applyNumberFormat="1" applyFont="1" applyBorder="1" applyAlignment="1">
      <alignment horizontal="left"/>
    </xf>
    <xf numFmtId="174" fontId="134" fillId="0" borderId="0" xfId="0" applyFont="1"/>
    <xf numFmtId="174" fontId="120" fillId="0" borderId="0" xfId="0" applyNumberFormat="1" applyFont="1"/>
    <xf numFmtId="174" fontId="74" fillId="0" borderId="0" xfId="0" applyFont="1" applyAlignment="1">
      <alignment horizontal="left"/>
    </xf>
    <xf numFmtId="174" fontId="73" fillId="0" borderId="0" xfId="0" applyFont="1" applyAlignment="1">
      <alignment horizontal="left"/>
    </xf>
    <xf numFmtId="174" fontId="74" fillId="0" borderId="0" xfId="0" applyNumberFormat="1" applyFont="1" applyAlignment="1">
      <alignment horizontal="left"/>
    </xf>
    <xf numFmtId="180" fontId="74" fillId="0" borderId="0" xfId="0" applyNumberFormat="1" applyFont="1" applyAlignment="1">
      <alignment horizontal="left"/>
    </xf>
    <xf numFmtId="3" fontId="82" fillId="27" borderId="20" xfId="328" applyNumberFormat="1" applyFont="1" applyFill="1" applyBorder="1" applyAlignment="1">
      <alignment horizontal="center"/>
    </xf>
    <xf numFmtId="2" fontId="82" fillId="27" borderId="26" xfId="328" applyNumberFormat="1" applyFont="1" applyFill="1" applyBorder="1" applyAlignment="1">
      <alignment horizontal="center"/>
    </xf>
    <xf numFmtId="10" fontId="83" fillId="0" borderId="0" xfId="0" applyNumberFormat="1" applyFont="1" applyFill="1" applyBorder="1" applyAlignment="1" applyProtection="1">
      <alignment horizontal="center"/>
    </xf>
    <xf numFmtId="174" fontId="67" fillId="0" borderId="0" xfId="0" applyNumberFormat="1" applyFont="1" applyBorder="1" applyAlignment="1">
      <alignment horizontal="center"/>
    </xf>
    <xf numFmtId="174" fontId="83" fillId="0" borderId="0" xfId="0" applyNumberFormat="1" applyFont="1" applyFill="1" applyBorder="1" applyAlignment="1" applyProtection="1">
      <alignment horizontal="center"/>
    </xf>
    <xf numFmtId="3" fontId="82" fillId="27" borderId="18" xfId="328" applyNumberFormat="1" applyFont="1" applyFill="1" applyBorder="1" applyAlignment="1">
      <alignment horizontal="center"/>
    </xf>
    <xf numFmtId="2" fontId="82" fillId="27" borderId="22" xfId="328" applyNumberFormat="1" applyFont="1" applyFill="1" applyBorder="1" applyAlignment="1">
      <alignment horizontal="center"/>
    </xf>
    <xf numFmtId="174" fontId="71" fillId="0" borderId="0" xfId="0" applyFont="1" applyFill="1" applyBorder="1" applyAlignment="1">
      <alignment horizontal="left" vertical="center" wrapText="1"/>
    </xf>
    <xf numFmtId="49" fontId="52" fillId="27" borderId="20" xfId="0" applyNumberFormat="1" applyFont="1" applyFill="1" applyBorder="1" applyAlignment="1">
      <alignment horizontal="left" vertical="center"/>
    </xf>
    <xf numFmtId="49" fontId="52" fillId="27" borderId="18" xfId="0" applyNumberFormat="1" applyFont="1" applyFill="1" applyBorder="1" applyAlignment="1">
      <alignment horizontal="left" vertical="center"/>
    </xf>
    <xf numFmtId="180" fontId="150" fillId="31" borderId="0" xfId="0" applyNumberFormat="1" applyFont="1" applyFill="1"/>
    <xf numFmtId="0" fontId="89" fillId="0" borderId="0" xfId="744" applyFont="1" applyFill="1" applyBorder="1" applyAlignment="1">
      <alignment horizontal="center" vertical="center" wrapText="1"/>
    </xf>
    <xf numFmtId="174" fontId="0" fillId="0" borderId="0" xfId="0" applyAlignment="1">
      <alignment horizontal="center"/>
    </xf>
    <xf numFmtId="171" fontId="82" fillId="27" borderId="23" xfId="0" applyNumberFormat="1" applyFont="1" applyFill="1" applyBorder="1" applyAlignment="1"/>
    <xf numFmtId="41" fontId="69" fillId="27" borderId="17" xfId="0" applyNumberFormat="1" applyFont="1" applyFill="1" applyBorder="1" applyAlignment="1">
      <alignment horizontal="center" vertical="center"/>
    </xf>
    <xf numFmtId="41" fontId="69" fillId="27" borderId="19" xfId="0" applyNumberFormat="1" applyFont="1" applyFill="1" applyBorder="1" applyAlignment="1">
      <alignment horizontal="center" vertical="center"/>
    </xf>
    <xf numFmtId="171" fontId="85" fillId="27" borderId="23" xfId="551" applyNumberFormat="1" applyFont="1" applyFill="1" applyBorder="1" applyAlignment="1">
      <alignment vertical="center"/>
    </xf>
    <xf numFmtId="167" fontId="85" fillId="27" borderId="23" xfId="0" applyNumberFormat="1" applyFont="1" applyFill="1" applyBorder="1" applyAlignment="1">
      <alignment vertical="center"/>
    </xf>
    <xf numFmtId="171" fontId="85" fillId="27" borderId="23" xfId="0" applyNumberFormat="1" applyFont="1" applyFill="1" applyBorder="1" applyAlignment="1"/>
    <xf numFmtId="171" fontId="85" fillId="27" borderId="16" xfId="0" applyNumberFormat="1" applyFont="1" applyFill="1" applyBorder="1" applyAlignment="1"/>
    <xf numFmtId="3" fontId="85" fillId="27" borderId="19" xfId="0" applyNumberFormat="1" applyFont="1" applyFill="1" applyBorder="1" applyAlignment="1" applyProtection="1">
      <alignment horizontal="right"/>
    </xf>
    <xf numFmtId="167" fontId="85" fillId="27" borderId="13" xfId="0" applyNumberFormat="1" applyFont="1" applyFill="1" applyBorder="1" applyAlignment="1">
      <alignment vertical="center"/>
    </xf>
    <xf numFmtId="17" fontId="69" fillId="27" borderId="13" xfId="323" applyNumberFormat="1" applyFont="1" applyFill="1" applyBorder="1" applyAlignment="1">
      <alignment horizontal="center" vertical="center"/>
    </xf>
    <xf numFmtId="0" fontId="68" fillId="27" borderId="0" xfId="323" applyNumberFormat="1" applyFont="1" applyFill="1" applyBorder="1" applyAlignment="1">
      <alignment vertical="center"/>
    </xf>
    <xf numFmtId="40" fontId="53" fillId="27" borderId="0" xfId="323" applyNumberFormat="1" applyFont="1" applyFill="1" applyBorder="1" applyAlignment="1">
      <alignment horizontal="center" vertical="center"/>
    </xf>
    <xf numFmtId="40" fontId="69" fillId="27" borderId="19" xfId="323" applyNumberFormat="1" applyFont="1" applyFill="1" applyBorder="1" applyAlignment="1">
      <alignment horizontal="center" vertical="center"/>
    </xf>
    <xf numFmtId="40" fontId="69" fillId="27" borderId="19" xfId="323" applyNumberFormat="1" applyFont="1" applyFill="1" applyBorder="1" applyAlignment="1">
      <alignment horizontal="center"/>
    </xf>
    <xf numFmtId="40" fontId="69" fillId="27" borderId="23" xfId="323" applyNumberFormat="1" applyFont="1" applyFill="1" applyBorder="1" applyAlignment="1">
      <alignment horizontal="center" vertical="center"/>
    </xf>
    <xf numFmtId="40" fontId="69" fillId="27" borderId="13" xfId="323" applyNumberFormat="1" applyFont="1" applyFill="1" applyBorder="1" applyAlignment="1">
      <alignment horizontal="center" vertical="center"/>
    </xf>
    <xf numFmtId="40" fontId="69" fillId="27" borderId="15" xfId="323" applyNumberFormat="1" applyFont="1" applyFill="1" applyBorder="1" applyAlignment="1">
      <alignment horizontal="center" vertical="center"/>
    </xf>
    <xf numFmtId="174" fontId="47" fillId="0" borderId="0" xfId="388" applyFont="1" applyBorder="1" applyAlignment="1">
      <alignment horizontal="center"/>
    </xf>
    <xf numFmtId="0" fontId="69" fillId="27" borderId="0" xfId="323" applyNumberFormat="1" applyFont="1" applyFill="1" applyBorder="1" applyAlignment="1">
      <alignment horizontal="center" vertical="center"/>
    </xf>
    <xf numFmtId="40" fontId="69" fillId="27" borderId="20" xfId="323" applyNumberFormat="1" applyFont="1" applyFill="1" applyBorder="1" applyAlignment="1">
      <alignment horizontal="center"/>
    </xf>
    <xf numFmtId="40" fontId="69" fillId="27" borderId="0" xfId="323" applyNumberFormat="1" applyFont="1" applyFill="1" applyBorder="1" applyAlignment="1">
      <alignment horizontal="center"/>
    </xf>
    <xf numFmtId="40" fontId="69" fillId="27" borderId="26" xfId="323" applyNumberFormat="1" applyFont="1" applyFill="1" applyBorder="1" applyAlignment="1">
      <alignment horizontal="center"/>
    </xf>
    <xf numFmtId="174" fontId="61" fillId="0" borderId="0" xfId="388" applyNumberFormat="1" applyFont="1" applyAlignment="1">
      <alignment horizontal="center"/>
    </xf>
    <xf numFmtId="171" fontId="0" fillId="0" borderId="0" xfId="0" applyNumberFormat="1" applyAlignment="1">
      <alignment horizontal="center"/>
    </xf>
    <xf numFmtId="38" fontId="53" fillId="27" borderId="0" xfId="323" applyNumberFormat="1" applyFont="1" applyFill="1" applyBorder="1" applyAlignment="1">
      <alignment horizontal="center" vertical="center" wrapText="1"/>
    </xf>
    <xf numFmtId="10" fontId="47" fillId="0" borderId="0" xfId="551" applyNumberFormat="1" applyFont="1" applyBorder="1" applyAlignment="1">
      <alignment horizontal="center"/>
    </xf>
    <xf numFmtId="43" fontId="61" fillId="0" borderId="0" xfId="323" applyFont="1" applyAlignment="1">
      <alignment horizontal="center"/>
    </xf>
    <xf numFmtId="171" fontId="0" fillId="0" borderId="0" xfId="551" applyNumberFormat="1" applyFont="1" applyAlignment="1">
      <alignment horizontal="center"/>
    </xf>
    <xf numFmtId="40" fontId="149" fillId="0" borderId="0" xfId="742" applyNumberFormat="1" applyFont="1"/>
    <xf numFmtId="2" fontId="149" fillId="0" borderId="0" xfId="743" applyNumberFormat="1" applyFont="1"/>
    <xf numFmtId="0" fontId="69" fillId="0" borderId="0" xfId="744" applyFont="1" applyFill="1" applyBorder="1" applyAlignment="1">
      <alignment horizontal="center" vertical="center"/>
    </xf>
    <xf numFmtId="10" fontId="66" fillId="0" borderId="0" xfId="551" applyNumberFormat="1" applyFont="1" applyFill="1" applyBorder="1"/>
    <xf numFmtId="171" fontId="53" fillId="27" borderId="0" xfId="551" applyNumberFormat="1" applyFont="1" applyFill="1" applyBorder="1" applyAlignment="1">
      <alignment horizontal="center" vertical="center" wrapText="1"/>
    </xf>
    <xf numFmtId="174" fontId="61" fillId="0" borderId="0" xfId="0" applyFont="1" applyAlignment="1">
      <alignment horizontal="center" vertical="center"/>
    </xf>
    <xf numFmtId="202" fontId="105" fillId="27" borderId="0" xfId="323" applyNumberFormat="1" applyFont="1" applyFill="1" applyBorder="1" applyAlignment="1">
      <alignment horizontal="center" vertical="center"/>
    </xf>
    <xf numFmtId="174" fontId="162" fillId="0" borderId="0" xfId="1117" quotePrefix="1" applyAlignment="1" applyProtection="1"/>
    <xf numFmtId="0" fontId="82" fillId="27" borderId="13" xfId="919" applyFont="1" applyFill="1" applyBorder="1" applyAlignment="1">
      <alignment horizontal="center" vertical="center"/>
    </xf>
    <xf numFmtId="0" fontId="82" fillId="27" borderId="23" xfId="919" applyFont="1" applyFill="1" applyBorder="1" applyAlignment="1">
      <alignment horizontal="center" vertical="center" wrapText="1"/>
    </xf>
    <xf numFmtId="0" fontId="82" fillId="27" borderId="13" xfId="919" applyFont="1" applyFill="1" applyBorder="1" applyAlignment="1">
      <alignment horizontal="center" vertical="center" wrapText="1"/>
    </xf>
    <xf numFmtId="0" fontId="82" fillId="27" borderId="19" xfId="919" applyFont="1" applyFill="1" applyBorder="1" applyAlignment="1">
      <alignment horizontal="left" vertical="center"/>
    </xf>
    <xf numFmtId="167" fontId="83" fillId="27" borderId="19" xfId="323" applyNumberFormat="1" applyFont="1" applyFill="1" applyBorder="1" applyAlignment="1"/>
    <xf numFmtId="171" fontId="83" fillId="27" borderId="19" xfId="551" applyNumberFormat="1" applyFont="1" applyFill="1" applyBorder="1" applyAlignment="1"/>
    <xf numFmtId="167" fontId="82" fillId="27" borderId="23" xfId="323" applyNumberFormat="1" applyFont="1" applyFill="1" applyBorder="1" applyAlignment="1">
      <alignment vertical="center"/>
    </xf>
    <xf numFmtId="167" fontId="82" fillId="27" borderId="13" xfId="323" applyNumberFormat="1" applyFont="1" applyFill="1" applyBorder="1" applyAlignment="1">
      <alignment vertical="center"/>
    </xf>
    <xf numFmtId="9" fontId="82" fillId="27" borderId="13" xfId="551" applyNumberFormat="1" applyFont="1" applyFill="1" applyBorder="1" applyAlignment="1">
      <alignment vertical="center"/>
    </xf>
    <xf numFmtId="0" fontId="61" fillId="0" borderId="0" xfId="919" applyFont="1"/>
    <xf numFmtId="167" fontId="61" fillId="27" borderId="0" xfId="323" applyNumberFormat="1" applyFont="1" applyFill="1" applyBorder="1" applyAlignment="1"/>
    <xf numFmtId="10" fontId="68" fillId="27" borderId="19" xfId="323" applyNumberFormat="1" applyFont="1" applyFill="1" applyBorder="1" applyAlignment="1"/>
    <xf numFmtId="167" fontId="68" fillId="27" borderId="23" xfId="0" applyNumberFormat="1" applyFont="1" applyFill="1" applyBorder="1" applyAlignment="1">
      <alignment vertical="center" wrapText="1"/>
    </xf>
    <xf numFmtId="10" fontId="68" fillId="27" borderId="13" xfId="0" applyNumberFormat="1" applyFont="1" applyFill="1" applyBorder="1" applyAlignment="1">
      <alignment vertical="center" wrapText="1"/>
    </xf>
    <xf numFmtId="174" fontId="0" fillId="0" borderId="0" xfId="0" applyBorder="1" applyAlignment="1">
      <alignment horizontal="center"/>
    </xf>
    <xf numFmtId="174" fontId="83" fillId="0" borderId="0" xfId="0" applyFont="1" applyFill="1" applyBorder="1" applyAlignment="1">
      <alignment horizontal="left" vertical="center" wrapText="1"/>
    </xf>
    <xf numFmtId="174" fontId="64" fillId="27" borderId="12" xfId="0" applyNumberFormat="1" applyFont="1" applyFill="1" applyBorder="1" applyAlignment="1">
      <alignment horizontal="left" vertical="center" wrapText="1"/>
    </xf>
    <xf numFmtId="174" fontId="60" fillId="27" borderId="0" xfId="0" applyNumberFormat="1" applyFont="1" applyFill="1" applyBorder="1" applyAlignment="1" applyProtection="1">
      <alignment horizontal="center" vertical="center" wrapText="1"/>
    </xf>
    <xf numFmtId="174" fontId="74" fillId="0" borderId="0" xfId="0" applyNumberFormat="1" applyFont="1" applyBorder="1" applyAlignment="1">
      <alignment horizontal="left" vertical="top" wrapText="1"/>
    </xf>
    <xf numFmtId="174" fontId="94" fillId="27" borderId="0" xfId="0" applyFont="1" applyFill="1" applyBorder="1" applyAlignment="1">
      <alignment horizontal="center" vertical="center" wrapText="1"/>
    </xf>
    <xf numFmtId="174" fontId="67" fillId="0" borderId="12" xfId="0" applyNumberFormat="1" applyFont="1" applyBorder="1" applyAlignment="1">
      <alignment horizontal="left" vertical="top" wrapText="1"/>
    </xf>
    <xf numFmtId="174" fontId="88" fillId="0" borderId="0" xfId="0" applyFont="1" applyAlignment="1">
      <alignment horizontal="justify" vertical="justify" wrapText="1"/>
    </xf>
    <xf numFmtId="174" fontId="67" fillId="0" borderId="0" xfId="0" applyNumberFormat="1" applyFont="1" applyBorder="1" applyAlignment="1">
      <alignment horizontal="left"/>
    </xf>
    <xf numFmtId="174" fontId="71" fillId="27" borderId="0" xfId="0" applyFont="1" applyFill="1" applyBorder="1" applyAlignment="1">
      <alignment horizontal="center" vertical="center" wrapText="1"/>
    </xf>
    <xf numFmtId="174" fontId="71" fillId="0" borderId="0" xfId="0" applyFont="1" applyFill="1" applyBorder="1" applyAlignment="1">
      <alignment horizontal="center" vertical="center" wrapText="1"/>
    </xf>
    <xf numFmtId="174" fontId="74" fillId="0" borderId="0" xfId="0" applyNumberFormat="1" applyFont="1" applyBorder="1" applyAlignment="1">
      <alignment horizontal="left"/>
    </xf>
    <xf numFmtId="174" fontId="74" fillId="0" borderId="0" xfId="0" applyNumberFormat="1" applyFont="1" applyBorder="1" applyAlignment="1">
      <alignment horizontal="left" wrapText="1" indent="1"/>
    </xf>
    <xf numFmtId="174" fontId="85" fillId="0" borderId="15" xfId="0" applyNumberFormat="1" applyFont="1" applyFill="1" applyBorder="1" applyAlignment="1">
      <alignment horizontal="center" vertical="center"/>
    </xf>
    <xf numFmtId="174" fontId="85" fillId="0" borderId="23" xfId="0" applyNumberFormat="1" applyFont="1" applyFill="1" applyBorder="1" applyAlignment="1">
      <alignment horizontal="center" vertical="center"/>
    </xf>
    <xf numFmtId="174" fontId="85" fillId="0" borderId="16" xfId="0" applyNumberFormat="1" applyFont="1" applyFill="1" applyBorder="1" applyAlignment="1">
      <alignment horizontal="center" vertical="center"/>
    </xf>
    <xf numFmtId="174" fontId="73" fillId="0" borderId="23" xfId="0" applyFont="1" applyBorder="1" applyAlignment="1">
      <alignment horizontal="center" vertical="center"/>
    </xf>
    <xf numFmtId="174" fontId="73" fillId="0" borderId="16" xfId="0" applyFont="1" applyBorder="1" applyAlignment="1">
      <alignment horizontal="center" vertical="center"/>
    </xf>
    <xf numFmtId="174" fontId="54" fillId="0" borderId="0" xfId="0" applyFont="1" applyFill="1" applyBorder="1" applyAlignment="1">
      <alignment horizontal="center" vertical="center" wrapText="1"/>
    </xf>
    <xf numFmtId="174" fontId="120" fillId="0" borderId="0" xfId="0" applyFont="1" applyBorder="1" applyAlignment="1">
      <alignment horizontal="left" vertical="center" wrapText="1"/>
    </xf>
    <xf numFmtId="174" fontId="85" fillId="0" borderId="13" xfId="388" applyFont="1" applyFill="1" applyBorder="1" applyAlignment="1">
      <alignment horizontal="center" vertical="center" wrapText="1"/>
    </xf>
    <xf numFmtId="174" fontId="87" fillId="27" borderId="0" xfId="0" applyFont="1" applyFill="1" applyBorder="1" applyAlignment="1">
      <alignment horizontal="center" vertical="center" wrapText="1"/>
    </xf>
    <xf numFmtId="174" fontId="87" fillId="27" borderId="13" xfId="0" applyFont="1" applyFill="1" applyBorder="1" applyAlignment="1">
      <alignment horizontal="center" vertical="center" wrapText="1"/>
    </xf>
    <xf numFmtId="174" fontId="61" fillId="0" borderId="0" xfId="0" applyNumberFormat="1" applyFont="1" applyBorder="1" applyAlignment="1">
      <alignment horizontal="left" vertical="center"/>
    </xf>
    <xf numFmtId="174" fontId="67" fillId="0" borderId="0" xfId="0" applyNumberFormat="1" applyFont="1" applyBorder="1" applyAlignment="1">
      <alignment horizontal="left" vertical="center"/>
    </xf>
    <xf numFmtId="174" fontId="64" fillId="0" borderId="0" xfId="0" applyNumberFormat="1" applyFont="1" applyBorder="1" applyAlignment="1">
      <alignment horizontal="left" vertical="top"/>
    </xf>
    <xf numFmtId="174" fontId="69" fillId="27" borderId="27" xfId="0" applyNumberFormat="1" applyFont="1" applyFill="1" applyBorder="1" applyAlignment="1">
      <alignment horizontal="center" vertical="center" wrapText="1"/>
    </xf>
    <xf numFmtId="174" fontId="69" fillId="27" borderId="22" xfId="0" applyNumberFormat="1" applyFont="1" applyFill="1" applyBorder="1" applyAlignment="1">
      <alignment horizontal="center" vertical="center" wrapText="1"/>
    </xf>
    <xf numFmtId="174" fontId="56" fillId="0" borderId="15" xfId="0" applyFont="1" applyFill="1" applyBorder="1" applyAlignment="1">
      <alignment horizontal="center" vertical="center" wrapText="1"/>
    </xf>
    <xf numFmtId="174" fontId="56" fillId="0" borderId="23" xfId="0" applyFont="1" applyFill="1" applyBorder="1" applyAlignment="1">
      <alignment horizontal="center" vertical="center" wrapText="1"/>
    </xf>
    <xf numFmtId="174" fontId="69" fillId="27" borderId="17" xfId="0" applyNumberFormat="1" applyFont="1" applyFill="1" applyBorder="1" applyAlignment="1">
      <alignment horizontal="center" vertical="center" wrapText="1"/>
    </xf>
    <xf numFmtId="174" fontId="69" fillId="27" borderId="14" xfId="0" applyNumberFormat="1" applyFont="1" applyFill="1" applyBorder="1" applyAlignment="1">
      <alignment horizontal="center" vertical="center" wrapText="1"/>
    </xf>
    <xf numFmtId="17" fontId="69" fillId="27" borderId="17" xfId="0" applyNumberFormat="1" applyFont="1" applyFill="1" applyBorder="1" applyAlignment="1">
      <alignment horizontal="center" vertical="center"/>
    </xf>
    <xf numFmtId="17" fontId="69" fillId="27" borderId="14" xfId="0" applyNumberFormat="1" applyFont="1" applyFill="1" applyBorder="1" applyAlignment="1">
      <alignment horizontal="center" vertical="center"/>
    </xf>
    <xf numFmtId="174" fontId="86" fillId="27" borderId="13" xfId="0" applyFont="1" applyFill="1" applyBorder="1" applyAlignment="1">
      <alignment horizontal="center" vertical="center" wrapText="1"/>
    </xf>
    <xf numFmtId="174" fontId="0" fillId="0" borderId="12" xfId="0" applyBorder="1" applyAlignment="1">
      <alignment horizontal="left" vertical="center"/>
    </xf>
    <xf numFmtId="174" fontId="79" fillId="27" borderId="0" xfId="0" applyFont="1" applyFill="1" applyBorder="1" applyAlignment="1">
      <alignment horizontal="center" vertical="center" wrapText="1"/>
    </xf>
    <xf numFmtId="49" fontId="66" fillId="27" borderId="12" xfId="394" applyNumberFormat="1" applyFont="1" applyFill="1" applyBorder="1" applyAlignment="1">
      <alignment horizontal="left"/>
    </xf>
    <xf numFmtId="174" fontId="82" fillId="0" borderId="15" xfId="0" applyFont="1" applyFill="1" applyBorder="1" applyAlignment="1">
      <alignment horizontal="center" vertical="center" wrapText="1"/>
    </xf>
    <xf numFmtId="174" fontId="82" fillId="0" borderId="23" xfId="0" applyFont="1" applyFill="1" applyBorder="1" applyAlignment="1">
      <alignment horizontal="center" vertical="center" wrapText="1"/>
    </xf>
    <xf numFmtId="174" fontId="82" fillId="27" borderId="17" xfId="0" applyNumberFormat="1" applyFont="1" applyFill="1" applyBorder="1" applyAlignment="1">
      <alignment horizontal="center" vertical="center" wrapText="1"/>
    </xf>
    <xf numFmtId="174" fontId="82" fillId="27" borderId="14" xfId="0" applyNumberFormat="1" applyFont="1" applyFill="1" applyBorder="1" applyAlignment="1">
      <alignment horizontal="center" vertical="center" wrapText="1"/>
    </xf>
    <xf numFmtId="174" fontId="82" fillId="27" borderId="27" xfId="0" applyNumberFormat="1" applyFont="1" applyFill="1" applyBorder="1" applyAlignment="1">
      <alignment horizontal="center" vertical="center" wrapText="1"/>
    </xf>
    <xf numFmtId="174" fontId="82" fillId="27" borderId="22" xfId="0" applyNumberFormat="1" applyFont="1" applyFill="1" applyBorder="1" applyAlignment="1">
      <alignment horizontal="center" vertical="center" wrapText="1"/>
    </xf>
    <xf numFmtId="17" fontId="82" fillId="27" borderId="17" xfId="0" applyNumberFormat="1" applyFont="1" applyFill="1" applyBorder="1" applyAlignment="1">
      <alignment horizontal="center" vertical="center"/>
    </xf>
    <xf numFmtId="17" fontId="82" fillId="27" borderId="14" xfId="0" applyNumberFormat="1" applyFont="1" applyFill="1" applyBorder="1" applyAlignment="1">
      <alignment horizontal="center" vertical="center"/>
    </xf>
    <xf numFmtId="174" fontId="86" fillId="27" borderId="0" xfId="0" applyFont="1" applyFill="1" applyBorder="1" applyAlignment="1">
      <alignment horizontal="center" vertical="center" wrapText="1"/>
    </xf>
    <xf numFmtId="174" fontId="67" fillId="0" borderId="0" xfId="0" applyFont="1" applyBorder="1" applyAlignment="1">
      <alignment horizontal="left" vertical="top" wrapText="1"/>
    </xf>
    <xf numFmtId="43" fontId="67" fillId="0" borderId="12" xfId="0" applyNumberFormat="1" applyFont="1" applyFill="1" applyBorder="1" applyAlignment="1">
      <alignment vertical="top" wrapText="1"/>
    </xf>
    <xf numFmtId="174" fontId="93" fillId="27" borderId="0" xfId="0" applyFont="1" applyFill="1" applyBorder="1" applyAlignment="1">
      <alignment horizontal="center" vertical="center" wrapText="1"/>
    </xf>
    <xf numFmtId="17" fontId="69" fillId="0" borderId="21" xfId="394" applyNumberFormat="1" applyFont="1" applyFill="1" applyBorder="1" applyAlignment="1">
      <alignment horizontal="left"/>
    </xf>
    <xf numFmtId="17" fontId="69" fillId="0" borderId="12" xfId="394" applyNumberFormat="1" applyFont="1" applyFill="1" applyBorder="1" applyAlignment="1">
      <alignment horizontal="left"/>
    </xf>
    <xf numFmtId="17" fontId="69" fillId="0" borderId="0" xfId="394" applyNumberFormat="1" applyFont="1" applyFill="1" applyBorder="1" applyAlignment="1">
      <alignment horizontal="left"/>
    </xf>
    <xf numFmtId="174" fontId="60" fillId="27" borderId="0" xfId="0" applyFont="1" applyFill="1" applyBorder="1" applyAlignment="1">
      <alignment horizontal="center" vertical="center" wrapText="1"/>
    </xf>
    <xf numFmtId="174" fontId="53" fillId="27" borderId="0" xfId="0" applyFont="1" applyFill="1" applyBorder="1" applyAlignment="1">
      <alignment horizontal="left" vertical="center" wrapText="1"/>
    </xf>
    <xf numFmtId="174" fontId="89" fillId="27" borderId="0" xfId="0" applyFont="1" applyFill="1" applyBorder="1" applyAlignment="1">
      <alignment horizontal="center" vertical="center" wrapText="1"/>
    </xf>
    <xf numFmtId="174" fontId="54" fillId="27" borderId="0" xfId="0" applyFont="1" applyFill="1" applyBorder="1" applyAlignment="1">
      <alignment horizontal="center" vertical="top" wrapText="1"/>
    </xf>
    <xf numFmtId="174" fontId="64" fillId="27" borderId="0" xfId="0" applyFont="1" applyFill="1" applyBorder="1" applyAlignment="1">
      <alignment horizontal="left" vertical="center" wrapText="1"/>
    </xf>
    <xf numFmtId="174" fontId="86" fillId="27" borderId="0" xfId="0" applyFont="1" applyFill="1" applyBorder="1" applyAlignment="1">
      <alignment horizontal="center" vertical="top" wrapText="1"/>
    </xf>
    <xf numFmtId="174" fontId="82" fillId="27" borderId="15" xfId="0" applyFont="1" applyFill="1" applyBorder="1" applyAlignment="1">
      <alignment horizontal="center" vertical="center" wrapText="1"/>
    </xf>
    <xf numFmtId="174" fontId="82" fillId="27" borderId="23" xfId="0" applyFont="1" applyFill="1" applyBorder="1" applyAlignment="1">
      <alignment horizontal="center" vertical="center" wrapText="1"/>
    </xf>
    <xf numFmtId="174" fontId="82" fillId="27" borderId="16" xfId="0" applyFont="1" applyFill="1" applyBorder="1" applyAlignment="1">
      <alignment horizontal="center" vertical="center" wrapText="1"/>
    </xf>
    <xf numFmtId="174" fontId="83" fillId="0" borderId="0" xfId="0" applyFont="1" applyBorder="1" applyAlignment="1">
      <alignment horizontal="left" vertical="center" wrapText="1"/>
    </xf>
    <xf numFmtId="174" fontId="83" fillId="0" borderId="0" xfId="0" applyFont="1" applyBorder="1" applyAlignment="1">
      <alignment horizontal="left" vertical="center"/>
    </xf>
    <xf numFmtId="0" fontId="86" fillId="27" borderId="0" xfId="626" applyFont="1" applyFill="1" applyBorder="1" applyAlignment="1">
      <alignment horizontal="center" vertical="center" wrapText="1"/>
    </xf>
    <xf numFmtId="0" fontId="100" fillId="0" borderId="12" xfId="626" applyFont="1" applyBorder="1" applyAlignment="1">
      <alignment horizontal="left"/>
    </xf>
    <xf numFmtId="174" fontId="113" fillId="0" borderId="17" xfId="0" applyFont="1" applyFill="1" applyBorder="1" applyAlignment="1">
      <alignment horizontal="center" vertical="center" wrapText="1"/>
    </xf>
    <xf numFmtId="174" fontId="113" fillId="0" borderId="14" xfId="0" applyFont="1" applyFill="1" applyBorder="1" applyAlignment="1">
      <alignment horizontal="center" vertical="center" wrapText="1"/>
    </xf>
    <xf numFmtId="174" fontId="113" fillId="0" borderId="15" xfId="0" applyFont="1" applyFill="1" applyBorder="1" applyAlignment="1">
      <alignment horizontal="center" vertical="center" wrapText="1"/>
    </xf>
    <xf numFmtId="174" fontId="113" fillId="0" borderId="23" xfId="0" applyFont="1" applyFill="1" applyBorder="1" applyAlignment="1">
      <alignment horizontal="center" vertical="center" wrapText="1"/>
    </xf>
    <xf numFmtId="174" fontId="113" fillId="0" borderId="16" xfId="0" applyFont="1" applyFill="1" applyBorder="1" applyAlignment="1">
      <alignment horizontal="center" vertical="center" wrapText="1"/>
    </xf>
    <xf numFmtId="174" fontId="71" fillId="27" borderId="0" xfId="0" applyFont="1" applyFill="1" applyBorder="1" applyAlignment="1">
      <alignment horizontal="center" vertical="top" wrapText="1"/>
    </xf>
    <xf numFmtId="174" fontId="85" fillId="0" borderId="17" xfId="0" applyNumberFormat="1" applyFont="1" applyFill="1" applyBorder="1" applyAlignment="1">
      <alignment horizontal="center" vertical="center"/>
    </xf>
    <xf numFmtId="174" fontId="83" fillId="27" borderId="0" xfId="0" applyFont="1" applyFill="1" applyBorder="1" applyAlignment="1">
      <alignment horizontal="left" vertical="top" wrapText="1"/>
    </xf>
    <xf numFmtId="174" fontId="68" fillId="27" borderId="18" xfId="0" applyNumberFormat="1" applyFont="1" applyFill="1" applyBorder="1" applyAlignment="1">
      <alignment horizontal="center" vertical="center"/>
    </xf>
    <xf numFmtId="174" fontId="68" fillId="27" borderId="11" xfId="0" applyNumberFormat="1" applyFont="1" applyFill="1" applyBorder="1" applyAlignment="1">
      <alignment horizontal="center" vertical="center"/>
    </xf>
    <xf numFmtId="174" fontId="68" fillId="27" borderId="22" xfId="0" applyNumberFormat="1" applyFont="1" applyFill="1" applyBorder="1" applyAlignment="1">
      <alignment horizontal="center" vertical="center"/>
    </xf>
    <xf numFmtId="174" fontId="82" fillId="27" borderId="15" xfId="0" applyNumberFormat="1" applyFont="1" applyFill="1" applyBorder="1" applyAlignment="1">
      <alignment horizontal="center" vertical="center"/>
    </xf>
    <xf numFmtId="174" fontId="82" fillId="27" borderId="23" xfId="0" applyNumberFormat="1" applyFont="1" applyFill="1" applyBorder="1" applyAlignment="1">
      <alignment horizontal="center" vertical="center"/>
    </xf>
    <xf numFmtId="174" fontId="82" fillId="27" borderId="16" xfId="0" applyNumberFormat="1" applyFont="1" applyFill="1" applyBorder="1" applyAlignment="1">
      <alignment horizontal="center" vertical="center"/>
    </xf>
    <xf numFmtId="174" fontId="83" fillId="0" borderId="0" xfId="0" applyNumberFormat="1" applyFont="1" applyBorder="1" applyAlignment="1">
      <alignment horizontal="left" vertical="center" wrapText="1"/>
    </xf>
    <xf numFmtId="174" fontId="52" fillId="27" borderId="15" xfId="0" applyNumberFormat="1" applyFont="1" applyFill="1" applyBorder="1" applyAlignment="1">
      <alignment horizontal="center" vertical="center"/>
    </xf>
    <xf numFmtId="174" fontId="52" fillId="27" borderId="23" xfId="0" applyNumberFormat="1" applyFont="1" applyFill="1" applyBorder="1" applyAlignment="1">
      <alignment horizontal="center" vertical="center"/>
    </xf>
    <xf numFmtId="174" fontId="52" fillId="27" borderId="16" xfId="0" applyNumberFormat="1" applyFont="1" applyFill="1" applyBorder="1" applyAlignment="1">
      <alignment horizontal="center" vertical="center"/>
    </xf>
    <xf numFmtId="17" fontId="82" fillId="0" borderId="12" xfId="336" applyNumberFormat="1" applyFont="1" applyFill="1" applyBorder="1" applyAlignment="1">
      <alignment horizontal="left" vertical="center"/>
    </xf>
    <xf numFmtId="174" fontId="164" fillId="0" borderId="0" xfId="0" applyFont="1" applyAlignment="1">
      <alignment horizontal="left" wrapText="1"/>
    </xf>
    <xf numFmtId="43" fontId="54" fillId="27" borderId="0" xfId="0" applyNumberFormat="1" applyFont="1" applyFill="1" applyBorder="1" applyAlignment="1">
      <alignment horizontal="center" vertical="center" wrapText="1"/>
    </xf>
    <xf numFmtId="43" fontId="68" fillId="26" borderId="17" xfId="0" applyNumberFormat="1" applyFont="1" applyFill="1" applyBorder="1" applyAlignment="1">
      <alignment horizontal="center" vertical="center" wrapText="1"/>
    </xf>
    <xf numFmtId="43" fontId="68" fillId="26" borderId="14" xfId="0" applyNumberFormat="1" applyFont="1" applyFill="1" applyBorder="1" applyAlignment="1">
      <alignment horizontal="center" vertical="center" wrapText="1"/>
    </xf>
    <xf numFmtId="43" fontId="51" fillId="26" borderId="15" xfId="0" applyNumberFormat="1" applyFont="1" applyFill="1" applyBorder="1" applyAlignment="1">
      <alignment horizontal="center" vertical="center" wrapText="1"/>
    </xf>
    <xf numFmtId="43" fontId="51" fillId="26" borderId="23" xfId="0" applyNumberFormat="1" applyFont="1" applyFill="1" applyBorder="1" applyAlignment="1">
      <alignment horizontal="center" vertical="center" wrapText="1"/>
    </xf>
    <xf numFmtId="174" fontId="54" fillId="27" borderId="0" xfId="0" applyFont="1" applyFill="1" applyBorder="1" applyAlignment="1">
      <alignment horizontal="center" vertical="center" wrapText="1"/>
    </xf>
    <xf numFmtId="174" fontId="64" fillId="0" borderId="0" xfId="0" applyNumberFormat="1" applyFont="1" applyFill="1" applyBorder="1" applyAlignment="1">
      <alignment horizontal="left" vertical="top" wrapText="1"/>
    </xf>
    <xf numFmtId="174" fontId="82" fillId="27" borderId="17" xfId="0" applyNumberFormat="1" applyFont="1" applyFill="1" applyBorder="1" applyAlignment="1" applyProtection="1">
      <alignment horizontal="center" vertical="center"/>
    </xf>
    <xf numFmtId="174" fontId="82" fillId="27" borderId="14" xfId="0" applyNumberFormat="1" applyFont="1" applyFill="1" applyBorder="1" applyAlignment="1" applyProtection="1">
      <alignment horizontal="center" vertical="center"/>
    </xf>
    <xf numFmtId="174" fontId="82" fillId="27" borderId="23" xfId="0" applyNumberFormat="1" applyFont="1" applyFill="1" applyBorder="1" applyAlignment="1">
      <alignment horizontal="center" vertical="center" wrapText="1"/>
    </xf>
    <xf numFmtId="174" fontId="82" fillId="27" borderId="0" xfId="0" applyFont="1" applyFill="1" applyBorder="1" applyAlignment="1">
      <alignment horizontal="left" vertical="center" wrapText="1"/>
    </xf>
    <xf numFmtId="0" fontId="69" fillId="27" borderId="0" xfId="323" applyNumberFormat="1" applyFont="1" applyFill="1" applyBorder="1" applyAlignment="1">
      <alignment horizontal="left" vertical="center"/>
    </xf>
    <xf numFmtId="174" fontId="98" fillId="0" borderId="0" xfId="0" applyFont="1" applyFill="1" applyBorder="1" applyAlignment="1">
      <alignment horizontal="left" vertical="center" wrapText="1"/>
    </xf>
    <xf numFmtId="174" fontId="69" fillId="27" borderId="17" xfId="388" applyNumberFormat="1" applyFont="1" applyFill="1" applyBorder="1" applyAlignment="1">
      <alignment horizontal="center" vertical="center"/>
    </xf>
    <xf numFmtId="174" fontId="69" fillId="27" borderId="14" xfId="388" applyNumberFormat="1" applyFont="1" applyFill="1" applyBorder="1" applyAlignment="1">
      <alignment horizontal="center" vertical="center"/>
    </xf>
    <xf numFmtId="174" fontId="69" fillId="27" borderId="12" xfId="388" applyFont="1" applyFill="1" applyBorder="1" applyAlignment="1">
      <alignment horizontal="center" vertical="center"/>
    </xf>
    <xf numFmtId="174" fontId="69" fillId="27" borderId="15" xfId="388" applyFont="1" applyFill="1" applyBorder="1" applyAlignment="1">
      <alignment horizontal="center" vertical="center"/>
    </xf>
    <xf numFmtId="174" fontId="69" fillId="27" borderId="23" xfId="388" applyFont="1" applyFill="1" applyBorder="1" applyAlignment="1">
      <alignment horizontal="center" vertical="center"/>
    </xf>
    <xf numFmtId="174" fontId="69" fillId="27" borderId="16" xfId="388" applyFont="1" applyFill="1" applyBorder="1" applyAlignment="1">
      <alignment horizontal="center" vertical="center"/>
    </xf>
    <xf numFmtId="0" fontId="86" fillId="27" borderId="0" xfId="742" applyFont="1" applyFill="1" applyBorder="1" applyAlignment="1">
      <alignment horizontal="center" vertical="center" wrapText="1"/>
    </xf>
    <xf numFmtId="0" fontId="60" fillId="27" borderId="0" xfId="743" applyFont="1" applyFill="1" applyBorder="1" applyAlignment="1">
      <alignment horizontal="center" vertical="center" wrapText="1"/>
    </xf>
    <xf numFmtId="0" fontId="60" fillId="27" borderId="0" xfId="743" applyFont="1" applyFill="1" applyBorder="1" applyAlignment="1">
      <alignment horizontal="center" vertical="center"/>
    </xf>
    <xf numFmtId="10" fontId="166" fillId="0" borderId="0" xfId="743" applyNumberFormat="1" applyFont="1" applyAlignment="1">
      <alignment horizontal="center"/>
    </xf>
    <xf numFmtId="10" fontId="165" fillId="31" borderId="0" xfId="743" applyNumberFormat="1" applyFont="1" applyFill="1" applyAlignment="1">
      <alignment horizontal="center"/>
    </xf>
    <xf numFmtId="0" fontId="89" fillId="0" borderId="0" xfId="744" applyFont="1" applyFill="1" applyBorder="1" applyAlignment="1">
      <alignment horizontal="center" vertical="center" wrapText="1"/>
    </xf>
    <xf numFmtId="174" fontId="61" fillId="0" borderId="12" xfId="0" applyNumberFormat="1" applyFont="1" applyBorder="1" applyAlignment="1">
      <alignment horizontal="left" wrapText="1"/>
    </xf>
    <xf numFmtId="174" fontId="86" fillId="0" borderId="0" xfId="0" applyFont="1" applyFill="1" applyBorder="1" applyAlignment="1">
      <alignment horizontal="center" vertical="center" wrapText="1"/>
    </xf>
    <xf numFmtId="174" fontId="0" fillId="0" borderId="0" xfId="388" applyFont="1" applyBorder="1" applyAlignment="1">
      <alignment horizontal="left" vertical="top" wrapText="1"/>
    </xf>
    <xf numFmtId="174" fontId="47" fillId="0" borderId="0" xfId="388" applyFont="1" applyBorder="1" applyAlignment="1">
      <alignment horizontal="left" vertical="top" wrapText="1"/>
    </xf>
    <xf numFmtId="174" fontId="89" fillId="0" borderId="0" xfId="0" applyFont="1" applyFill="1" applyBorder="1" applyAlignment="1">
      <alignment horizontal="center" vertical="center" wrapText="1"/>
    </xf>
    <xf numFmtId="174" fontId="60" fillId="0" borderId="0" xfId="0" applyFont="1" applyFill="1" applyBorder="1" applyAlignment="1">
      <alignment horizontal="center" vertical="center" wrapText="1"/>
    </xf>
    <xf numFmtId="174" fontId="64" fillId="0" borderId="0" xfId="0" applyNumberFormat="1" applyFont="1" applyFill="1" applyBorder="1" applyAlignment="1">
      <alignment horizontal="left" vertical="center" wrapText="1"/>
    </xf>
    <xf numFmtId="174" fontId="60" fillId="0" borderId="0" xfId="442" applyFont="1" applyFill="1" applyBorder="1" applyAlignment="1">
      <alignment horizontal="center" vertical="center" wrapText="1"/>
    </xf>
    <xf numFmtId="174" fontId="54" fillId="0" borderId="0" xfId="442" applyFont="1" applyFill="1" applyBorder="1" applyAlignment="1">
      <alignment horizontal="center" vertical="center" wrapText="1"/>
    </xf>
    <xf numFmtId="174" fontId="83" fillId="27" borderId="0" xfId="0" applyFont="1" applyFill="1" applyBorder="1" applyAlignment="1">
      <alignment horizontal="left" vertical="center" wrapText="1"/>
    </xf>
    <xf numFmtId="0" fontId="86" fillId="27" borderId="0" xfId="579" applyFont="1" applyFill="1" applyBorder="1" applyAlignment="1">
      <alignment horizontal="center" vertical="center" wrapText="1"/>
    </xf>
    <xf numFmtId="0" fontId="86" fillId="27" borderId="0" xfId="579" applyFont="1" applyFill="1" applyBorder="1" applyAlignment="1">
      <alignment horizontal="center" vertical="center"/>
    </xf>
    <xf numFmtId="0" fontId="65" fillId="0" borderId="0" xfId="579" applyFont="1" applyBorder="1" applyAlignment="1">
      <alignment horizontal="center" vertical="center"/>
    </xf>
    <xf numFmtId="0" fontId="0" fillId="0" borderId="0" xfId="579" applyFont="1" applyBorder="1" applyAlignment="1">
      <alignment horizontal="left"/>
    </xf>
    <xf numFmtId="174" fontId="86" fillId="0" borderId="0" xfId="446" applyFont="1" applyFill="1" applyBorder="1" applyAlignment="1">
      <alignment horizontal="center" vertical="center" wrapText="1"/>
    </xf>
    <xf numFmtId="174" fontId="53" fillId="0" borderId="0" xfId="0" applyFont="1" applyBorder="1" applyAlignment="1">
      <alignment horizontal="left" vertical="center" wrapText="1" readingOrder="1"/>
    </xf>
    <xf numFmtId="174" fontId="57" fillId="0" borderId="0" xfId="448" applyFont="1" applyBorder="1" applyAlignment="1">
      <alignment horizontal="left" wrapText="1"/>
    </xf>
    <xf numFmtId="174" fontId="57" fillId="0" borderId="0" xfId="448" applyFont="1" applyBorder="1" applyAlignment="1">
      <alignment horizontal="left"/>
    </xf>
    <xf numFmtId="0" fontId="89" fillId="27" borderId="0" xfId="579" applyFont="1" applyFill="1" applyBorder="1" applyAlignment="1">
      <alignment horizontal="center" vertical="center" wrapText="1"/>
    </xf>
    <xf numFmtId="0" fontId="89" fillId="27" borderId="0" xfId="579" applyFont="1" applyFill="1" applyBorder="1" applyAlignment="1">
      <alignment horizontal="center" vertical="center"/>
    </xf>
    <xf numFmtId="174" fontId="82" fillId="27" borderId="15" xfId="450" applyFont="1" applyFill="1" applyBorder="1" applyAlignment="1">
      <alignment horizontal="center" vertical="center" wrapText="1"/>
    </xf>
    <xf numFmtId="174" fontId="82" fillId="27" borderId="23" xfId="450" applyFont="1" applyFill="1" applyBorder="1" applyAlignment="1">
      <alignment horizontal="center" vertical="center" wrapText="1"/>
    </xf>
    <xf numFmtId="174" fontId="82" fillId="27" borderId="16" xfId="450" applyFont="1" applyFill="1" applyBorder="1" applyAlignment="1">
      <alignment horizontal="center" vertical="center" wrapText="1"/>
    </xf>
    <xf numFmtId="174" fontId="83" fillId="27" borderId="0" xfId="450" applyFont="1" applyFill="1" applyBorder="1" applyAlignment="1">
      <alignment horizontal="left" vertical="top" wrapText="1"/>
    </xf>
    <xf numFmtId="174" fontId="54" fillId="27" borderId="0" xfId="636" applyFont="1" applyFill="1" applyBorder="1" applyAlignment="1">
      <alignment horizontal="center" vertical="center" wrapText="1"/>
    </xf>
    <xf numFmtId="174" fontId="61" fillId="0" borderId="0" xfId="633" applyFont="1" applyBorder="1" applyAlignment="1">
      <alignment horizontal="left" vertical="top" wrapText="1"/>
    </xf>
    <xf numFmtId="174" fontId="82" fillId="0" borderId="15" xfId="633" applyFont="1" applyFill="1" applyBorder="1" applyAlignment="1">
      <alignment horizontal="center" vertical="center" wrapText="1"/>
    </xf>
    <xf numFmtId="174" fontId="82" fillId="0" borderId="23" xfId="633" applyFont="1" applyFill="1" applyBorder="1" applyAlignment="1">
      <alignment horizontal="center" vertical="center" wrapText="1"/>
    </xf>
    <xf numFmtId="174" fontId="82" fillId="0" borderId="16" xfId="633" applyFont="1" applyFill="1" applyBorder="1" applyAlignment="1">
      <alignment horizontal="center" vertical="center" wrapText="1"/>
    </xf>
    <xf numFmtId="174" fontId="127" fillId="27" borderId="0" xfId="0" applyFont="1" applyFill="1" applyBorder="1" applyAlignment="1">
      <alignment horizontal="center" vertical="center" wrapText="1"/>
    </xf>
    <xf numFmtId="174" fontId="53" fillId="0" borderId="0" xfId="0" applyNumberFormat="1" applyFont="1" applyBorder="1" applyAlignment="1">
      <alignment horizontal="left" vertical="center" wrapText="1"/>
    </xf>
    <xf numFmtId="43" fontId="69" fillId="0" borderId="15" xfId="0" applyNumberFormat="1" applyFont="1" applyFill="1" applyBorder="1" applyAlignment="1">
      <alignment horizontal="center" vertical="center" wrapText="1"/>
    </xf>
    <xf numFmtId="43" fontId="69" fillId="0" borderId="23" xfId="0" applyNumberFormat="1" applyFont="1" applyFill="1" applyBorder="1" applyAlignment="1">
      <alignment horizontal="center" vertical="center" wrapText="1"/>
    </xf>
    <xf numFmtId="43" fontId="69" fillId="0" borderId="16" xfId="0" applyNumberFormat="1" applyFont="1" applyFill="1" applyBorder="1" applyAlignment="1">
      <alignment horizontal="center" vertical="center" wrapText="1"/>
    </xf>
    <xf numFmtId="43" fontId="89" fillId="27" borderId="0" xfId="323" applyNumberFormat="1" applyFont="1" applyFill="1" applyBorder="1" applyAlignment="1">
      <alignment horizontal="center" vertical="center" wrapText="1"/>
    </xf>
    <xf numFmtId="43" fontId="82" fillId="27" borderId="21" xfId="0" applyNumberFormat="1" applyFont="1" applyFill="1" applyBorder="1" applyAlignment="1">
      <alignment horizontal="center" vertical="center"/>
    </xf>
    <xf numFmtId="43" fontId="82" fillId="27" borderId="12" xfId="0" applyNumberFormat="1" applyFont="1" applyFill="1" applyBorder="1" applyAlignment="1">
      <alignment horizontal="center" vertical="center"/>
    </xf>
    <xf numFmtId="43" fontId="82" fillId="27" borderId="27" xfId="0" applyNumberFormat="1" applyFont="1" applyFill="1" applyBorder="1" applyAlignment="1">
      <alignment horizontal="center" vertical="center"/>
    </xf>
    <xf numFmtId="182" fontId="116" fillId="27" borderId="0" xfId="1094" applyFont="1" applyFill="1" applyBorder="1" applyAlignment="1">
      <alignment horizontal="center" vertical="center" wrapText="1"/>
    </xf>
    <xf numFmtId="182" fontId="61" fillId="0" borderId="12" xfId="1094" applyFont="1" applyFill="1" applyBorder="1" applyAlignment="1">
      <alignment horizontal="left" vertical="top" wrapText="1"/>
    </xf>
    <xf numFmtId="182" fontId="61" fillId="0" borderId="0" xfId="1094" applyFont="1" applyFill="1" applyBorder="1" applyAlignment="1">
      <alignment horizontal="left" vertical="top" wrapText="1"/>
    </xf>
    <xf numFmtId="174" fontId="98" fillId="0" borderId="0" xfId="0" applyFont="1" applyAlignment="1">
      <alignment horizontal="left" vertical="top" wrapText="1"/>
    </xf>
    <xf numFmtId="174" fontId="67" fillId="0" borderId="0" xfId="0" applyFont="1" applyAlignment="1">
      <alignment horizontal="left" vertical="top" wrapText="1"/>
    </xf>
    <xf numFmtId="0" fontId="86" fillId="27" borderId="0" xfId="0" applyNumberFormat="1" applyFont="1" applyFill="1" applyBorder="1" applyAlignment="1">
      <alignment horizontal="center" vertical="center" wrapText="1"/>
    </xf>
    <xf numFmtId="0" fontId="86" fillId="27" borderId="0" xfId="0" applyNumberFormat="1" applyFont="1" applyFill="1" applyBorder="1" applyAlignment="1">
      <alignment horizontal="center" vertical="center"/>
    </xf>
    <xf numFmtId="174" fontId="98" fillId="27" borderId="0" xfId="0" applyFont="1" applyFill="1" applyAlignment="1">
      <alignment horizontal="left" vertical="top" wrapText="1"/>
    </xf>
    <xf numFmtId="174" fontId="0" fillId="27" borderId="0" xfId="0" applyFont="1" applyFill="1" applyAlignment="1">
      <alignment horizontal="left" vertical="top"/>
    </xf>
    <xf numFmtId="174" fontId="82" fillId="27" borderId="21" xfId="0" applyNumberFormat="1" applyFont="1" applyFill="1" applyBorder="1" applyAlignment="1">
      <alignment horizontal="center" vertical="center"/>
    </xf>
    <xf numFmtId="174" fontId="82" fillId="27" borderId="12" xfId="0" applyNumberFormat="1" applyFont="1" applyFill="1" applyBorder="1" applyAlignment="1">
      <alignment horizontal="center" vertical="center"/>
    </xf>
    <xf numFmtId="174" fontId="82" fillId="27" borderId="27" xfId="0" applyNumberFormat="1" applyFont="1" applyFill="1" applyBorder="1" applyAlignment="1">
      <alignment horizontal="center" vertical="center"/>
    </xf>
    <xf numFmtId="174" fontId="29" fillId="0" borderId="0" xfId="0" applyFont="1" applyBorder="1" applyAlignment="1">
      <alignment horizontal="center"/>
    </xf>
    <xf numFmtId="174" fontId="107" fillId="0" borderId="0" xfId="0" applyFont="1" applyBorder="1" applyAlignment="1">
      <alignment horizontal="center" vertical="center"/>
    </xf>
    <xf numFmtId="174" fontId="112" fillId="27" borderId="0" xfId="0" applyFont="1" applyFill="1" applyBorder="1" applyAlignment="1">
      <alignment horizontal="center" vertical="center" wrapText="1"/>
    </xf>
    <xf numFmtId="174" fontId="69" fillId="0" borderId="0" xfId="0" applyFont="1" applyFill="1" applyBorder="1" applyAlignment="1">
      <alignment horizontal="center" vertical="center" wrapText="1"/>
    </xf>
    <xf numFmtId="174" fontId="69" fillId="0" borderId="26" xfId="0" applyFont="1" applyFill="1" applyBorder="1" applyAlignment="1">
      <alignment horizontal="center" vertical="center" wrapText="1"/>
    </xf>
    <xf numFmtId="49" fontId="86" fillId="27" borderId="0" xfId="0" applyNumberFormat="1" applyFont="1" applyFill="1" applyBorder="1" applyAlignment="1">
      <alignment horizontal="center" vertical="center" wrapText="1"/>
    </xf>
    <xf numFmtId="49" fontId="89" fillId="27" borderId="0" xfId="0" applyNumberFormat="1" applyFont="1" applyFill="1" applyBorder="1" applyAlignment="1">
      <alignment horizontal="center" vertical="center" wrapText="1"/>
    </xf>
    <xf numFmtId="49" fontId="68" fillId="27" borderId="21" xfId="0" applyNumberFormat="1" applyFont="1" applyFill="1" applyBorder="1" applyAlignment="1">
      <alignment horizontal="left"/>
    </xf>
    <xf numFmtId="49" fontId="68" fillId="27" borderId="12" xfId="0" applyNumberFormat="1" applyFont="1" applyFill="1" applyBorder="1" applyAlignment="1">
      <alignment horizontal="left"/>
    </xf>
    <xf numFmtId="174" fontId="56" fillId="0" borderId="20" xfId="0" applyFont="1" applyFill="1" applyBorder="1" applyAlignment="1">
      <alignment horizontal="center" vertical="center" wrapText="1"/>
    </xf>
    <xf numFmtId="174" fontId="56" fillId="0" borderId="0" xfId="0" applyFont="1" applyFill="1" applyBorder="1" applyAlignment="1">
      <alignment horizontal="center" vertical="center" wrapText="1"/>
    </xf>
    <xf numFmtId="174" fontId="56" fillId="0" borderId="26" xfId="0" applyFont="1" applyFill="1" applyBorder="1" applyAlignment="1">
      <alignment horizontal="center" vertical="center" wrapText="1"/>
    </xf>
    <xf numFmtId="49" fontId="60" fillId="27" borderId="0" xfId="0" applyNumberFormat="1" applyFont="1" applyFill="1" applyBorder="1" applyAlignment="1">
      <alignment horizontal="center" vertical="center" wrapText="1"/>
    </xf>
    <xf numFmtId="174" fontId="0" fillId="0" borderId="25" xfId="0" applyBorder="1" applyAlignment="1">
      <alignment vertical="center" wrapText="1"/>
    </xf>
    <xf numFmtId="174" fontId="0" fillId="0" borderId="0" xfId="0" applyFont="1" applyBorder="1" applyAlignment="1">
      <alignment horizontal="left" vertical="center" wrapText="1"/>
    </xf>
    <xf numFmtId="174" fontId="82" fillId="0" borderId="20" xfId="0" applyFont="1" applyFill="1" applyBorder="1" applyAlignment="1">
      <alignment horizontal="center" vertical="center" wrapText="1"/>
    </xf>
    <xf numFmtId="174" fontId="82" fillId="0" borderId="0" xfId="0" applyFont="1" applyFill="1" applyBorder="1" applyAlignment="1">
      <alignment horizontal="center" vertical="center" wrapText="1"/>
    </xf>
    <xf numFmtId="49" fontId="68" fillId="0" borderId="0" xfId="0" applyNumberFormat="1" applyFont="1" applyFill="1" applyBorder="1" applyAlignment="1">
      <alignment horizontal="center" vertical="center" wrapText="1"/>
    </xf>
    <xf numFmtId="49" fontId="79" fillId="27" borderId="0" xfId="0" applyNumberFormat="1" applyFont="1" applyFill="1" applyBorder="1" applyAlignment="1">
      <alignment horizontal="center" vertical="center" wrapText="1"/>
    </xf>
    <xf numFmtId="0" fontId="86" fillId="27" borderId="0" xfId="437" applyFont="1" applyFill="1" applyBorder="1" applyAlignment="1">
      <alignment horizontal="center" vertical="center" wrapText="1"/>
    </xf>
    <xf numFmtId="0" fontId="51" fillId="0" borderId="0" xfId="919" applyFont="1" applyAlignment="1">
      <alignment horizontal="center"/>
    </xf>
    <xf numFmtId="0" fontId="87" fillId="27" borderId="0" xfId="437" applyFont="1" applyFill="1" applyBorder="1" applyAlignment="1">
      <alignment horizontal="center" vertical="center" wrapText="1"/>
    </xf>
    <xf numFmtId="0" fontId="85" fillId="27" borderId="15" xfId="437" applyFont="1" applyFill="1" applyBorder="1" applyAlignment="1">
      <alignment horizontal="center" vertical="center" wrapText="1"/>
    </xf>
    <xf numFmtId="0" fontId="85" fillId="27" borderId="23" xfId="437" applyFont="1" applyFill="1" applyBorder="1" applyAlignment="1">
      <alignment horizontal="center" vertical="center" wrapText="1"/>
    </xf>
    <xf numFmtId="0" fontId="85" fillId="27" borderId="16" xfId="437" applyFont="1" applyFill="1" applyBorder="1" applyAlignment="1">
      <alignment horizontal="center" vertical="center" wrapText="1"/>
    </xf>
    <xf numFmtId="0" fontId="86" fillId="27" borderId="15" xfId="437" applyFont="1" applyFill="1" applyBorder="1" applyAlignment="1">
      <alignment horizontal="center" vertical="center" wrapText="1"/>
    </xf>
    <xf numFmtId="0" fontId="86" fillId="27" borderId="23" xfId="437" applyFont="1" applyFill="1" applyBorder="1" applyAlignment="1">
      <alignment horizontal="center" vertical="center" wrapText="1"/>
    </xf>
    <xf numFmtId="0" fontId="86" fillId="27" borderId="16" xfId="437" applyFont="1" applyFill="1" applyBorder="1" applyAlignment="1">
      <alignment horizontal="center" vertical="center" wrapText="1"/>
    </xf>
    <xf numFmtId="0" fontId="62" fillId="27" borderId="15" xfId="793" applyFont="1" applyFill="1" applyBorder="1" applyAlignment="1">
      <alignment horizontal="center" vertical="center" wrapText="1"/>
    </xf>
    <xf numFmtId="0" fontId="62" fillId="27" borderId="16" xfId="793" applyFont="1" applyFill="1" applyBorder="1" applyAlignment="1">
      <alignment horizontal="center" vertical="center" wrapText="1"/>
    </xf>
    <xf numFmtId="0" fontId="80" fillId="0" borderId="12" xfId="919" applyFont="1" applyBorder="1" applyAlignment="1">
      <alignment horizontal="left" vertical="top" wrapText="1"/>
    </xf>
    <xf numFmtId="174" fontId="60" fillId="27" borderId="0" xfId="0" applyNumberFormat="1" applyFont="1" applyFill="1" applyBorder="1" applyAlignment="1">
      <alignment horizontal="center" vertical="center" wrapText="1"/>
    </xf>
    <xf numFmtId="174" fontId="32" fillId="0" borderId="0" xfId="0" applyFont="1" applyFill="1" applyBorder="1" applyAlignment="1">
      <alignment horizontal="left" vertical="center" wrapText="1"/>
    </xf>
    <xf numFmtId="174" fontId="86" fillId="27" borderId="0" xfId="0" applyNumberFormat="1" applyFont="1" applyFill="1" applyBorder="1" applyAlignment="1">
      <alignment horizontal="center" vertical="center" wrapText="1"/>
    </xf>
    <xf numFmtId="174" fontId="54" fillId="27" borderId="0" xfId="0" applyNumberFormat="1" applyFont="1" applyFill="1" applyBorder="1" applyAlignment="1">
      <alignment horizontal="center" vertical="center" wrapText="1"/>
    </xf>
    <xf numFmtId="174" fontId="32" fillId="27" borderId="0" xfId="388" applyFont="1" applyFill="1" applyBorder="1" applyAlignment="1">
      <alignment horizontal="left" vertical="center" wrapText="1"/>
    </xf>
    <xf numFmtId="174" fontId="87" fillId="27" borderId="0" xfId="0" applyFont="1" applyFill="1" applyBorder="1" applyAlignment="1">
      <alignment horizontal="center" vertical="top" wrapText="1"/>
    </xf>
    <xf numFmtId="174" fontId="8" fillId="0" borderId="0" xfId="0" applyFont="1" applyBorder="1" applyAlignment="1">
      <alignment horizontal="left" vertical="top" wrapText="1"/>
    </xf>
    <xf numFmtId="174" fontId="68" fillId="0" borderId="0" xfId="0" applyFont="1" applyBorder="1" applyAlignment="1">
      <alignment horizontal="left" vertical="top" wrapText="1"/>
    </xf>
    <xf numFmtId="174" fontId="68" fillId="0" borderId="0" xfId="0" applyFont="1" applyAlignment="1">
      <alignment horizontal="left" vertical="top" wrapText="1"/>
    </xf>
    <xf numFmtId="174" fontId="0" fillId="0" borderId="0" xfId="0" applyAlignment="1">
      <alignment horizontal="center"/>
    </xf>
    <xf numFmtId="174" fontId="102" fillId="27" borderId="0" xfId="0" applyFont="1" applyFill="1" applyBorder="1" applyAlignment="1">
      <alignment horizontal="center" vertical="center" wrapText="1"/>
    </xf>
    <xf numFmtId="174" fontId="8" fillId="0" borderId="0" xfId="0" applyFont="1" applyAlignment="1">
      <alignment horizontal="left" vertical="center" wrapText="1"/>
    </xf>
    <xf numFmtId="174" fontId="68" fillId="0" borderId="0" xfId="0" applyFont="1" applyAlignment="1">
      <alignment horizontal="left" vertical="center" wrapText="1"/>
    </xf>
    <xf numFmtId="174" fontId="103" fillId="0" borderId="0" xfId="0" applyFont="1" applyAlignment="1">
      <alignment horizontal="center" wrapText="1"/>
    </xf>
    <xf numFmtId="174" fontId="8" fillId="0" borderId="0" xfId="0" applyFont="1" applyBorder="1" applyAlignment="1">
      <alignment horizontal="left" vertical="center" wrapText="1"/>
    </xf>
    <xf numFmtId="174" fontId="68" fillId="0" borderId="0" xfId="0" applyFont="1" applyBorder="1" applyAlignment="1">
      <alignment horizontal="left" vertical="center" wrapText="1"/>
    </xf>
  </cellXfs>
  <cellStyles count="1124">
    <cellStyle name="20% - Accent1" xfId="1"/>
    <cellStyle name="20% - Accent1 2" xfId="2"/>
    <cellStyle name="20% - Accent2" xfId="3"/>
    <cellStyle name="20% - Accent2 2" xfId="4"/>
    <cellStyle name="20% - Accent3" xfId="5"/>
    <cellStyle name="20% - Accent3 2" xfId="6"/>
    <cellStyle name="20% - Accent4" xfId="7"/>
    <cellStyle name="20% - Accent4 2" xfId="8"/>
    <cellStyle name="20% - Accent5" xfId="9"/>
    <cellStyle name="20% - Accent5 2" xfId="10"/>
    <cellStyle name="20% - Accent6" xfId="11"/>
    <cellStyle name="20% - Accent6 2" xfId="12"/>
    <cellStyle name="20% - Énfasis1 2" xfId="13"/>
    <cellStyle name="20% - Énfasis1 2 2" xfId="14"/>
    <cellStyle name="20% - Énfasis2 2" xfId="15"/>
    <cellStyle name="20% - Énfasis2 2 2" xfId="16"/>
    <cellStyle name="20% - Énfasis3 2" xfId="17"/>
    <cellStyle name="20% - Énfasis3 2 2" xfId="18"/>
    <cellStyle name="20% - Énfasis4 2" xfId="19"/>
    <cellStyle name="20% - Énfasis4 2 2" xfId="20"/>
    <cellStyle name="20% - Énfasis5 2" xfId="21"/>
    <cellStyle name="20% - Énfasis5 2 2" xfId="22"/>
    <cellStyle name="20% - Énfasis6 2" xfId="23"/>
    <cellStyle name="20% - Énfasis6 2 2" xfId="24"/>
    <cellStyle name="40% - Accent1" xfId="25"/>
    <cellStyle name="40% - Accent1 2" xfId="26"/>
    <cellStyle name="40% - Accent2" xfId="27"/>
    <cellStyle name="40% - Accent2 2" xfId="28"/>
    <cellStyle name="40% - Accent3" xfId="29"/>
    <cellStyle name="40% - Accent3 2" xfId="30"/>
    <cellStyle name="40% - Accent4" xfId="31"/>
    <cellStyle name="40% - Accent4 2" xfId="32"/>
    <cellStyle name="40% - Accent5" xfId="33"/>
    <cellStyle name="40% - Accent5 2" xfId="34"/>
    <cellStyle name="40% - Accent6" xfId="35"/>
    <cellStyle name="40% - Accent6 2" xfId="36"/>
    <cellStyle name="40% - Énfasis1 2" xfId="37"/>
    <cellStyle name="40% - Énfasis1 2 2" xfId="38"/>
    <cellStyle name="40% - Énfasis2 2" xfId="39"/>
    <cellStyle name="40% - Énfasis2 2 2" xfId="40"/>
    <cellStyle name="40% - Énfasis3 2" xfId="41"/>
    <cellStyle name="40% - Énfasis3 2 2" xfId="42"/>
    <cellStyle name="40% - Énfasis4 2" xfId="43"/>
    <cellStyle name="40% - Énfasis4 2 2" xfId="44"/>
    <cellStyle name="40% - Énfasis5 2" xfId="45"/>
    <cellStyle name="40% - Énfasis5 2 2" xfId="46"/>
    <cellStyle name="40% - Énfasis6 2" xfId="47"/>
    <cellStyle name="40% - Énfasis6 2 2" xfId="48"/>
    <cellStyle name="60% - Accent1" xfId="49"/>
    <cellStyle name="60% - Accent1 2" xfId="50"/>
    <cellStyle name="60% - Accent2" xfId="51"/>
    <cellStyle name="60% - Accent2 2" xfId="52"/>
    <cellStyle name="60% - Accent3" xfId="53"/>
    <cellStyle name="60% - Accent3 2" xfId="54"/>
    <cellStyle name="60% - Accent4" xfId="55"/>
    <cellStyle name="60% - Accent4 2" xfId="56"/>
    <cellStyle name="60% - Accent5" xfId="57"/>
    <cellStyle name="60% - Accent5 2" xfId="58"/>
    <cellStyle name="60% - Accent6" xfId="59"/>
    <cellStyle name="60% - Accent6 2" xfId="60"/>
    <cellStyle name="60% - Énfasis1 2" xfId="61"/>
    <cellStyle name="60% - Énfasis1 2 2" xfId="62"/>
    <cellStyle name="60% - Énfasis2 2" xfId="63"/>
    <cellStyle name="60% - Énfasis2 2 2" xfId="64"/>
    <cellStyle name="60% - Énfasis3 2" xfId="65"/>
    <cellStyle name="60% - Énfasis3 2 2" xfId="66"/>
    <cellStyle name="60% - Énfasis4 2" xfId="67"/>
    <cellStyle name="60% - Énfasis4 2 2" xfId="68"/>
    <cellStyle name="60% - Énfasis5 2" xfId="69"/>
    <cellStyle name="60% - Énfasis5 2 2" xfId="70"/>
    <cellStyle name="60% - Énfasis6 2" xfId="71"/>
    <cellStyle name="60% - Énfasis6 2 2" xfId="72"/>
    <cellStyle name="Accent1" xfId="73"/>
    <cellStyle name="Accent1 2" xfId="74"/>
    <cellStyle name="Accent2" xfId="75"/>
    <cellStyle name="Accent2 2" xfId="76"/>
    <cellStyle name="Accent3" xfId="77"/>
    <cellStyle name="Accent3 2" xfId="78"/>
    <cellStyle name="Accent4" xfId="79"/>
    <cellStyle name="Accent4 2" xfId="80"/>
    <cellStyle name="Accent5" xfId="81"/>
    <cellStyle name="Accent5 2" xfId="82"/>
    <cellStyle name="Accent6" xfId="83"/>
    <cellStyle name="Accent6 2" xfId="84"/>
    <cellStyle name="Bad" xfId="85"/>
    <cellStyle name="Bad 2" xfId="86"/>
    <cellStyle name="Buena 2" xfId="87"/>
    <cellStyle name="Buena 2 2" xfId="88"/>
    <cellStyle name="Calculation" xfId="89"/>
    <cellStyle name="Calculation 2" xfId="90"/>
    <cellStyle name="Cálculo 2" xfId="91"/>
    <cellStyle name="Cálculo 2 2" xfId="92"/>
    <cellStyle name="Celda de comprobación 2" xfId="93"/>
    <cellStyle name="Celda de comprobación 2 2" xfId="94"/>
    <cellStyle name="Celda vinculada 2" xfId="95"/>
    <cellStyle name="Celda vinculada 2 2" xfId="96"/>
    <cellStyle name="Check Cell" xfId="97"/>
    <cellStyle name="Check Cell 2" xfId="98"/>
    <cellStyle name="Comma 10" xfId="99"/>
    <cellStyle name="Comma 11" xfId="100"/>
    <cellStyle name="Comma 12" xfId="101"/>
    <cellStyle name="Comma 13" xfId="102"/>
    <cellStyle name="Comma 14" xfId="103"/>
    <cellStyle name="Comma 15" xfId="104"/>
    <cellStyle name="Comma 16" xfId="105"/>
    <cellStyle name="Comma 17" xfId="106"/>
    <cellStyle name="Comma 18" xfId="107"/>
    <cellStyle name="Comma 19" xfId="108"/>
    <cellStyle name="Comma 2" xfId="109"/>
    <cellStyle name="Comma 2 2" xfId="110"/>
    <cellStyle name="Comma 2 2 2" xfId="111"/>
    <cellStyle name="Comma 2 2 2 2" xfId="112"/>
    <cellStyle name="Comma 2 2 2 2 2" xfId="113"/>
    <cellStyle name="Comma 2 2 2 2 2 2" xfId="114"/>
    <cellStyle name="Comma 2 2 2 2 2 2 2" xfId="115"/>
    <cellStyle name="Comma 2 2 2 2 2 2 2 2" xfId="116"/>
    <cellStyle name="Comma 2 2 2 2 2 2 2 2 2" xfId="117"/>
    <cellStyle name="Comma 2 2 2 2 2 2 2 2 2 2" xfId="118"/>
    <cellStyle name="Comma 2 2 2 2 2 2 2 2 2 2 2" xfId="119"/>
    <cellStyle name="Comma 2 2 2 2 2 2 2 2 2 2 2 2" xfId="120"/>
    <cellStyle name="Comma 2 2 2 2 2 2 2 2 2 3" xfId="121"/>
    <cellStyle name="Comma 2 2 2 2 2 2 2 2 3" xfId="122"/>
    <cellStyle name="Comma 2 2 2 2 2 2 2 2 3 2" xfId="123"/>
    <cellStyle name="Comma 2 2 2 2 2 2 2 3" xfId="124"/>
    <cellStyle name="Comma 2 2 2 2 2 2 2 3 2" xfId="125"/>
    <cellStyle name="Comma 2 2 2 2 2 2 2 3 2 2" xfId="126"/>
    <cellStyle name="Comma 2 2 2 2 2 2 2 4" xfId="127"/>
    <cellStyle name="Comma 2 2 2 2 2 2 3" xfId="128"/>
    <cellStyle name="Comma 2 2 2 2 2 2 3 2" xfId="129"/>
    <cellStyle name="Comma 2 2 2 2 2 2 3 2 2" xfId="130"/>
    <cellStyle name="Comma 2 2 2 2 2 2 3 2 2 2" xfId="131"/>
    <cellStyle name="Comma 2 2 2 2 2 2 3 3" xfId="132"/>
    <cellStyle name="Comma 2 2 2 2 2 2 4" xfId="133"/>
    <cellStyle name="Comma 2 2 2 2 2 2 4 2" xfId="134"/>
    <cellStyle name="Comma 2 2 2 2 2 3" xfId="135"/>
    <cellStyle name="Comma 2 2 2 2 2 3 2" xfId="136"/>
    <cellStyle name="Comma 2 2 2 2 2 3 2 2" xfId="137"/>
    <cellStyle name="Comma 2 2 2 2 2 3 2 2 2" xfId="138"/>
    <cellStyle name="Comma 2 2 2 2 2 3 2 2 2 2" xfId="139"/>
    <cellStyle name="Comma 2 2 2 2 2 3 2 3" xfId="140"/>
    <cellStyle name="Comma 2 2 2 2 2 3 3" xfId="141"/>
    <cellStyle name="Comma 2 2 2 2 2 3 3 2" xfId="142"/>
    <cellStyle name="Comma 2 2 2 2 2 4" xfId="143"/>
    <cellStyle name="Comma 2 2 2 2 2 4 2" xfId="144"/>
    <cellStyle name="Comma 2 2 2 2 2 4 2 2" xfId="145"/>
    <cellStyle name="Comma 2 2 2 2 2 5" xfId="146"/>
    <cellStyle name="Comma 2 2 2 2 3" xfId="147"/>
    <cellStyle name="Comma 2 2 2 2 3 2" xfId="148"/>
    <cellStyle name="Comma 2 2 2 2 3 2 2" xfId="149"/>
    <cellStyle name="Comma 2 2 2 2 3 2 2 2" xfId="150"/>
    <cellStyle name="Comma 2 2 2 2 3 2 2 2 2" xfId="151"/>
    <cellStyle name="Comma 2 2 2 2 3 2 2 2 2 2" xfId="152"/>
    <cellStyle name="Comma 2 2 2 2 3 2 2 3" xfId="153"/>
    <cellStyle name="Comma 2 2 2 2 3 2 3" xfId="154"/>
    <cellStyle name="Comma 2 2 2 2 3 2 3 2" xfId="155"/>
    <cellStyle name="Comma 2 2 2 2 3 3" xfId="156"/>
    <cellStyle name="Comma 2 2 2 2 3 3 2" xfId="157"/>
    <cellStyle name="Comma 2 2 2 2 3 3 2 2" xfId="158"/>
    <cellStyle name="Comma 2 2 2 2 3 4" xfId="159"/>
    <cellStyle name="Comma 2 2 2 2 4" xfId="160"/>
    <cellStyle name="Comma 2 2 2 2 4 2" xfId="161"/>
    <cellStyle name="Comma 2 2 2 2 4 2 2" xfId="162"/>
    <cellStyle name="Comma 2 2 2 2 4 2 2 2" xfId="163"/>
    <cellStyle name="Comma 2 2 2 2 4 3" xfId="164"/>
    <cellStyle name="Comma 2 2 2 2 5" xfId="165"/>
    <cellStyle name="Comma 2 2 2 2 5 2" xfId="166"/>
    <cellStyle name="Comma 2 2 2 3" xfId="167"/>
    <cellStyle name="Comma 2 2 2 3 2" xfId="168"/>
    <cellStyle name="Comma 2 2 2 3 2 2" xfId="169"/>
    <cellStyle name="Comma 2 2 2 3 2 2 2" xfId="170"/>
    <cellStyle name="Comma 2 2 2 3 2 2 2 2" xfId="171"/>
    <cellStyle name="Comma 2 2 2 3 2 2 2 2 2" xfId="172"/>
    <cellStyle name="Comma 2 2 2 3 2 2 2 2 2 2" xfId="173"/>
    <cellStyle name="Comma 2 2 2 3 2 2 2 3" xfId="174"/>
    <cellStyle name="Comma 2 2 2 3 2 2 3" xfId="175"/>
    <cellStyle name="Comma 2 2 2 3 2 2 3 2" xfId="176"/>
    <cellStyle name="Comma 2 2 2 3 2 3" xfId="177"/>
    <cellStyle name="Comma 2 2 2 3 2 3 2" xfId="178"/>
    <cellStyle name="Comma 2 2 2 3 2 3 2 2" xfId="179"/>
    <cellStyle name="Comma 2 2 2 3 2 4" xfId="180"/>
    <cellStyle name="Comma 2 2 2 3 3" xfId="181"/>
    <cellStyle name="Comma 2 2 2 3 3 2" xfId="182"/>
    <cellStyle name="Comma 2 2 2 3 3 2 2" xfId="183"/>
    <cellStyle name="Comma 2 2 2 3 3 2 2 2" xfId="184"/>
    <cellStyle name="Comma 2 2 2 3 3 3" xfId="185"/>
    <cellStyle name="Comma 2 2 2 3 4" xfId="186"/>
    <cellStyle name="Comma 2 2 2 3 4 2" xfId="187"/>
    <cellStyle name="Comma 2 2 2 4" xfId="188"/>
    <cellStyle name="Comma 2 2 2 4 2" xfId="189"/>
    <cellStyle name="Comma 2 2 2 4 2 2" xfId="190"/>
    <cellStyle name="Comma 2 2 2 4 2 2 2" xfId="191"/>
    <cellStyle name="Comma 2 2 2 4 2 2 2 2" xfId="192"/>
    <cellStyle name="Comma 2 2 2 4 2 3" xfId="193"/>
    <cellStyle name="Comma 2 2 2 4 3" xfId="194"/>
    <cellStyle name="Comma 2 2 2 4 3 2" xfId="195"/>
    <cellStyle name="Comma 2 2 2 5" xfId="196"/>
    <cellStyle name="Comma 2 2 2 5 2" xfId="197"/>
    <cellStyle name="Comma 2 2 2 5 2 2" xfId="198"/>
    <cellStyle name="Comma 2 2 2 6" xfId="199"/>
    <cellStyle name="Comma 2 2 3" xfId="200"/>
    <cellStyle name="Comma 2 2 3 2" xfId="201"/>
    <cellStyle name="Comma 2 2 3 2 2" xfId="202"/>
    <cellStyle name="Comma 2 2 3 2 2 2" xfId="203"/>
    <cellStyle name="Comma 2 2 3 2 2 2 2" xfId="204"/>
    <cellStyle name="Comma 2 2 3 2 2 2 2 2" xfId="205"/>
    <cellStyle name="Comma 2 2 3 2 2 2 2 2 2" xfId="206"/>
    <cellStyle name="Comma 2 2 3 2 2 2 2 2 2 2" xfId="207"/>
    <cellStyle name="Comma 2 2 3 2 2 2 2 3" xfId="208"/>
    <cellStyle name="Comma 2 2 3 2 2 2 3" xfId="209"/>
    <cellStyle name="Comma 2 2 3 2 2 2 3 2" xfId="210"/>
    <cellStyle name="Comma 2 2 3 2 2 3" xfId="211"/>
    <cellStyle name="Comma 2 2 3 2 2 3 2" xfId="212"/>
    <cellStyle name="Comma 2 2 3 2 2 3 2 2" xfId="213"/>
    <cellStyle name="Comma 2 2 3 2 2 4" xfId="214"/>
    <cellStyle name="Comma 2 2 3 2 3" xfId="215"/>
    <cellStyle name="Comma 2 2 3 2 3 2" xfId="216"/>
    <cellStyle name="Comma 2 2 3 2 3 2 2" xfId="217"/>
    <cellStyle name="Comma 2 2 3 2 3 2 2 2" xfId="218"/>
    <cellStyle name="Comma 2 2 3 2 3 3" xfId="219"/>
    <cellStyle name="Comma 2 2 3 2 4" xfId="220"/>
    <cellStyle name="Comma 2 2 3 2 4 2" xfId="221"/>
    <cellStyle name="Comma 2 2 3 3" xfId="222"/>
    <cellStyle name="Comma 2 2 3 3 2" xfId="223"/>
    <cellStyle name="Comma 2 2 3 3 2 2" xfId="224"/>
    <cellStyle name="Comma 2 2 3 3 2 2 2" xfId="225"/>
    <cellStyle name="Comma 2 2 3 3 2 2 2 2" xfId="226"/>
    <cellStyle name="Comma 2 2 3 3 2 3" xfId="227"/>
    <cellStyle name="Comma 2 2 3 3 3" xfId="228"/>
    <cellStyle name="Comma 2 2 3 3 3 2" xfId="229"/>
    <cellStyle name="Comma 2 2 3 4" xfId="230"/>
    <cellStyle name="Comma 2 2 3 4 2" xfId="231"/>
    <cellStyle name="Comma 2 2 3 4 2 2" xfId="232"/>
    <cellStyle name="Comma 2 2 3 5" xfId="233"/>
    <cellStyle name="Comma 2 2 4" xfId="234"/>
    <cellStyle name="Comma 2 2 4 2" xfId="235"/>
    <cellStyle name="Comma 2 2 4 2 2" xfId="236"/>
    <cellStyle name="Comma 2 2 4 2 2 2" xfId="237"/>
    <cellStyle name="Comma 2 2 4 2 2 2 2" xfId="238"/>
    <cellStyle name="Comma 2 2 4 2 2 2 2 2" xfId="239"/>
    <cellStyle name="Comma 2 2 4 2 2 3" xfId="240"/>
    <cellStyle name="Comma 2 2 4 2 3" xfId="241"/>
    <cellStyle name="Comma 2 2 4 2 3 2" xfId="242"/>
    <cellStyle name="Comma 2 2 4 3" xfId="243"/>
    <cellStyle name="Comma 2 2 4 3 2" xfId="244"/>
    <cellStyle name="Comma 2 2 4 3 2 2" xfId="245"/>
    <cellStyle name="Comma 2 2 4 4" xfId="246"/>
    <cellStyle name="Comma 2 2 5" xfId="247"/>
    <cellStyle name="Comma 2 2 5 2" xfId="248"/>
    <cellStyle name="Comma 2 2 5 2 2" xfId="249"/>
    <cellStyle name="Comma 2 2 5 2 2 2" xfId="250"/>
    <cellStyle name="Comma 2 2 5 3" xfId="251"/>
    <cellStyle name="Comma 2 2 6" xfId="252"/>
    <cellStyle name="Comma 2 2 6 2" xfId="253"/>
    <cellStyle name="Comma 2 3" xfId="254"/>
    <cellStyle name="Comma 2 3 2" xfId="658"/>
    <cellStyle name="Comma 2 4" xfId="255"/>
    <cellStyle name="Comma 2 4 2" xfId="256"/>
    <cellStyle name="Comma 2 4 3" xfId="257"/>
    <cellStyle name="Comma 2 4 4" xfId="258"/>
    <cellStyle name="Comma 2 4 5" xfId="259"/>
    <cellStyle name="Comma 2 4 6" xfId="659"/>
    <cellStyle name="Comma 2 5" xfId="260"/>
    <cellStyle name="Comma 2 6" xfId="261"/>
    <cellStyle name="Comma 2 7" xfId="262"/>
    <cellStyle name="Comma 20" xfId="263"/>
    <cellStyle name="Comma 21" xfId="264"/>
    <cellStyle name="Comma 22" xfId="265"/>
    <cellStyle name="Comma 22 2" xfId="266"/>
    <cellStyle name="Comma 23" xfId="267"/>
    <cellStyle name="Comma 24" xfId="268"/>
    <cellStyle name="Comma 24 2" xfId="269"/>
    <cellStyle name="Comma 25" xfId="270"/>
    <cellStyle name="Comma 26" xfId="271"/>
    <cellStyle name="Comma 26 2" xfId="272"/>
    <cellStyle name="Comma 29" xfId="273"/>
    <cellStyle name="Comma 3" xfId="274"/>
    <cellStyle name="Comma 3 2" xfId="275"/>
    <cellStyle name="Comma 3 3" xfId="276"/>
    <cellStyle name="Comma 3 4" xfId="277"/>
    <cellStyle name="Comma 3 5" xfId="278"/>
    <cellStyle name="Comma 3 6" xfId="279"/>
    <cellStyle name="Comma 3 7" xfId="660"/>
    <cellStyle name="Comma 4" xfId="280"/>
    <cellStyle name="Comma 5" xfId="281"/>
    <cellStyle name="Comma 5 2" xfId="661"/>
    <cellStyle name="Comma 6" xfId="282"/>
    <cellStyle name="Comma 7" xfId="283"/>
    <cellStyle name="Comma 8" xfId="284"/>
    <cellStyle name="Comma 9" xfId="285"/>
    <cellStyle name="Currency 2 2" xfId="662"/>
    <cellStyle name="Currency 2 3" xfId="663"/>
    <cellStyle name="Currency 2 4" xfId="664"/>
    <cellStyle name="Currency 2 5" xfId="665"/>
    <cellStyle name="Currency_CI-Prov" xfId="666"/>
    <cellStyle name="Diseño" xfId="286"/>
    <cellStyle name="Encabezado 4 2" xfId="287"/>
    <cellStyle name="Encabezado 4 2 2" xfId="288"/>
    <cellStyle name="Énfasis1 2" xfId="289"/>
    <cellStyle name="Énfasis1 2 2" xfId="290"/>
    <cellStyle name="Énfasis2 2" xfId="291"/>
    <cellStyle name="Énfasis2 2 2" xfId="292"/>
    <cellStyle name="Énfasis3 2" xfId="293"/>
    <cellStyle name="Énfasis3 2 2" xfId="294"/>
    <cellStyle name="Énfasis4 2" xfId="295"/>
    <cellStyle name="Énfasis4 2 2" xfId="296"/>
    <cellStyle name="Énfasis5 2" xfId="297"/>
    <cellStyle name="Énfasis5 2 2" xfId="298"/>
    <cellStyle name="Énfasis6 2" xfId="299"/>
    <cellStyle name="Énfasis6 2 2" xfId="300"/>
    <cellStyle name="Entrada 2" xfId="301"/>
    <cellStyle name="Entrada 2 2" xfId="302"/>
    <cellStyle name="Euro" xfId="303"/>
    <cellStyle name="Euro 2" xfId="630"/>
    <cellStyle name="Euro 3" xfId="667"/>
    <cellStyle name="Euro 4" xfId="668"/>
    <cellStyle name="Euro 4 2" xfId="1042"/>
    <cellStyle name="Euro 5" xfId="1096"/>
    <cellStyle name="Explanatory Text" xfId="304"/>
    <cellStyle name="Explanatory Text 2" xfId="305"/>
    <cellStyle name="Followed Hyperlink" xfId="669"/>
    <cellStyle name="Followed Hyperlink 2" xfId="670"/>
    <cellStyle name="Good" xfId="306"/>
    <cellStyle name="Good 2" xfId="307"/>
    <cellStyle name="Heading 1" xfId="308"/>
    <cellStyle name="Heading 1 2" xfId="309"/>
    <cellStyle name="Heading 2" xfId="310"/>
    <cellStyle name="Heading 2 2" xfId="311"/>
    <cellStyle name="Heading 3" xfId="312"/>
    <cellStyle name="Heading 3 2" xfId="313"/>
    <cellStyle name="Heading 4" xfId="314"/>
    <cellStyle name="Heading 4 2" xfId="315"/>
    <cellStyle name="Hipervínculo" xfId="1117"/>
    <cellStyle name="Hipervínculo 2" xfId="316"/>
    <cellStyle name="Hyperlink" xfId="671"/>
    <cellStyle name="Hyperlink 2" xfId="672"/>
    <cellStyle name="Incorrecto 2" xfId="317"/>
    <cellStyle name="Incorrecto 2 2" xfId="318"/>
    <cellStyle name="Input" xfId="319"/>
    <cellStyle name="Input 2" xfId="320"/>
    <cellStyle name="Linked Cell" xfId="321"/>
    <cellStyle name="Linked Cell 2" xfId="322"/>
    <cellStyle name="Millares" xfId="323" builtinId="3"/>
    <cellStyle name="Millares 10" xfId="673"/>
    <cellStyle name="Millares 10 2" xfId="607"/>
    <cellStyle name="Millares 10 2 2" xfId="674"/>
    <cellStyle name="Millares 10 2 2 2" xfId="675"/>
    <cellStyle name="Millares 10 2 2 2 2" xfId="676"/>
    <cellStyle name="Millares 10 2 2 3" xfId="677"/>
    <cellStyle name="Millares 10 2 3" xfId="678"/>
    <cellStyle name="Millares 10 2 3 2" xfId="679"/>
    <cellStyle name="Millares 10 2 4" xfId="680"/>
    <cellStyle name="Millares 10 2 5" xfId="681"/>
    <cellStyle name="Millares 10 3" xfId="682"/>
    <cellStyle name="Millares 11" xfId="683"/>
    <cellStyle name="Millares 11 2" xfId="684"/>
    <cellStyle name="Millares 11 3" xfId="685"/>
    <cellStyle name="Millares 11 4" xfId="686"/>
    <cellStyle name="Millares 11 5" xfId="687"/>
    <cellStyle name="Millares 11 6" xfId="688"/>
    <cellStyle name="Millares 11 7" xfId="689"/>
    <cellStyle name="Millares 11 8" xfId="690"/>
    <cellStyle name="Millares 11 9" xfId="691"/>
    <cellStyle name="Millares 12" xfId="692"/>
    <cellStyle name="Millares 12 2" xfId="1043"/>
    <cellStyle name="Millares 13" xfId="693"/>
    <cellStyle name="Millares 13 10" xfId="1044"/>
    <cellStyle name="Millares 13 12" xfId="694"/>
    <cellStyle name="Millares 13 13" xfId="695"/>
    <cellStyle name="Millares 13 2" xfId="696"/>
    <cellStyle name="Millares 13 2 2" xfId="697"/>
    <cellStyle name="Millares 13 2 2 2" xfId="698"/>
    <cellStyle name="Millares 13 2 3" xfId="699"/>
    <cellStyle name="Millares 13 3" xfId="700"/>
    <cellStyle name="Millares 13 3 2" xfId="701"/>
    <cellStyle name="Millares 13 4" xfId="702"/>
    <cellStyle name="Millares 13 5" xfId="703"/>
    <cellStyle name="Millares 13 6" xfId="704"/>
    <cellStyle name="Millares 13 7" xfId="705"/>
    <cellStyle name="Millares 13 8" xfId="706"/>
    <cellStyle name="Millares 13 9" xfId="707"/>
    <cellStyle name="Millares 14" xfId="708"/>
    <cellStyle name="Millares 14 2" xfId="1045"/>
    <cellStyle name="Millares 14 3" xfId="1109"/>
    <cellStyle name="Millares 15" xfId="324"/>
    <cellStyle name="Millares 16" xfId="709"/>
    <cellStyle name="Millares 16 2" xfId="1046"/>
    <cellStyle name="Millares 17" xfId="1047"/>
    <cellStyle name="Millares 18" xfId="1090"/>
    <cellStyle name="Millares 18 2" xfId="1097"/>
    <cellStyle name="Millares 19" xfId="1106"/>
    <cellStyle name="Millares 19 2" xfId="1112"/>
    <cellStyle name="Millares 2" xfId="325"/>
    <cellStyle name="Millares 2 10" xfId="710"/>
    <cellStyle name="Millares 2 11" xfId="1120"/>
    <cellStyle name="Millares 2 2" xfId="326"/>
    <cellStyle name="Millares 2 2 2" xfId="711"/>
    <cellStyle name="Millares 2 2 3" xfId="712"/>
    <cellStyle name="Millares 2 3" xfId="327"/>
    <cellStyle name="Millares 2 3 2" xfId="713"/>
    <cellStyle name="Millares 2 4" xfId="328"/>
    <cellStyle name="Millares 2 4 2" xfId="329"/>
    <cellStyle name="Millares 2 5" xfId="330"/>
    <cellStyle name="Millares 2 6" xfId="331"/>
    <cellStyle name="Millares 2 7" xfId="332"/>
    <cellStyle name="Millares 2 8" xfId="333"/>
    <cellStyle name="Millares 2 9" xfId="334"/>
    <cellStyle name="Millares 20" xfId="1115"/>
    <cellStyle name="Millares 3" xfId="335"/>
    <cellStyle name="Millares 3 2" xfId="714"/>
    <cellStyle name="Millares 3 3" xfId="715"/>
    <cellStyle name="Millares 3 4" xfId="716"/>
    <cellStyle name="Millares 3 5" xfId="717"/>
    <cellStyle name="Millares 3 6" xfId="718"/>
    <cellStyle name="Millares 3 7" xfId="719"/>
    <cellStyle name="Millares 3 8" xfId="720"/>
    <cellStyle name="Millares 4" xfId="336"/>
    <cellStyle name="Millares 4 2" xfId="721"/>
    <cellStyle name="Millares 5" xfId="337"/>
    <cellStyle name="Millares 5 2" xfId="338"/>
    <cellStyle name="Millares 6" xfId="339"/>
    <cellStyle name="Millares 6 2" xfId="584"/>
    <cellStyle name="Millares 6 3" xfId="722"/>
    <cellStyle name="Millares 6 4" xfId="723"/>
    <cellStyle name="Millares 6 5" xfId="724"/>
    <cellStyle name="Millares 6 6" xfId="725"/>
    <cellStyle name="Millares 6 7" xfId="726"/>
    <cellStyle name="Millares 7" xfId="340"/>
    <cellStyle name="Millares 7 2" xfId="341"/>
    <cellStyle name="Millares 7 2 2" xfId="727"/>
    <cellStyle name="Millares 7 3" xfId="728"/>
    <cellStyle name="Millares 7 4" xfId="729"/>
    <cellStyle name="Millares 7 5" xfId="730"/>
    <cellStyle name="Millares 7 6" xfId="731"/>
    <cellStyle name="Millares 7 7" xfId="732"/>
    <cellStyle name="Millares 7 8" xfId="733"/>
    <cellStyle name="Millares 8" xfId="342"/>
    <cellStyle name="Millares 8 2" xfId="734"/>
    <cellStyle name="Millares 9" xfId="627"/>
    <cellStyle name="Millares 9 2" xfId="735"/>
    <cellStyle name="Millares 9 2 2" xfId="736"/>
    <cellStyle name="Moneda 2" xfId="343"/>
    <cellStyle name="Moneda 2 2" xfId="582"/>
    <cellStyle name="Neutral 2" xfId="344"/>
    <cellStyle name="Neutral 2 2" xfId="345"/>
    <cellStyle name="Normal" xfId="0" builtinId="0"/>
    <cellStyle name="Normal 10" xfId="346"/>
    <cellStyle name="Normal 10 2" xfId="347"/>
    <cellStyle name="Normal 10 2 2" xfId="348"/>
    <cellStyle name="Normal 10 2 2 2" xfId="600"/>
    <cellStyle name="Normal 10 2 2 2 2" xfId="1048"/>
    <cellStyle name="Normal 10 2 3" xfId="631"/>
    <cellStyle name="Normal 10 3" xfId="349"/>
    <cellStyle name="Normal 10 3 2" xfId="350"/>
    <cellStyle name="Normal 10 4" xfId="351"/>
    <cellStyle name="Normal 10 5" xfId="737"/>
    <cellStyle name="Normal 100" xfId="738"/>
    <cellStyle name="Normal 101" xfId="739"/>
    <cellStyle name="Normal 101 2" xfId="1049"/>
    <cellStyle name="Normal 102" xfId="740"/>
    <cellStyle name="Normal 102 2" xfId="1050"/>
    <cellStyle name="Normal 103" xfId="741"/>
    <cellStyle name="Normal 103 2" xfId="1051"/>
    <cellStyle name="Normal 104" xfId="742"/>
    <cellStyle name="Normal 104 2" xfId="1052"/>
    <cellStyle name="Normal 105" xfId="743"/>
    <cellStyle name="Normal 106" xfId="744"/>
    <cellStyle name="Normal 107" xfId="745"/>
    <cellStyle name="Normal 107 2" xfId="1053"/>
    <cellStyle name="Normal 108" xfId="1054"/>
    <cellStyle name="Normal 109" xfId="1055"/>
    <cellStyle name="Normal 11" xfId="352"/>
    <cellStyle name="Normal 11 2" xfId="353"/>
    <cellStyle name="Normal 11 2 2" xfId="354"/>
    <cellStyle name="Normal 11 2 2 2" xfId="746"/>
    <cellStyle name="Normal 11 2 2 2 2" xfId="747"/>
    <cellStyle name="Normal 11 2 2 3" xfId="748"/>
    <cellStyle name="Normal 11 2 3" xfId="749"/>
    <cellStyle name="Normal 11 2 3 2" xfId="750"/>
    <cellStyle name="Normal 11 2 4" xfId="751"/>
    <cellStyle name="Normal 11 3" xfId="355"/>
    <cellStyle name="Normal 11 3 2" xfId="752"/>
    <cellStyle name="Normal 11 3 2 2" xfId="753"/>
    <cellStyle name="Normal 11 3 2 2 2" xfId="754"/>
    <cellStyle name="Normal 11 3 2 3" xfId="755"/>
    <cellStyle name="Normal 11 3 3" xfId="756"/>
    <cellStyle name="Normal 11 3 3 2" xfId="757"/>
    <cellStyle name="Normal 11 3 4" xfId="758"/>
    <cellStyle name="Normal 11 4" xfId="759"/>
    <cellStyle name="Normal 11 4 2" xfId="760"/>
    <cellStyle name="Normal 11 4 2 2" xfId="761"/>
    <cellStyle name="Normal 11 4 3" xfId="762"/>
    <cellStyle name="Normal 11 5" xfId="763"/>
    <cellStyle name="Normal 11 5 2" xfId="764"/>
    <cellStyle name="Normal 11 6" xfId="765"/>
    <cellStyle name="Normal 110" xfId="1056"/>
    <cellStyle name="Normal 111" xfId="1057"/>
    <cellStyle name="Normal 112" xfId="1058"/>
    <cellStyle name="Normal 112 2" xfId="1099"/>
    <cellStyle name="Normal 113" xfId="1059"/>
    <cellStyle name="Normal 113 2" xfId="1103"/>
    <cellStyle name="Normal 114" xfId="1089"/>
    <cellStyle name="Normal 114 2" xfId="1101"/>
    <cellStyle name="Normal 114 3" xfId="1114"/>
    <cellStyle name="Normal 115" xfId="1094"/>
    <cellStyle name="Normal 115 2" xfId="1116"/>
    <cellStyle name="Normal 116" xfId="1095"/>
    <cellStyle name="Normal 117" xfId="1100"/>
    <cellStyle name="Normal 117 2" xfId="1108"/>
    <cellStyle name="Normal 118" xfId="1102"/>
    <cellStyle name="Normal 119" xfId="1104"/>
    <cellStyle name="Normal 12" xfId="356"/>
    <cellStyle name="Normal 12 2" xfId="357"/>
    <cellStyle name="Normal 12 2 2" xfId="358"/>
    <cellStyle name="Normal 12 2 2 2" xfId="766"/>
    <cellStyle name="Normal 12 2 3" xfId="767"/>
    <cellStyle name="Normal 12 3" xfId="359"/>
    <cellStyle name="Normal 12 3 2" xfId="768"/>
    <cellStyle name="Normal 12 4" xfId="769"/>
    <cellStyle name="Normal 120" xfId="1105"/>
    <cellStyle name="Normal 121" xfId="1111"/>
    <cellStyle name="Normal 122" xfId="1118"/>
    <cellStyle name="Normal 123" xfId="1121"/>
    <cellStyle name="Normal 124" xfId="1122"/>
    <cellStyle name="Normal 125" xfId="1123"/>
    <cellStyle name="Normal 13" xfId="360"/>
    <cellStyle name="Normal 13 2" xfId="361"/>
    <cellStyle name="Normal 13 2 2" xfId="362"/>
    <cellStyle name="Normal 13 2 2 2" xfId="770"/>
    <cellStyle name="Normal 13 2 3" xfId="771"/>
    <cellStyle name="Normal 13 2 4" xfId="772"/>
    <cellStyle name="Normal 13 3" xfId="363"/>
    <cellStyle name="Normal 13 3 2" xfId="773"/>
    <cellStyle name="Normal 13 4" xfId="774"/>
    <cellStyle name="Normal 13 5" xfId="775"/>
    <cellStyle name="Normal 13 6" xfId="776"/>
    <cellStyle name="Normal 13 7" xfId="777"/>
    <cellStyle name="Normal 13 8" xfId="778"/>
    <cellStyle name="Normal 14" xfId="364"/>
    <cellStyle name="Normal 14 2" xfId="365"/>
    <cellStyle name="Normal 14 2 2" xfId="366"/>
    <cellStyle name="Normal 14 2 2 2" xfId="779"/>
    <cellStyle name="Normal 14 2 3" xfId="780"/>
    <cellStyle name="Normal 14 3" xfId="367"/>
    <cellStyle name="Normal 14 3 2" xfId="781"/>
    <cellStyle name="Normal 14 4" xfId="782"/>
    <cellStyle name="Normal 15" xfId="368"/>
    <cellStyle name="Normal 15 2" xfId="369"/>
    <cellStyle name="Normal 15 2 2" xfId="370"/>
    <cellStyle name="Normal 15 2 2 2" xfId="783"/>
    <cellStyle name="Normal 15 2 3" xfId="784"/>
    <cellStyle name="Normal 15 3" xfId="371"/>
    <cellStyle name="Normal 15 3 2" xfId="785"/>
    <cellStyle name="Normal 15 4" xfId="786"/>
    <cellStyle name="Normal 16" xfId="372"/>
    <cellStyle name="Normal 16 2" xfId="373"/>
    <cellStyle name="Normal 16 2 2" xfId="374"/>
    <cellStyle name="Normal 16 2 2 2" xfId="787"/>
    <cellStyle name="Normal 16 2 3" xfId="788"/>
    <cellStyle name="Normal 16 3" xfId="375"/>
    <cellStyle name="Normal 16 3 2" xfId="789"/>
    <cellStyle name="Normal 16 4" xfId="790"/>
    <cellStyle name="Normal 17" xfId="376"/>
    <cellStyle name="Normal 17 2" xfId="377"/>
    <cellStyle name="Normal 17 2 2" xfId="378"/>
    <cellStyle name="Normal 17 3" xfId="379"/>
    <cellStyle name="Normal 18" xfId="380"/>
    <cellStyle name="Normal 18 2" xfId="381"/>
    <cellStyle name="Normal 18 2 2" xfId="382"/>
    <cellStyle name="Normal 18 3" xfId="383"/>
    <cellStyle name="Normal 18 4" xfId="791"/>
    <cellStyle name="Normal 18 5" xfId="792"/>
    <cellStyle name="Normal 19" xfId="384"/>
    <cellStyle name="Normal 19 2" xfId="385"/>
    <cellStyle name="Normal 19 2 2" xfId="386"/>
    <cellStyle name="Normal 19 3" xfId="387"/>
    <cellStyle name="Normal 2" xfId="388"/>
    <cellStyle name="Normal 2 10" xfId="389"/>
    <cellStyle name="Normal 2 11" xfId="390"/>
    <cellStyle name="Normal 2 12" xfId="391"/>
    <cellStyle name="Normal 2 12 2" xfId="598"/>
    <cellStyle name="Normal 2 13" xfId="392"/>
    <cellStyle name="Normal 2 14" xfId="393"/>
    <cellStyle name="Normal 2 15" xfId="611"/>
    <cellStyle name="Normal 2 15 2" xfId="793"/>
    <cellStyle name="Normal 2 16" xfId="614"/>
    <cellStyle name="Normal 2 16 2" xfId="1060"/>
    <cellStyle name="Normal 2 16 3" xfId="1061"/>
    <cellStyle name="Normal 2 16 4" xfId="1062"/>
    <cellStyle name="Normal 2 17" xfId="1119"/>
    <cellStyle name="Normal 2 2" xfId="394"/>
    <cellStyle name="Normal 2 2 10" xfId="395"/>
    <cellStyle name="Normal 2 2 11" xfId="396"/>
    <cellStyle name="Normal 2 2 12" xfId="397"/>
    <cellStyle name="Normal 2 2 2" xfId="398"/>
    <cellStyle name="Normal 2 2 2 2" xfId="399"/>
    <cellStyle name="Normal 2 2 3" xfId="400"/>
    <cellStyle name="Normal 2 2 3 2" xfId="401"/>
    <cellStyle name="Normal 2 2 4" xfId="402"/>
    <cellStyle name="Normal 2 2 4 2" xfId="403"/>
    <cellStyle name="Normal 2 2 5" xfId="404"/>
    <cellStyle name="Normal 2 2 5 2" xfId="405"/>
    <cellStyle name="Normal 2 2 6" xfId="406"/>
    <cellStyle name="Normal 2 2 6 2" xfId="407"/>
    <cellStyle name="Normal 2 2 7" xfId="408"/>
    <cellStyle name="Normal 2 2 8" xfId="409"/>
    <cellStyle name="Normal 2 2 9" xfId="410"/>
    <cellStyle name="Normal 2 2_6a" xfId="411"/>
    <cellStyle name="Normal 2 3" xfId="412"/>
    <cellStyle name="Normal 2 3 2" xfId="413"/>
    <cellStyle name="Normal 2 3 3" xfId="414"/>
    <cellStyle name="Normal 2 3 4" xfId="415"/>
    <cellStyle name="Normal 2 3 5" xfId="416"/>
    <cellStyle name="Normal 2 3_6a" xfId="417"/>
    <cellStyle name="Normal 2 4" xfId="418"/>
    <cellStyle name="Normal 2 4 2" xfId="419"/>
    <cellStyle name="Normal 2 4 2 2" xfId="794"/>
    <cellStyle name="Normal 2 4 3" xfId="420"/>
    <cellStyle name="Normal 2 4 4" xfId="421"/>
    <cellStyle name="Normal 2 4 5" xfId="422"/>
    <cellStyle name="Normal 2 5" xfId="423"/>
    <cellStyle name="Normal 2 5 2" xfId="424"/>
    <cellStyle name="Normal 2 5 3" xfId="425"/>
    <cellStyle name="Normal 2 5 4" xfId="426"/>
    <cellStyle name="Normal 2 5 5" xfId="427"/>
    <cellStyle name="Normal 2 6" xfId="428"/>
    <cellStyle name="Normal 2 6 2" xfId="429"/>
    <cellStyle name="Normal 2 7" xfId="430"/>
    <cellStyle name="Normal 2 8" xfId="431"/>
    <cellStyle name="Normal 2 9" xfId="432"/>
    <cellStyle name="Normal 2_6a" xfId="433"/>
    <cellStyle name="Normal 20" xfId="434"/>
    <cellStyle name="Normal 20 2" xfId="435"/>
    <cellStyle name="Normal 20 2 2" xfId="436"/>
    <cellStyle name="Normal 20 3" xfId="437"/>
    <cellStyle name="Normal 20 4" xfId="795"/>
    <cellStyle name="Normal 20 5" xfId="796"/>
    <cellStyle name="Normal 21" xfId="438"/>
    <cellStyle name="Normal 21 2" xfId="439"/>
    <cellStyle name="Normal 21 2 2" xfId="440"/>
    <cellStyle name="Normal 21 3" xfId="441"/>
    <cellStyle name="Normal 22" xfId="442"/>
    <cellStyle name="Normal 22 2" xfId="443"/>
    <cellStyle name="Normal 22 2 2" xfId="797"/>
    <cellStyle name="Normal 22 3" xfId="632"/>
    <cellStyle name="Normal 23" xfId="444"/>
    <cellStyle name="Normal 23 2" xfId="445"/>
    <cellStyle name="Normal 23 2 2" xfId="798"/>
    <cellStyle name="Normal 23 3" xfId="799"/>
    <cellStyle name="Normal 23 4" xfId="800"/>
    <cellStyle name="Normal 23 5" xfId="801"/>
    <cellStyle name="Normal 23 6" xfId="1063"/>
    <cellStyle name="Normal 24" xfId="446"/>
    <cellStyle name="Normal 24 2" xfId="447"/>
    <cellStyle name="Normal 24 3" xfId="802"/>
    <cellStyle name="Normal 25" xfId="448"/>
    <cellStyle name="Normal 25 2" xfId="449"/>
    <cellStyle name="Normal 25 3" xfId="652"/>
    <cellStyle name="Normal 26" xfId="450"/>
    <cellStyle name="Normal 26 2" xfId="451"/>
    <cellStyle name="Normal 26 3" xfId="633"/>
    <cellStyle name="Normal 27" xfId="452"/>
    <cellStyle name="Normal 27 2" xfId="585"/>
    <cellStyle name="Normal 28" xfId="453"/>
    <cellStyle name="Normal 28 2" xfId="586"/>
    <cellStyle name="Normal 29" xfId="454"/>
    <cellStyle name="Normal 29 2" xfId="587"/>
    <cellStyle name="Normal 29 3" xfId="803"/>
    <cellStyle name="Normal 3" xfId="455"/>
    <cellStyle name="Normal 3 2" xfId="456"/>
    <cellStyle name="Normal 3 2 2" xfId="457"/>
    <cellStyle name="Normal 3 3" xfId="458"/>
    <cellStyle name="Normal 3 3 2" xfId="459"/>
    <cellStyle name="Normal 3 3 2 2" xfId="460"/>
    <cellStyle name="Normal 3 3 3" xfId="461"/>
    <cellStyle name="Normal 3 4" xfId="462"/>
    <cellStyle name="Normal 3 4 2" xfId="463"/>
    <cellStyle name="Normal 3 5" xfId="464"/>
    <cellStyle name="Normal 3 6" xfId="465"/>
    <cellStyle name="Normal 3 7" xfId="466"/>
    <cellStyle name="Normal 3 8" xfId="467"/>
    <cellStyle name="Normal 3_6a" xfId="468"/>
    <cellStyle name="Normal 30" xfId="469"/>
    <cellStyle name="Normal 30 2" xfId="588"/>
    <cellStyle name="Normal 31" xfId="470"/>
    <cellStyle name="Normal 31 2" xfId="589"/>
    <cellStyle name="Normal 32" xfId="471"/>
    <cellStyle name="Normal 32 2" xfId="590"/>
    <cellStyle name="Normal 33" xfId="472"/>
    <cellStyle name="Normal 33 2" xfId="591"/>
    <cellStyle name="Normal 34" xfId="473"/>
    <cellStyle name="Normal 34 2" xfId="592"/>
    <cellStyle name="Normal 35" xfId="474"/>
    <cellStyle name="Normal 35 2" xfId="593"/>
    <cellStyle name="Normal 36" xfId="475"/>
    <cellStyle name="Normal 36 2" xfId="594"/>
    <cellStyle name="Normal 37" xfId="476"/>
    <cellStyle name="Normal 37 2" xfId="595"/>
    <cellStyle name="Normal 38" xfId="477"/>
    <cellStyle name="Normal 38 2" xfId="596"/>
    <cellStyle name="Normal 39" xfId="478"/>
    <cellStyle name="Normal 39 2" xfId="597"/>
    <cellStyle name="Normal 39 3" xfId="581"/>
    <cellStyle name="Normal 4" xfId="479"/>
    <cellStyle name="Normal 4 10" xfId="804"/>
    <cellStyle name="Normal 4 11" xfId="805"/>
    <cellStyle name="Normal 4 12" xfId="806"/>
    <cellStyle name="Normal 4 2" xfId="480"/>
    <cellStyle name="Normal 4 2 2" xfId="481"/>
    <cellStyle name="Normal 4 2 2 2" xfId="482"/>
    <cellStyle name="Normal 4 2 2 2 2" xfId="807"/>
    <cellStyle name="Normal 4 2 2 3" xfId="808"/>
    <cellStyle name="Normal 4 2 3" xfId="483"/>
    <cellStyle name="Normal 4 2 3 2" xfId="809"/>
    <cellStyle name="Normal 4 2 4" xfId="810"/>
    <cellStyle name="Normal 4 3" xfId="484"/>
    <cellStyle name="Normal 4 3 2" xfId="811"/>
    <cellStyle name="Normal 4 3 2 2" xfId="812"/>
    <cellStyle name="Normal 4 3 2 2 2" xfId="813"/>
    <cellStyle name="Normal 4 3 2 3" xfId="814"/>
    <cellStyle name="Normal 4 3 3" xfId="815"/>
    <cellStyle name="Normal 4 3 3 2" xfId="816"/>
    <cellStyle name="Normal 4 3 4" xfId="817"/>
    <cellStyle name="Normal 4 4" xfId="485"/>
    <cellStyle name="Normal 4 4 2" xfId="818"/>
    <cellStyle name="Normal 4 4 2 2" xfId="819"/>
    <cellStyle name="Normal 4 4 2 2 2" xfId="820"/>
    <cellStyle name="Normal 4 4 2 3" xfId="821"/>
    <cellStyle name="Normal 4 4 3" xfId="822"/>
    <cellStyle name="Normal 4 4 3 2" xfId="823"/>
    <cellStyle name="Normal 4 4 4" xfId="824"/>
    <cellStyle name="Normal 4 5" xfId="486"/>
    <cellStyle name="Normal 4 5 2" xfId="825"/>
    <cellStyle name="Normal 4 5 2 2" xfId="826"/>
    <cellStyle name="Normal 4 5 2 2 2" xfId="827"/>
    <cellStyle name="Normal 4 5 2 3" xfId="828"/>
    <cellStyle name="Normal 4 5 3" xfId="829"/>
    <cellStyle name="Normal 4 5 3 2" xfId="830"/>
    <cellStyle name="Normal 4 5 4" xfId="831"/>
    <cellStyle name="Normal 4 6" xfId="487"/>
    <cellStyle name="Normal 4 6 2" xfId="832"/>
    <cellStyle name="Normal 4 6 2 2" xfId="833"/>
    <cellStyle name="Normal 4 6 2 2 2" xfId="834"/>
    <cellStyle name="Normal 4 6 2 3" xfId="835"/>
    <cellStyle name="Normal 4 6 3" xfId="836"/>
    <cellStyle name="Normal 4 6 3 2" xfId="837"/>
    <cellStyle name="Normal 4 6 4" xfId="838"/>
    <cellStyle name="Normal 4 7" xfId="839"/>
    <cellStyle name="Normal 4 7 2" xfId="840"/>
    <cellStyle name="Normal 4 7 2 2" xfId="841"/>
    <cellStyle name="Normal 4 7 2 2 2" xfId="842"/>
    <cellStyle name="Normal 4 7 2 3" xfId="843"/>
    <cellStyle name="Normal 4 7 3" xfId="844"/>
    <cellStyle name="Normal 4 7 3 2" xfId="845"/>
    <cellStyle name="Normal 4 7 4" xfId="846"/>
    <cellStyle name="Normal 4 8" xfId="847"/>
    <cellStyle name="Normal 4 8 2" xfId="848"/>
    <cellStyle name="Normal 4 8 2 2" xfId="849"/>
    <cellStyle name="Normal 4 8 3" xfId="850"/>
    <cellStyle name="Normal 4 9" xfId="851"/>
    <cellStyle name="Normal 4 9 2" xfId="852"/>
    <cellStyle name="Normal 4 9 2 2" xfId="853"/>
    <cellStyle name="Normal 4 9 2 2 2" xfId="854"/>
    <cellStyle name="Normal 4 9 3" xfId="855"/>
    <cellStyle name="Normal 40" xfId="488"/>
    <cellStyle name="Normal 40 2" xfId="599"/>
    <cellStyle name="Normal 41" xfId="489"/>
    <cellStyle name="Normal 41 2" xfId="490"/>
    <cellStyle name="Normal 42" xfId="491"/>
    <cellStyle name="Normal 42 2" xfId="856"/>
    <cellStyle name="Normal 43" xfId="579"/>
    <cellStyle name="Normal 43 2" xfId="601"/>
    <cellStyle name="Normal 43 3" xfId="857"/>
    <cellStyle name="Normal 44" xfId="602"/>
    <cellStyle name="Normal 44 2" xfId="858"/>
    <cellStyle name="Normal 45" xfId="604"/>
    <cellStyle name="Normal 45 2" xfId="628"/>
    <cellStyle name="Normal 46" xfId="605"/>
    <cellStyle name="Normal 46 2" xfId="859"/>
    <cellStyle name="Normal 47" xfId="606"/>
    <cellStyle name="Normal 47 2" xfId="860"/>
    <cellStyle name="Normal 48" xfId="608"/>
    <cellStyle name="Normal 48 2" xfId="861"/>
    <cellStyle name="Normal 49" xfId="609"/>
    <cellStyle name="Normal 49 2" xfId="862"/>
    <cellStyle name="Normal 5" xfId="492"/>
    <cellStyle name="Normal 5 10" xfId="493"/>
    <cellStyle name="Normal 5 2" xfId="494"/>
    <cellStyle name="Normal 5 2 2" xfId="495"/>
    <cellStyle name="Normal 5 2 2 2" xfId="496"/>
    <cellStyle name="Normal 5 2 3" xfId="497"/>
    <cellStyle name="Normal 5 3" xfId="498"/>
    <cellStyle name="Normal 5 3 2" xfId="499"/>
    <cellStyle name="Normal 5 4" xfId="500"/>
    <cellStyle name="Normal 5 4 2" xfId="501"/>
    <cellStyle name="Normal 5 5" xfId="502"/>
    <cellStyle name="Normal 5 6" xfId="503"/>
    <cellStyle name="Normal 5 7" xfId="504"/>
    <cellStyle name="Normal 5 7 2" xfId="863"/>
    <cellStyle name="Normal 5 8" xfId="505"/>
    <cellStyle name="Normal 5 8 2" xfId="864"/>
    <cellStyle name="Normal 5 8 2 2" xfId="865"/>
    <cellStyle name="Normal 5 8 3" xfId="866"/>
    <cellStyle name="Normal 5 9" xfId="506"/>
    <cellStyle name="Normal 5 9 2" xfId="867"/>
    <cellStyle name="Normal 50" xfId="610"/>
    <cellStyle name="Normal 50 2" xfId="1064"/>
    <cellStyle name="Normal 51" xfId="612"/>
    <cellStyle name="Normal 51 2" xfId="634"/>
    <cellStyle name="Normal 51 3" xfId="1065"/>
    <cellStyle name="Normal 52" xfId="613"/>
    <cellStyle name="Normal 52 2" xfId="868"/>
    <cellStyle name="Normal 52 3" xfId="1066"/>
    <cellStyle name="Normal 53" xfId="615"/>
    <cellStyle name="Normal 53 2" xfId="1067"/>
    <cellStyle name="Normal 54" xfId="616"/>
    <cellStyle name="Normal 54 2" xfId="1068"/>
    <cellStyle name="Normal 55" xfId="617"/>
    <cellStyle name="Normal 55 2" xfId="1069"/>
    <cellStyle name="Normal 56" xfId="618"/>
    <cellStyle name="Normal 56 2" xfId="1070"/>
    <cellStyle name="Normal 57" xfId="619"/>
    <cellStyle name="Normal 57 2" xfId="1071"/>
    <cellStyle name="Normal 58" xfId="620"/>
    <cellStyle name="Normal 58 2" xfId="1072"/>
    <cellStyle name="Normal 59" xfId="621"/>
    <cellStyle name="Normal 59 2" xfId="1073"/>
    <cellStyle name="Normal 6" xfId="507"/>
    <cellStyle name="Normal 6 10" xfId="869"/>
    <cellStyle name="Normal 6 11" xfId="870"/>
    <cellStyle name="Normal 6 12" xfId="871"/>
    <cellStyle name="Normal 6 2" xfId="508"/>
    <cellStyle name="Normal 6 2 2" xfId="509"/>
    <cellStyle name="Normal 6 2 2 2" xfId="872"/>
    <cellStyle name="Normal 6 2 2 2 2" xfId="873"/>
    <cellStyle name="Normal 6 2 2 3" xfId="874"/>
    <cellStyle name="Normal 6 2 3" xfId="875"/>
    <cellStyle name="Normal 6 2 3 2" xfId="876"/>
    <cellStyle name="Normal 6 2 4" xfId="877"/>
    <cellStyle name="Normal 6 3" xfId="510"/>
    <cellStyle name="Normal 6 3 2" xfId="511"/>
    <cellStyle name="Normal 6 3 2 2" xfId="878"/>
    <cellStyle name="Normal 6 3 2 2 2" xfId="879"/>
    <cellStyle name="Normal 6 3 2 3" xfId="880"/>
    <cellStyle name="Normal 6 3 3" xfId="881"/>
    <cellStyle name="Normal 6 3 3 2" xfId="882"/>
    <cellStyle name="Normal 6 3 4" xfId="883"/>
    <cellStyle name="Normal 6 4" xfId="512"/>
    <cellStyle name="Normal 6 4 2" xfId="583"/>
    <cellStyle name="Normal 6 4 2 2" xfId="884"/>
    <cellStyle name="Normal 6 4 2 2 2" xfId="885"/>
    <cellStyle name="Normal 6 4 2 3" xfId="886"/>
    <cellStyle name="Normal 6 4 3" xfId="887"/>
    <cellStyle name="Normal 6 4 3 2" xfId="888"/>
    <cellStyle name="Normal 6 4 4" xfId="889"/>
    <cellStyle name="Normal 6 5" xfId="513"/>
    <cellStyle name="Normal 6 5 2" xfId="890"/>
    <cellStyle name="Normal 6 5 2 2" xfId="891"/>
    <cellStyle name="Normal 6 5 2 2 2" xfId="892"/>
    <cellStyle name="Normal 6 5 2 3" xfId="893"/>
    <cellStyle name="Normal 6 5 3" xfId="894"/>
    <cellStyle name="Normal 6 5 3 2" xfId="895"/>
    <cellStyle name="Normal 6 5 4" xfId="896"/>
    <cellStyle name="Normal 6 6" xfId="514"/>
    <cellStyle name="Normal 6 6 2" xfId="897"/>
    <cellStyle name="Normal 6 6 2 2" xfId="898"/>
    <cellStyle name="Normal 6 6 2 2 2" xfId="899"/>
    <cellStyle name="Normal 6 6 2 3" xfId="900"/>
    <cellStyle name="Normal 6 6 3" xfId="901"/>
    <cellStyle name="Normal 6 6 3 2" xfId="902"/>
    <cellStyle name="Normal 6 6 4" xfId="903"/>
    <cellStyle name="Normal 6 7" xfId="515"/>
    <cellStyle name="Normal 6 7 2" xfId="904"/>
    <cellStyle name="Normal 6 7 2 2" xfId="905"/>
    <cellStyle name="Normal 6 7 2 2 2" xfId="906"/>
    <cellStyle name="Normal 6 7 2 3" xfId="907"/>
    <cellStyle name="Normal 6 7 3" xfId="908"/>
    <cellStyle name="Normal 6 7 3 2" xfId="909"/>
    <cellStyle name="Normal 6 7 4" xfId="910"/>
    <cellStyle name="Normal 6 8" xfId="911"/>
    <cellStyle name="Normal 6 8 2" xfId="912"/>
    <cellStyle name="Normal 6 8 2 2" xfId="913"/>
    <cellStyle name="Normal 6 8 3" xfId="914"/>
    <cellStyle name="Normal 6 9" xfId="915"/>
    <cellStyle name="Normal 6 9 2" xfId="916"/>
    <cellStyle name="Normal 60" xfId="622"/>
    <cellStyle name="Normal 60 2" xfId="1074"/>
    <cellStyle name="Normal 61" xfId="623"/>
    <cellStyle name="Normal 61 2" xfId="1075"/>
    <cellStyle name="Normal 62" xfId="624"/>
    <cellStyle name="Normal 62 2" xfId="1076"/>
    <cellStyle name="Normal 63" xfId="625"/>
    <cellStyle name="Normal 63 2" xfId="1077"/>
    <cellStyle name="Normal 64" xfId="629"/>
    <cellStyle name="Normal 64 2" xfId="1078"/>
    <cellStyle name="Normal 65" xfId="626"/>
    <cellStyle name="Normal 65 2" xfId="1079"/>
    <cellStyle name="Normal 66" xfId="635"/>
    <cellStyle name="Normal 67" xfId="636"/>
    <cellStyle name="Normal 68" xfId="637"/>
    <cellStyle name="Normal 69" xfId="638"/>
    <cellStyle name="Normal 7" xfId="516"/>
    <cellStyle name="Normal 7 2" xfId="517"/>
    <cellStyle name="Normal 7 2 2" xfId="518"/>
    <cellStyle name="Normal 7 3" xfId="519"/>
    <cellStyle name="Normal 7 3 2" xfId="520"/>
    <cellStyle name="Normal 7 4" xfId="521"/>
    <cellStyle name="Normal 7 4 2" xfId="522"/>
    <cellStyle name="Normal 7 5" xfId="523"/>
    <cellStyle name="Normal 7 6" xfId="524"/>
    <cellStyle name="Normal 7 7" xfId="525"/>
    <cellStyle name="Normal 7 8" xfId="526"/>
    <cellStyle name="Normal 7 9" xfId="917"/>
    <cellStyle name="Normal 70" xfId="639"/>
    <cellStyle name="Normal 71" xfId="640"/>
    <cellStyle name="Normal 72" xfId="641"/>
    <cellStyle name="Normal 73" xfId="642"/>
    <cellStyle name="Normal 74" xfId="643"/>
    <cellStyle name="Normal 75" xfId="644"/>
    <cellStyle name="Normal 76" xfId="645"/>
    <cellStyle name="Normal 77" xfId="646"/>
    <cellStyle name="Normal 78" xfId="647"/>
    <cellStyle name="Normal 79" xfId="648"/>
    <cellStyle name="Normal 8" xfId="527"/>
    <cellStyle name="Normal 8 2" xfId="528"/>
    <cellStyle name="Normal 8 2 2" xfId="529"/>
    <cellStyle name="Normal 8 3" xfId="530"/>
    <cellStyle name="Normal 8 3 2" xfId="531"/>
    <cellStyle name="Normal 8 3 3" xfId="918"/>
    <cellStyle name="Normal 8 4" xfId="532"/>
    <cellStyle name="Normal 8 5" xfId="533"/>
    <cellStyle name="Normal 8 6" xfId="534"/>
    <cellStyle name="Normal 8 7" xfId="535"/>
    <cellStyle name="Normal 80" xfId="649"/>
    <cellStyle name="Normal 81" xfId="650"/>
    <cellStyle name="Normal 82" xfId="651"/>
    <cellStyle name="Normal 83" xfId="653"/>
    <cellStyle name="Normal 83 2" xfId="1080"/>
    <cellStyle name="Normal 84" xfId="654"/>
    <cellStyle name="Normal 85" xfId="655"/>
    <cellStyle name="Normal 85 2" xfId="1081"/>
    <cellStyle name="Normal 85 3" xfId="1092"/>
    <cellStyle name="Normal 86" xfId="656"/>
    <cellStyle name="Normal 86 2" xfId="1082"/>
    <cellStyle name="Normal 86 3" xfId="1093"/>
    <cellStyle name="Normal 87" xfId="657"/>
    <cellStyle name="Normal 87 2" xfId="919"/>
    <cellStyle name="Normal 87 3" xfId="1083"/>
    <cellStyle name="Normal 88" xfId="920"/>
    <cellStyle name="Normal 89" xfId="921"/>
    <cellStyle name="Normal 9" xfId="536"/>
    <cellStyle name="Normal 9 2" xfId="537"/>
    <cellStyle name="Normal 9 2 2" xfId="538"/>
    <cellStyle name="Normal 9 2 2 2" xfId="922"/>
    <cellStyle name="Normal 9 2 2 2 2" xfId="923"/>
    <cellStyle name="Normal 9 2 2 3" xfId="924"/>
    <cellStyle name="Normal 9 2 3" xfId="925"/>
    <cellStyle name="Normal 9 2 3 2" xfId="926"/>
    <cellStyle name="Normal 9 2 4" xfId="927"/>
    <cellStyle name="Normal 9 3" xfId="539"/>
    <cellStyle name="Normal 9 3 2" xfId="540"/>
    <cellStyle name="Normal 9 3 2 2" xfId="928"/>
    <cellStyle name="Normal 9 3 3" xfId="929"/>
    <cellStyle name="Normal 9 4" xfId="541"/>
    <cellStyle name="Normal 9 4 2" xfId="930"/>
    <cellStyle name="Normal 9 5" xfId="542"/>
    <cellStyle name="Normal 9 6" xfId="543"/>
    <cellStyle name="Normal 9 7" xfId="544"/>
    <cellStyle name="Normal 90" xfId="931"/>
    <cellStyle name="Normal 91" xfId="932"/>
    <cellStyle name="Normal 92" xfId="933"/>
    <cellStyle name="Normal 93" xfId="934"/>
    <cellStyle name="Normal 94" xfId="935"/>
    <cellStyle name="Normal 95" xfId="936"/>
    <cellStyle name="Normal 96" xfId="937"/>
    <cellStyle name="Normal 97" xfId="938"/>
    <cellStyle name="Normal 97 2" xfId="1084"/>
    <cellStyle name="Normal 98" xfId="939"/>
    <cellStyle name="Normal 99" xfId="940"/>
    <cellStyle name="Normal_IPCviejo" xfId="1088"/>
    <cellStyle name="Notas 2" xfId="545"/>
    <cellStyle name="Notas 2 2" xfId="546"/>
    <cellStyle name="Note" xfId="547"/>
    <cellStyle name="Note 2" xfId="548"/>
    <cellStyle name="Output" xfId="549"/>
    <cellStyle name="Output 2" xfId="550"/>
    <cellStyle name="Porcentaje" xfId="551" builtinId="5"/>
    <cellStyle name="Porcentaje 2" xfId="552"/>
    <cellStyle name="Porcentaje 3" xfId="941"/>
    <cellStyle name="Porcentaje 3 2" xfId="1085"/>
    <cellStyle name="Porcentaje 4" xfId="942"/>
    <cellStyle name="Porcentaje 4 2" xfId="1086"/>
    <cellStyle name="Porcentaje 5" xfId="1087"/>
    <cellStyle name="Porcentaje 6" xfId="1091"/>
    <cellStyle name="Porcentaje 6 2" xfId="1098"/>
    <cellStyle name="Porcentaje 7" xfId="1107"/>
    <cellStyle name="Porcentaje 7 2" xfId="1113"/>
    <cellStyle name="Porcentaje 9" xfId="1110"/>
    <cellStyle name="Porcentual 10" xfId="943"/>
    <cellStyle name="Porcentual 10 2" xfId="944"/>
    <cellStyle name="Porcentual 11" xfId="945"/>
    <cellStyle name="Porcentual 2" xfId="553"/>
    <cellStyle name="Porcentual 2 2" xfId="554"/>
    <cellStyle name="Porcentual 2 2 2" xfId="946"/>
    <cellStyle name="Porcentual 2 2 2 2" xfId="947"/>
    <cellStyle name="Porcentual 2 3" xfId="555"/>
    <cellStyle name="Porcentual 2 3 2" xfId="948"/>
    <cellStyle name="Porcentual 2 4" xfId="556"/>
    <cellStyle name="Porcentual 2 5" xfId="949"/>
    <cellStyle name="Porcentual 2 6" xfId="950"/>
    <cellStyle name="Porcentual 3" xfId="557"/>
    <cellStyle name="Porcentual 3 2" xfId="951"/>
    <cellStyle name="Porcentual 3 3" xfId="952"/>
    <cellStyle name="Porcentual 3 4" xfId="953"/>
    <cellStyle name="Porcentual 3 5" xfId="954"/>
    <cellStyle name="Porcentual 3 6" xfId="955"/>
    <cellStyle name="Porcentual 3 7" xfId="956"/>
    <cellStyle name="Porcentual 4" xfId="957"/>
    <cellStyle name="Porcentual 4 2" xfId="958"/>
    <cellStyle name="Porcentual 4 3" xfId="959"/>
    <cellStyle name="Porcentual 4 4" xfId="960"/>
    <cellStyle name="Porcentual 4 5" xfId="961"/>
    <cellStyle name="Porcentual 4 6" xfId="962"/>
    <cellStyle name="Porcentual 4 7" xfId="963"/>
    <cellStyle name="Porcentual 4 8" xfId="964"/>
    <cellStyle name="Porcentual 5" xfId="965"/>
    <cellStyle name="Porcentual 5 10" xfId="966"/>
    <cellStyle name="Porcentual 5 11" xfId="967"/>
    <cellStyle name="Porcentual 5 12" xfId="968"/>
    <cellStyle name="Porcentual 5 2" xfId="558"/>
    <cellStyle name="Porcentual 5 2 2" xfId="969"/>
    <cellStyle name="Porcentual 5 2 2 2" xfId="970"/>
    <cellStyle name="Porcentual 5 2 2 2 2" xfId="971"/>
    <cellStyle name="Porcentual 5 2 2 3" xfId="972"/>
    <cellStyle name="Porcentual 5 2 3" xfId="973"/>
    <cellStyle name="Porcentual 5 2 3 2" xfId="974"/>
    <cellStyle name="Porcentual 5 2 4" xfId="975"/>
    <cellStyle name="Porcentual 5 3" xfId="976"/>
    <cellStyle name="Porcentual 5 3 2" xfId="977"/>
    <cellStyle name="Porcentual 5 3 2 2" xfId="978"/>
    <cellStyle name="Porcentual 5 3 2 2 2" xfId="979"/>
    <cellStyle name="Porcentual 5 3 2 3" xfId="980"/>
    <cellStyle name="Porcentual 5 3 3" xfId="981"/>
    <cellStyle name="Porcentual 5 3 3 2" xfId="982"/>
    <cellStyle name="Porcentual 5 3 4" xfId="983"/>
    <cellStyle name="Porcentual 5 4" xfId="984"/>
    <cellStyle name="Porcentual 5 4 2" xfId="985"/>
    <cellStyle name="Porcentual 5 4 2 2" xfId="986"/>
    <cellStyle name="Porcentual 5 4 2 2 2" xfId="987"/>
    <cellStyle name="Porcentual 5 4 2 3" xfId="988"/>
    <cellStyle name="Porcentual 5 4 3" xfId="989"/>
    <cellStyle name="Porcentual 5 4 3 2" xfId="990"/>
    <cellStyle name="Porcentual 5 4 4" xfId="991"/>
    <cellStyle name="Porcentual 5 5" xfId="992"/>
    <cellStyle name="Porcentual 5 5 2" xfId="993"/>
    <cellStyle name="Porcentual 5 5 2 2" xfId="994"/>
    <cellStyle name="Porcentual 5 5 2 2 2" xfId="995"/>
    <cellStyle name="Porcentual 5 5 2 3" xfId="996"/>
    <cellStyle name="Porcentual 5 5 3" xfId="997"/>
    <cellStyle name="Porcentual 5 5 3 2" xfId="998"/>
    <cellStyle name="Porcentual 5 5 4" xfId="999"/>
    <cellStyle name="Porcentual 5 6" xfId="1000"/>
    <cellStyle name="Porcentual 5 6 2" xfId="1001"/>
    <cellStyle name="Porcentual 5 6 2 2" xfId="1002"/>
    <cellStyle name="Porcentual 5 6 2 2 2" xfId="1003"/>
    <cellStyle name="Porcentual 5 6 2 3" xfId="1004"/>
    <cellStyle name="Porcentual 5 6 3" xfId="1005"/>
    <cellStyle name="Porcentual 5 6 3 2" xfId="1006"/>
    <cellStyle name="Porcentual 5 6 4" xfId="1007"/>
    <cellStyle name="Porcentual 5 7" xfId="1008"/>
    <cellStyle name="Porcentual 5 7 2" xfId="1009"/>
    <cellStyle name="Porcentual 5 7 2 2" xfId="1010"/>
    <cellStyle name="Porcentual 5 7 2 2 2" xfId="1011"/>
    <cellStyle name="Porcentual 5 7 2 3" xfId="1012"/>
    <cellStyle name="Porcentual 5 7 3" xfId="1013"/>
    <cellStyle name="Porcentual 5 7 3 2" xfId="1014"/>
    <cellStyle name="Porcentual 5 7 4" xfId="1015"/>
    <cellStyle name="Porcentual 5 8" xfId="1016"/>
    <cellStyle name="Porcentual 5 8 2" xfId="1017"/>
    <cellStyle name="Porcentual 5 8 2 2" xfId="1018"/>
    <cellStyle name="Porcentual 5 8 3" xfId="1019"/>
    <cellStyle name="Porcentual 5 9" xfId="1020"/>
    <cellStyle name="Porcentual 5 9 2" xfId="1021"/>
    <cellStyle name="Porcentual 6" xfId="1022"/>
    <cellStyle name="Porcentual 6 2" xfId="1023"/>
    <cellStyle name="Porcentual 6 2 2" xfId="1024"/>
    <cellStyle name="Porcentual 6 2 2 2" xfId="1025"/>
    <cellStyle name="Porcentual 6 2 2 2 2" xfId="1026"/>
    <cellStyle name="Porcentual 6 3" xfId="1027"/>
    <cellStyle name="Porcentual 7" xfId="1028"/>
    <cellStyle name="Porcentual 7 2" xfId="1029"/>
    <cellStyle name="Porcentual 8" xfId="1030"/>
    <cellStyle name="Porcentual 8 2" xfId="1031"/>
    <cellStyle name="Porcentual 9" xfId="1032"/>
    <cellStyle name="Porcentual 9 2" xfId="1033"/>
    <cellStyle name="Porcentual 9 2 2" xfId="1034"/>
    <cellStyle name="Porcentual 9 2 2 2" xfId="1035"/>
    <cellStyle name="Porcentual 9 2 2 2 2" xfId="1036"/>
    <cellStyle name="Porcentual 9 2 2 3" xfId="1037"/>
    <cellStyle name="Porcentual 9 2 3" xfId="1038"/>
    <cellStyle name="Porcentual 9 2 3 2" xfId="1039"/>
    <cellStyle name="Porcentual 9 2 4" xfId="1040"/>
    <cellStyle name="Porcentual 9 2 5" xfId="1041"/>
    <cellStyle name="Salida 2" xfId="559"/>
    <cellStyle name="Salida 2 2" xfId="560"/>
    <cellStyle name="Texto de advertencia 2" xfId="561"/>
    <cellStyle name="Texto de advertencia 2 2" xfId="562"/>
    <cellStyle name="Texto explicativo 2" xfId="563"/>
    <cellStyle name="Texto explicativo 2 2" xfId="564"/>
    <cellStyle name="Title" xfId="565"/>
    <cellStyle name="Title 2" xfId="566"/>
    <cellStyle name="Título 1 2" xfId="567"/>
    <cellStyle name="Título 1 2 2" xfId="568"/>
    <cellStyle name="Título 2 2" xfId="569"/>
    <cellStyle name="Título 2 2 2" xfId="570"/>
    <cellStyle name="Título 3 2" xfId="571"/>
    <cellStyle name="Título 3 2 2" xfId="572"/>
    <cellStyle name="Título 4" xfId="573"/>
    <cellStyle name="Título 4 2" xfId="574"/>
    <cellStyle name="Total 2" xfId="575"/>
    <cellStyle name="Total 2 2" xfId="576"/>
    <cellStyle name="Total 2 2 2" xfId="603"/>
    <cellStyle name="Total 2 3" xfId="580"/>
    <cellStyle name="Warning Text" xfId="577"/>
    <cellStyle name="Warning Text 2" xfId="578"/>
  </cellStyles>
  <dxfs count="0"/>
  <tableStyles count="1" defaultTableStyle="TableStyleMedium9" defaultPivotStyle="PivotStyleLight16">
    <tableStyle name="Estilo de tabla 1" pivot="0" count="0"/>
  </tableStyles>
  <colors>
    <mruColors>
      <color rgb="FF9E2C96"/>
      <color rgb="FFB81271"/>
      <color rgb="FF249AA6"/>
      <color rgb="FFFF6600"/>
      <color rgb="FFFF3399"/>
      <color rgb="FF66FF33"/>
      <color rgb="FF19F333"/>
      <color rgb="FF0000FF"/>
      <color rgb="FF2AB2E2"/>
      <color rgb="FFA79E2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38" Type="http://schemas.openxmlformats.org/officeDocument/2006/relationships/worksheet" Target="worksheets/sheet138.xml"/><Relationship Id="rId154" Type="http://schemas.openxmlformats.org/officeDocument/2006/relationships/worksheet" Target="worksheets/sheet154.xml"/><Relationship Id="rId159" Type="http://schemas.openxmlformats.org/officeDocument/2006/relationships/worksheet" Target="worksheets/sheet159.xml"/><Relationship Id="rId170" Type="http://schemas.openxmlformats.org/officeDocument/2006/relationships/customXml" Target="../customXml/item2.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worksheet" Target="worksheets/sheet128.xml"/><Relationship Id="rId144" Type="http://schemas.openxmlformats.org/officeDocument/2006/relationships/worksheet" Target="worksheets/sheet144.xml"/><Relationship Id="rId149" Type="http://schemas.openxmlformats.org/officeDocument/2006/relationships/worksheet" Target="worksheets/sheet149.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160" Type="http://schemas.openxmlformats.org/officeDocument/2006/relationships/externalLink" Target="externalLinks/externalLink1.xml"/><Relationship Id="rId165" Type="http://schemas.openxmlformats.org/officeDocument/2006/relationships/styles" Target="styles.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worksheet" Target="worksheets/sheet134.xml"/><Relationship Id="rId139" Type="http://schemas.openxmlformats.org/officeDocument/2006/relationships/worksheet" Target="worksheets/sheet139.xml"/><Relationship Id="rId80" Type="http://schemas.openxmlformats.org/officeDocument/2006/relationships/worksheet" Target="worksheets/sheet80.xml"/><Relationship Id="rId85" Type="http://schemas.openxmlformats.org/officeDocument/2006/relationships/worksheet" Target="worksheets/sheet85.xml"/><Relationship Id="rId150" Type="http://schemas.openxmlformats.org/officeDocument/2006/relationships/worksheet" Target="worksheets/sheet150.xml"/><Relationship Id="rId155" Type="http://schemas.openxmlformats.org/officeDocument/2006/relationships/worksheet" Target="worksheets/sheet155.xml"/><Relationship Id="rId171" Type="http://schemas.openxmlformats.org/officeDocument/2006/relationships/customXml" Target="../customXml/item3.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worksheet" Target="worksheets/sheet140.xml"/><Relationship Id="rId145" Type="http://schemas.openxmlformats.org/officeDocument/2006/relationships/worksheet" Target="worksheets/sheet145.xml"/><Relationship Id="rId161" Type="http://schemas.openxmlformats.org/officeDocument/2006/relationships/externalLink" Target="externalLinks/externalLink2.xml"/><Relationship Id="rId16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worksheet" Target="worksheets/sheet106.xml"/><Relationship Id="rId114" Type="http://schemas.openxmlformats.org/officeDocument/2006/relationships/worksheet" Target="worksheets/sheet114.xml"/><Relationship Id="rId119" Type="http://schemas.openxmlformats.org/officeDocument/2006/relationships/worksheet" Target="worksheets/sheet119.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30" Type="http://schemas.openxmlformats.org/officeDocument/2006/relationships/worksheet" Target="worksheets/sheet130.xml"/><Relationship Id="rId135" Type="http://schemas.openxmlformats.org/officeDocument/2006/relationships/worksheet" Target="worksheets/sheet135.xml"/><Relationship Id="rId143" Type="http://schemas.openxmlformats.org/officeDocument/2006/relationships/worksheet" Target="worksheets/sheet143.xml"/><Relationship Id="rId148" Type="http://schemas.openxmlformats.org/officeDocument/2006/relationships/worksheet" Target="worksheets/sheet148.xml"/><Relationship Id="rId151" Type="http://schemas.openxmlformats.org/officeDocument/2006/relationships/worksheet" Target="worksheets/sheet151.xml"/><Relationship Id="rId156" Type="http://schemas.openxmlformats.org/officeDocument/2006/relationships/worksheet" Target="worksheets/sheet156.xml"/><Relationship Id="rId164" Type="http://schemas.openxmlformats.org/officeDocument/2006/relationships/connections" Target="connections.xml"/><Relationship Id="rId16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167" Type="http://schemas.openxmlformats.org/officeDocument/2006/relationships/powerPivotData" Target="model/item.data"/><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162" Type="http://schemas.openxmlformats.org/officeDocument/2006/relationships/externalLink" Target="externalLinks/externalLink3.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worksheet" Target="worksheets/sheet157.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worksheet" Target="worksheets/sheet15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theme" Target="theme/theme1.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32.xml"/></Relationships>
</file>

<file path=xl/charts/_rels/chart100.xml.rels><?xml version="1.0" encoding="UTF-8" standalone="yes"?>
<Relationships xmlns="http://schemas.openxmlformats.org/package/2006/relationships"><Relationship Id="rId1" Type="http://schemas.openxmlformats.org/officeDocument/2006/relationships/chartUserShapes" Target="../drawings/drawing195.xml"/></Relationships>
</file>

<file path=xl/charts/_rels/chart101.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102.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03.xml.rels><?xml version="1.0" encoding="UTF-8" standalone="yes"?>
<Relationships xmlns="http://schemas.openxmlformats.org/package/2006/relationships"><Relationship Id="rId1" Type="http://schemas.openxmlformats.org/officeDocument/2006/relationships/chartUserShapes" Target="../drawings/drawing201.xml"/></Relationships>
</file>

<file path=xl/charts/_rels/chart104.xml.rels><?xml version="1.0" encoding="UTF-8" standalone="yes"?>
<Relationships xmlns="http://schemas.openxmlformats.org/package/2006/relationships"><Relationship Id="rId1" Type="http://schemas.openxmlformats.org/officeDocument/2006/relationships/chartUserShapes" Target="../drawings/drawing203.xml"/></Relationships>
</file>

<file path=xl/charts/_rels/chart105.xml.rels><?xml version="1.0" encoding="UTF-8" standalone="yes"?>
<Relationships xmlns="http://schemas.openxmlformats.org/package/2006/relationships"><Relationship Id="rId1" Type="http://schemas.openxmlformats.org/officeDocument/2006/relationships/chartUserShapes" Target="../drawings/drawing205.xml"/></Relationships>
</file>

<file path=xl/charts/_rels/chart106.xml.rels><?xml version="1.0" encoding="UTF-8" standalone="yes"?>
<Relationships xmlns="http://schemas.openxmlformats.org/package/2006/relationships"><Relationship Id="rId1" Type="http://schemas.openxmlformats.org/officeDocument/2006/relationships/chartUserShapes" Target="../drawings/drawing207.xml"/></Relationships>
</file>

<file path=xl/charts/_rels/chart107.xml.rels><?xml version="1.0" encoding="UTF-8" standalone="yes"?>
<Relationships xmlns="http://schemas.openxmlformats.org/package/2006/relationships"><Relationship Id="rId1" Type="http://schemas.openxmlformats.org/officeDocument/2006/relationships/chartUserShapes" Target="../drawings/drawing210.xml"/></Relationships>
</file>

<file path=xl/charts/_rels/chart108.xml.rels><?xml version="1.0" encoding="UTF-8" standalone="yes"?>
<Relationships xmlns="http://schemas.openxmlformats.org/package/2006/relationships"><Relationship Id="rId1" Type="http://schemas.openxmlformats.org/officeDocument/2006/relationships/chartUserShapes" Target="../drawings/drawing212.xml"/></Relationships>
</file>

<file path=xl/charts/_rels/chart109.xml.rels><?xml version="1.0" encoding="UTF-8" standalone="yes"?>
<Relationships xmlns="http://schemas.openxmlformats.org/package/2006/relationships"><Relationship Id="rId1" Type="http://schemas.openxmlformats.org/officeDocument/2006/relationships/chartUserShapes" Target="../drawings/drawing214.xml"/></Relationships>
</file>

<file path=xl/charts/_rels/chart112.xml.rels><?xml version="1.0" encoding="UTF-8" standalone="yes"?>
<Relationships xmlns="http://schemas.openxmlformats.org/package/2006/relationships"><Relationship Id="rId1" Type="http://schemas.openxmlformats.org/officeDocument/2006/relationships/chartUserShapes" Target="../drawings/drawing218.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0.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43.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51.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53.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59.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61.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6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65.xml"/></Relationships>
</file>

<file path=xl/charts/_rels/chart29.xml.rels><?xml version="1.0" encoding="UTF-8" standalone="yes"?>
<Relationships xmlns="http://schemas.openxmlformats.org/package/2006/relationships"><Relationship Id="rId3" Type="http://schemas.openxmlformats.org/officeDocument/2006/relationships/chartUserShapes" Target="../drawings/drawing67.xml"/><Relationship Id="rId2" Type="http://schemas.microsoft.com/office/2011/relationships/chartColorStyle" Target="colors1.xml"/><Relationship Id="rId1" Type="http://schemas.microsoft.com/office/2011/relationships/chartStyle" Target="style1.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1.xml.rels><?xml version="1.0" encoding="UTF-8" standalone="yes"?>
<Relationships xmlns="http://schemas.openxmlformats.org/package/2006/relationships"><Relationship Id="rId1" Type="http://schemas.openxmlformats.org/officeDocument/2006/relationships/chartUserShapes" Target="../drawings/drawing70.xml"/></Relationships>
</file>

<file path=xl/charts/_rels/chart32.xml.rels><?xml version="1.0" encoding="UTF-8" standalone="yes"?>
<Relationships xmlns="http://schemas.openxmlformats.org/package/2006/relationships"><Relationship Id="rId1" Type="http://schemas.openxmlformats.org/officeDocument/2006/relationships/chartUserShapes" Target="../drawings/drawing72.xml"/></Relationships>
</file>

<file path=xl/charts/_rels/chart35.xml.rels><?xml version="1.0" encoding="UTF-8" standalone="yes"?>
<Relationships xmlns="http://schemas.openxmlformats.org/package/2006/relationships"><Relationship Id="rId1" Type="http://schemas.openxmlformats.org/officeDocument/2006/relationships/chartUserShapes" Target="../drawings/drawing75.xml"/></Relationships>
</file>

<file path=xl/charts/_rels/chart37.xml.rels><?xml version="1.0" encoding="UTF-8" standalone="yes"?>
<Relationships xmlns="http://schemas.openxmlformats.org/package/2006/relationships"><Relationship Id="rId1" Type="http://schemas.openxmlformats.org/officeDocument/2006/relationships/chartUserShapes" Target="../drawings/drawing77.xml"/></Relationships>
</file>

<file path=xl/charts/_rels/chart39.xml.rels><?xml version="1.0" encoding="UTF-8" standalone="yes"?>
<Relationships xmlns="http://schemas.openxmlformats.org/package/2006/relationships"><Relationship Id="rId1" Type="http://schemas.openxmlformats.org/officeDocument/2006/relationships/chartUserShapes" Target="../drawings/drawing83.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40.xml.rels><?xml version="1.0" encoding="UTF-8" standalone="yes"?>
<Relationships xmlns="http://schemas.openxmlformats.org/package/2006/relationships"><Relationship Id="rId1" Type="http://schemas.openxmlformats.org/officeDocument/2006/relationships/chartUserShapes" Target="../drawings/drawing8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87.xml"/></Relationships>
</file>

<file path=xl/charts/_rels/chart42.xml.rels><?xml version="1.0" encoding="UTF-8" standalone="yes"?>
<Relationships xmlns="http://schemas.openxmlformats.org/package/2006/relationships"><Relationship Id="rId1" Type="http://schemas.openxmlformats.org/officeDocument/2006/relationships/chartUserShapes" Target="../drawings/drawing89.xml"/></Relationships>
</file>

<file path=xl/charts/_rels/chart43.xml.rels><?xml version="1.0" encoding="UTF-8" standalone="yes"?>
<Relationships xmlns="http://schemas.openxmlformats.org/package/2006/relationships"><Relationship Id="rId1" Type="http://schemas.openxmlformats.org/officeDocument/2006/relationships/chartUserShapes" Target="../drawings/drawing95.xml"/></Relationships>
</file>

<file path=xl/charts/_rels/chart44.xml.rels><?xml version="1.0" encoding="UTF-8" standalone="yes"?>
<Relationships xmlns="http://schemas.openxmlformats.org/package/2006/relationships"><Relationship Id="rId1" Type="http://schemas.openxmlformats.org/officeDocument/2006/relationships/chartUserShapes" Target="../drawings/drawing97.xml"/></Relationships>
</file>

<file path=xl/charts/_rels/chart47.xml.rels><?xml version="1.0" encoding="UTF-8" standalone="yes"?>
<Relationships xmlns="http://schemas.openxmlformats.org/package/2006/relationships"><Relationship Id="rId1" Type="http://schemas.openxmlformats.org/officeDocument/2006/relationships/chartUserShapes" Target="../drawings/drawing102.xml"/></Relationships>
</file>

<file path=xl/charts/_rels/chart48.xml.rels><?xml version="1.0" encoding="UTF-8" standalone="yes"?>
<Relationships xmlns="http://schemas.openxmlformats.org/package/2006/relationships"><Relationship Id="rId1" Type="http://schemas.openxmlformats.org/officeDocument/2006/relationships/chartUserShapes" Target="../drawings/drawing104.xml"/></Relationships>
</file>

<file path=xl/charts/_rels/chart49.xml.rels><?xml version="1.0" encoding="UTF-8" standalone="yes"?>
<Relationships xmlns="http://schemas.openxmlformats.org/package/2006/relationships"><Relationship Id="rId1" Type="http://schemas.openxmlformats.org/officeDocument/2006/relationships/chartUserShapes" Target="../drawings/drawing106.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_rels/chart50.xml.rels><?xml version="1.0" encoding="UTF-8" standalone="yes"?>
<Relationships xmlns="http://schemas.openxmlformats.org/package/2006/relationships"><Relationship Id="rId2" Type="http://schemas.openxmlformats.org/officeDocument/2006/relationships/chartUserShapes" Target="../drawings/drawing108.xml"/><Relationship Id="rId1" Type="http://schemas.openxmlformats.org/officeDocument/2006/relationships/image" Target="../media/image15.png"/></Relationships>
</file>

<file path=xl/charts/_rels/chart51.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53.xml.rels><?xml version="1.0" encoding="UTF-8" standalone="yes"?>
<Relationships xmlns="http://schemas.openxmlformats.org/package/2006/relationships"><Relationship Id="rId1" Type="http://schemas.openxmlformats.org/officeDocument/2006/relationships/chartUserShapes" Target="../drawings/drawing112.xml"/></Relationships>
</file>

<file path=xl/charts/_rels/chart54.xml.rels><?xml version="1.0" encoding="UTF-8" standalone="yes"?>
<Relationships xmlns="http://schemas.openxmlformats.org/package/2006/relationships"><Relationship Id="rId1" Type="http://schemas.openxmlformats.org/officeDocument/2006/relationships/chartUserShapes" Target="../drawings/drawing114.xml"/></Relationships>
</file>

<file path=xl/charts/_rels/chart55.xml.rels><?xml version="1.0" encoding="UTF-8" standalone="yes"?>
<Relationships xmlns="http://schemas.openxmlformats.org/package/2006/relationships"><Relationship Id="rId3" Type="http://schemas.openxmlformats.org/officeDocument/2006/relationships/chartUserShapes" Target="../drawings/drawing116.xml"/><Relationship Id="rId2" Type="http://schemas.microsoft.com/office/2011/relationships/chartColorStyle" Target="colors3.xml"/><Relationship Id="rId1" Type="http://schemas.microsoft.com/office/2011/relationships/chartStyle" Target="style3.xml"/></Relationships>
</file>

<file path=xl/charts/_rels/chart56.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7.xml.rels><?xml version="1.0" encoding="UTF-8" standalone="yes"?>
<Relationships xmlns="http://schemas.openxmlformats.org/package/2006/relationships"><Relationship Id="rId1" Type="http://schemas.openxmlformats.org/officeDocument/2006/relationships/chartUserShapes" Target="../drawings/drawing120.xml"/></Relationships>
</file>

<file path=xl/charts/_rels/chart58.xml.rels><?xml version="1.0" encoding="UTF-8" standalone="yes"?>
<Relationships xmlns="http://schemas.openxmlformats.org/package/2006/relationships"><Relationship Id="rId1" Type="http://schemas.openxmlformats.org/officeDocument/2006/relationships/chartUserShapes" Target="../drawings/drawing122.xml"/></Relationships>
</file>

<file path=xl/charts/_rels/chart59.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0.xml.rels><?xml version="1.0" encoding="UTF-8" standalone="yes"?>
<Relationships xmlns="http://schemas.openxmlformats.org/package/2006/relationships"><Relationship Id="rId1" Type="http://schemas.openxmlformats.org/officeDocument/2006/relationships/chartUserShapes" Target="../drawings/drawing125.xml"/></Relationships>
</file>

<file path=xl/charts/_rels/chart61.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62.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63.xml.rels><?xml version="1.0" encoding="UTF-8" standalone="yes"?>
<Relationships xmlns="http://schemas.openxmlformats.org/package/2006/relationships"><Relationship Id="rId1" Type="http://schemas.openxmlformats.org/officeDocument/2006/relationships/chartUserShapes" Target="../drawings/drawing129.xml"/></Relationships>
</file>

<file path=xl/charts/_rels/chart64.xml.rels><?xml version="1.0" encoding="UTF-8" standalone="yes"?>
<Relationships xmlns="http://schemas.openxmlformats.org/package/2006/relationships"><Relationship Id="rId1" Type="http://schemas.openxmlformats.org/officeDocument/2006/relationships/chartUserShapes" Target="../drawings/drawing131.xml"/></Relationships>
</file>

<file path=xl/charts/_rels/chart65.xml.rels><?xml version="1.0" encoding="UTF-8" standalone="yes"?>
<Relationships xmlns="http://schemas.openxmlformats.org/package/2006/relationships"><Relationship Id="rId1" Type="http://schemas.openxmlformats.org/officeDocument/2006/relationships/chartUserShapes" Target="../drawings/drawing134.xml"/></Relationships>
</file>

<file path=xl/charts/_rels/chart66.xml.rels><?xml version="1.0" encoding="UTF-8" standalone="yes"?>
<Relationships xmlns="http://schemas.openxmlformats.org/package/2006/relationships"><Relationship Id="rId1" Type="http://schemas.openxmlformats.org/officeDocument/2006/relationships/chartUserShapes" Target="../drawings/drawing136.xml"/></Relationships>
</file>

<file path=xl/charts/_rels/chart70.xml.rels><?xml version="1.0" encoding="UTF-8" standalone="yes"?>
<Relationships xmlns="http://schemas.openxmlformats.org/package/2006/relationships"><Relationship Id="rId1" Type="http://schemas.openxmlformats.org/officeDocument/2006/relationships/chartUserShapes" Target="../drawings/drawing148.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26.xml"/></Relationships>
</file>

<file path=xl/charts/_rels/chart81.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84.xml.rels><?xml version="1.0" encoding="UTF-8" standalone="yes"?>
<Relationships xmlns="http://schemas.openxmlformats.org/package/2006/relationships"><Relationship Id="rId1" Type="http://schemas.openxmlformats.org/officeDocument/2006/relationships/chartUserShapes" Target="../drawings/drawing167.xml"/></Relationships>
</file>

<file path=xl/charts/_rels/chart85.xml.rels><?xml version="1.0" encoding="UTF-8" standalone="yes"?>
<Relationships xmlns="http://schemas.openxmlformats.org/package/2006/relationships"><Relationship Id="rId1" Type="http://schemas.openxmlformats.org/officeDocument/2006/relationships/chartUserShapes" Target="../drawings/drawing169.xml"/></Relationships>
</file>

<file path=xl/charts/_rels/chart86.xml.rels><?xml version="1.0" encoding="UTF-8" standalone="yes"?>
<Relationships xmlns="http://schemas.openxmlformats.org/package/2006/relationships"><Relationship Id="rId1" Type="http://schemas.openxmlformats.org/officeDocument/2006/relationships/chartUserShapes" Target="../drawings/drawing171.xml"/></Relationships>
</file>

<file path=xl/charts/_rels/chart87.xml.rels><?xml version="1.0" encoding="UTF-8" standalone="yes"?>
<Relationships xmlns="http://schemas.openxmlformats.org/package/2006/relationships"><Relationship Id="rId1" Type="http://schemas.openxmlformats.org/officeDocument/2006/relationships/chartUserShapes" Target="../drawings/drawing173.xml"/></Relationships>
</file>

<file path=xl/charts/_rels/chart88.xml.rels><?xml version="1.0" encoding="UTF-8" standalone="yes"?>
<Relationships xmlns="http://schemas.openxmlformats.org/package/2006/relationships"><Relationship Id="rId1" Type="http://schemas.openxmlformats.org/officeDocument/2006/relationships/chartUserShapes" Target="../drawings/drawing175.xml"/></Relationships>
</file>

<file path=xl/charts/_rels/chart89.xml.rels><?xml version="1.0" encoding="UTF-8" standalone="yes"?>
<Relationships xmlns="http://schemas.openxmlformats.org/package/2006/relationships"><Relationship Id="rId1" Type="http://schemas.openxmlformats.org/officeDocument/2006/relationships/chartUserShapes" Target="../drawings/drawing177.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28.xml"/></Relationships>
</file>

<file path=xl/charts/_rels/chart90.xml.rels><?xml version="1.0" encoding="UTF-8" standalone="yes"?>
<Relationships xmlns="http://schemas.openxmlformats.org/package/2006/relationships"><Relationship Id="rId1" Type="http://schemas.openxmlformats.org/officeDocument/2006/relationships/chartUserShapes" Target="../drawings/drawing179.xml"/></Relationships>
</file>

<file path=xl/charts/_rels/chart91.xml.rels><?xml version="1.0" encoding="UTF-8" standalone="yes"?>
<Relationships xmlns="http://schemas.openxmlformats.org/package/2006/relationships"><Relationship Id="rId1" Type="http://schemas.openxmlformats.org/officeDocument/2006/relationships/chartUserShapes" Target="../drawings/drawing181.xml"/></Relationships>
</file>

<file path=xl/charts/_rels/chart92.xml.rels><?xml version="1.0" encoding="UTF-8" standalone="yes"?>
<Relationships xmlns="http://schemas.openxmlformats.org/package/2006/relationships"><Relationship Id="rId1" Type="http://schemas.openxmlformats.org/officeDocument/2006/relationships/chartUserShapes" Target="../drawings/drawing183.xml"/></Relationships>
</file>

<file path=xl/charts/_rels/chart94.xml.rels><?xml version="1.0" encoding="UTF-8" standalone="yes"?>
<Relationships xmlns="http://schemas.openxmlformats.org/package/2006/relationships"><Relationship Id="rId1" Type="http://schemas.openxmlformats.org/officeDocument/2006/relationships/chartUserShapes" Target="../drawings/drawing186.xml"/></Relationships>
</file>

<file path=xl/charts/_rels/chart98.xml.rels><?xml version="1.0" encoding="UTF-8" standalone="yes"?>
<Relationships xmlns="http://schemas.openxmlformats.org/package/2006/relationships"><Relationship Id="rId1" Type="http://schemas.openxmlformats.org/officeDocument/2006/relationships/chartUserShapes" Target="../drawings/drawing192.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800"/>
            </a:pPr>
            <a:r>
              <a:rPr lang="en-US" sz="1800"/>
              <a:t>Empresas y Empleados Afiliados Activos al SDSS por Sector</a:t>
            </a:r>
          </a:p>
        </c:rich>
      </c:tx>
      <c:layout>
        <c:manualLayout>
          <c:xMode val="edge"/>
          <c:yMode val="edge"/>
          <c:x val="0.25927551900172269"/>
          <c:y val="2.3697238958128069E-2"/>
        </c:manualLayout>
      </c:layout>
      <c:overlay val="0"/>
    </c:title>
    <c:autoTitleDeleted val="0"/>
    <c:plotArea>
      <c:layout>
        <c:manualLayout>
          <c:layoutTarget val="inner"/>
          <c:xMode val="edge"/>
          <c:yMode val="edge"/>
          <c:x val="8.7293258484843678E-2"/>
          <c:y val="0.16919783365575708"/>
          <c:w val="0.84082838728179754"/>
          <c:h val="0.67025973472621292"/>
        </c:manualLayout>
      </c:layout>
      <c:barChart>
        <c:barDir val="col"/>
        <c:grouping val="clustered"/>
        <c:varyColors val="0"/>
        <c:ser>
          <c:idx val="1"/>
          <c:order val="0"/>
          <c:tx>
            <c:strRef>
              <c:f>'II.3. Empl x sector '!$I$3</c:f>
              <c:strCache>
                <c:ptCount val="1"/>
                <c:pt idx="0">
                  <c:v>Total  Empleados</c:v>
                </c:pt>
              </c:strCache>
            </c:strRef>
          </c:tx>
          <c:spPr>
            <a:solidFill>
              <a:srgbClr val="0070C0"/>
            </a:solidFill>
          </c:spPr>
          <c:invertIfNegative val="0"/>
          <c:dLbls>
            <c:dLbl>
              <c:idx val="3"/>
              <c:layout>
                <c:manualLayout>
                  <c:x val="-1.0451660698933001E-3"/>
                  <c:y val="6.3781318133848642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4.1806642795732766E-3"/>
                  <c:y val="6.378131813384903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3.1354982096799002E-3"/>
                  <c:y val="8.5041757511798311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0451660698933001E-3"/>
                  <c:y val="0"/>
                </c:manualLayout>
              </c:layout>
              <c:spPr/>
              <c:txPr>
                <a:bodyPr/>
                <a:lstStyle/>
                <a:p>
                  <a:pPr>
                    <a:defRPr sz="1800" b="1"/>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'II.3. Empl x sector '!$A$4:$A$11</c:f>
              <c:strCache>
                <c:ptCount val="8"/>
                <c:pt idx="0">
                  <c:v>Dic.08</c:v>
                </c:pt>
                <c:pt idx="1">
                  <c:v>Dic.09</c:v>
                </c:pt>
                <c:pt idx="2">
                  <c:v>Dic.10</c:v>
                </c:pt>
                <c:pt idx="3">
                  <c:v>Dic.11</c:v>
                </c:pt>
                <c:pt idx="4">
                  <c:v>Dic.12</c:v>
                </c:pt>
                <c:pt idx="5">
                  <c:v>Dic.13</c:v>
                </c:pt>
                <c:pt idx="6">
                  <c:v>Dic.14</c:v>
                </c:pt>
                <c:pt idx="7">
                  <c:v>Nov.15</c:v>
                </c:pt>
              </c:strCache>
            </c:strRef>
          </c:cat>
          <c:val>
            <c:numRef>
              <c:f>'II.3. Empl x sector '!$I$4:$I$11</c:f>
              <c:numCache>
                <c:formatCode>#,##0</c:formatCode>
                <c:ptCount val="8"/>
                <c:pt idx="0">
                  <c:v>1188229</c:v>
                </c:pt>
                <c:pt idx="1">
                  <c:v>1227725</c:v>
                </c:pt>
                <c:pt idx="2">
                  <c:v>1299087</c:v>
                </c:pt>
                <c:pt idx="3">
                  <c:v>1363921</c:v>
                </c:pt>
                <c:pt idx="4">
                  <c:v>1427902</c:v>
                </c:pt>
                <c:pt idx="5">
                  <c:v>1526658</c:v>
                </c:pt>
                <c:pt idx="6">
                  <c:v>1651202</c:v>
                </c:pt>
                <c:pt idx="7">
                  <c:v>1750689</c:v>
                </c:pt>
              </c:numCache>
            </c:numRef>
          </c:val>
        </c:ser>
        <c:ser>
          <c:idx val="0"/>
          <c:order val="1"/>
          <c:tx>
            <c:strRef>
              <c:f>'II.3. Empl x sector '!$E$3</c:f>
              <c:strCache>
                <c:ptCount val="1"/>
                <c:pt idx="0">
                  <c:v>Total Empresas</c:v>
                </c:pt>
              </c:strCache>
            </c:strRef>
          </c:tx>
          <c:spPr>
            <a:solidFill>
              <a:schemeClr val="accent3">
                <a:lumMod val="75000"/>
              </a:schemeClr>
            </a:solidFill>
          </c:spPr>
          <c:invertIfNegative val="0"/>
          <c:dLbls>
            <c:dLbl>
              <c:idx val="0"/>
              <c:layout>
                <c:manualLayout>
                  <c:x val="-2.128529332283462E-2"/>
                  <c:y val="2.112457243532720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8244517265715455E-2"/>
                  <c:y val="2.1125296878206764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8244537133858239E-2"/>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5203780944881864E-2"/>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1.6217366341207396E-2"/>
                  <c:y val="4.224914487065286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1.6217366341207323E-2"/>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9258122530183695E-2"/>
                  <c:y val="2.1124572435325655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5266910554999458E-2"/>
                  <c:y val="-4.0918463142599735E-5"/>
                </c:manualLayout>
              </c:layout>
              <c:spPr/>
              <c:txPr>
                <a:bodyPr/>
                <a:lstStyle/>
                <a:p>
                  <a:pPr>
                    <a:defRPr sz="1800" b="1">
                      <a:solidFill>
                        <a:schemeClr val="bg1"/>
                      </a:solidFill>
                    </a:defRPr>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800">
                    <a:solidFill>
                      <a:schemeClr val="bg1"/>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'II.3. Empl x sector '!$A$4:$A$11</c:f>
              <c:strCache>
                <c:ptCount val="8"/>
                <c:pt idx="0">
                  <c:v>Dic.08</c:v>
                </c:pt>
                <c:pt idx="1">
                  <c:v>Dic.09</c:v>
                </c:pt>
                <c:pt idx="2">
                  <c:v>Dic.10</c:v>
                </c:pt>
                <c:pt idx="3">
                  <c:v>Dic.11</c:v>
                </c:pt>
                <c:pt idx="4">
                  <c:v>Dic.12</c:v>
                </c:pt>
                <c:pt idx="5">
                  <c:v>Dic.13</c:v>
                </c:pt>
                <c:pt idx="6">
                  <c:v>Dic.14</c:v>
                </c:pt>
                <c:pt idx="7">
                  <c:v>Nov.15</c:v>
                </c:pt>
              </c:strCache>
            </c:strRef>
          </c:cat>
          <c:val>
            <c:numRef>
              <c:f>'II.3. Empl x sector '!$E$4:$E$11</c:f>
              <c:numCache>
                <c:formatCode>#,##0</c:formatCode>
                <c:ptCount val="8"/>
                <c:pt idx="0">
                  <c:v>41757</c:v>
                </c:pt>
                <c:pt idx="1">
                  <c:v>41671</c:v>
                </c:pt>
                <c:pt idx="2">
                  <c:v>44179</c:v>
                </c:pt>
                <c:pt idx="3">
                  <c:v>47222</c:v>
                </c:pt>
                <c:pt idx="4">
                  <c:v>51351</c:v>
                </c:pt>
                <c:pt idx="5">
                  <c:v>59335</c:v>
                </c:pt>
                <c:pt idx="6">
                  <c:v>65666</c:v>
                </c:pt>
                <c:pt idx="7">
                  <c:v>69767</c:v>
                </c:pt>
              </c:numCache>
            </c:numRef>
          </c:val>
        </c:ser>
        <c:dLbls>
          <c:showLegendKey val="0"/>
          <c:showVal val="0"/>
          <c:showCatName val="0"/>
          <c:showSerName val="0"/>
          <c:showPercent val="0"/>
          <c:showBubbleSize val="0"/>
        </c:dLbls>
        <c:gapWidth val="49"/>
        <c:overlap val="69"/>
        <c:axId val="378391560"/>
        <c:axId val="378391168"/>
      </c:barChart>
      <c:lineChart>
        <c:grouping val="standard"/>
        <c:varyColors val="0"/>
        <c:ser>
          <c:idx val="2"/>
          <c:order val="2"/>
          <c:tx>
            <c:strRef>
              <c:f>'II.3. Empl x sector '!$J$3</c:f>
              <c:strCache>
                <c:ptCount val="1"/>
                <c:pt idx="0">
                  <c:v>Relación Promedio Empleados / Empresas</c:v>
                </c:pt>
              </c:strCache>
            </c:strRef>
          </c:tx>
          <c:spPr>
            <a:ln>
              <a:noFill/>
            </a:ln>
          </c:spPr>
          <c:marker>
            <c:symbol val="circle"/>
            <c:size val="17"/>
            <c:spPr>
              <a:gradFill>
                <a:gsLst>
                  <a:gs pos="0">
                    <a:srgbClr val="FFF200"/>
                  </a:gs>
                  <a:gs pos="45000">
                    <a:srgbClr val="FF7A00"/>
                  </a:gs>
                  <a:gs pos="70000">
                    <a:srgbClr val="FF0300"/>
                  </a:gs>
                  <a:gs pos="100000">
                    <a:srgbClr val="4D0808"/>
                  </a:gs>
                </a:gsLst>
                <a:lin ang="5400000" scaled="0"/>
              </a:gradFill>
              <a:ln>
                <a:noFill/>
              </a:ln>
            </c:spPr>
          </c:marker>
          <c:dLbls>
            <c:spPr>
              <a:noFill/>
              <a:ln>
                <a:noFill/>
              </a:ln>
              <a:effectLst/>
            </c:spPr>
            <c:txPr>
              <a:bodyPr/>
              <a:lstStyle/>
              <a:p>
                <a:pPr>
                  <a:defRPr sz="1800" b="1">
                    <a:solidFill>
                      <a:schemeClr val="bg1"/>
                    </a:solidFill>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'II.3. Empl x sector '!$A$4:$A$11</c:f>
              <c:strCache>
                <c:ptCount val="8"/>
                <c:pt idx="0">
                  <c:v>Dic.08</c:v>
                </c:pt>
                <c:pt idx="1">
                  <c:v>Dic.09</c:v>
                </c:pt>
                <c:pt idx="2">
                  <c:v>Dic.10</c:v>
                </c:pt>
                <c:pt idx="3">
                  <c:v>Dic.11</c:v>
                </c:pt>
                <c:pt idx="4">
                  <c:v>Dic.12</c:v>
                </c:pt>
                <c:pt idx="5">
                  <c:v>Dic.13</c:v>
                </c:pt>
                <c:pt idx="6">
                  <c:v>Dic.14</c:v>
                </c:pt>
                <c:pt idx="7">
                  <c:v>Nov.15</c:v>
                </c:pt>
              </c:strCache>
            </c:strRef>
          </c:cat>
          <c:val>
            <c:numRef>
              <c:f>'II.3. Empl x sector '!$J$4:$J$11</c:f>
              <c:numCache>
                <c:formatCode>#,##0.0</c:formatCode>
                <c:ptCount val="8"/>
                <c:pt idx="0">
                  <c:v>28.455803817324043</c:v>
                </c:pt>
                <c:pt idx="1">
                  <c:v>29.462335917064625</c:v>
                </c:pt>
                <c:pt idx="2">
                  <c:v>29.405079336336268</c:v>
                </c:pt>
                <c:pt idx="3">
                  <c:v>28.883168861971114</c:v>
                </c:pt>
                <c:pt idx="4">
                  <c:v>27.806702887967127</c:v>
                </c:pt>
                <c:pt idx="5">
                  <c:v>25.729468273363107</c:v>
                </c:pt>
                <c:pt idx="6">
                  <c:v>25.145463405719855</c:v>
                </c:pt>
                <c:pt idx="7">
                  <c:v>25.093367924663522</c:v>
                </c:pt>
              </c:numCache>
            </c:numRef>
          </c:val>
          <c:smooth val="0"/>
        </c:ser>
        <c:dLbls>
          <c:showLegendKey val="0"/>
          <c:showVal val="0"/>
          <c:showCatName val="0"/>
          <c:showSerName val="0"/>
          <c:showPercent val="0"/>
          <c:showBubbleSize val="0"/>
        </c:dLbls>
        <c:marker val="1"/>
        <c:smooth val="0"/>
        <c:axId val="378392344"/>
        <c:axId val="378391952"/>
      </c:lineChart>
      <c:catAx>
        <c:axId val="378391560"/>
        <c:scaling>
          <c:orientation val="minMax"/>
        </c:scaling>
        <c:delete val="0"/>
        <c:axPos val="b"/>
        <c:numFmt formatCode="General" sourceLinked="0"/>
        <c:majorTickMark val="none"/>
        <c:minorTickMark val="none"/>
        <c:tickLblPos val="nextTo"/>
        <c:txPr>
          <a:bodyPr/>
          <a:lstStyle/>
          <a:p>
            <a:pPr>
              <a:defRPr sz="1400"/>
            </a:pPr>
            <a:endParaRPr lang="es-ES"/>
          </a:p>
        </c:txPr>
        <c:crossAx val="378391168"/>
        <c:crosses val="autoZero"/>
        <c:auto val="1"/>
        <c:lblAlgn val="ctr"/>
        <c:lblOffset val="100"/>
        <c:noMultiLvlLbl val="0"/>
      </c:catAx>
      <c:valAx>
        <c:axId val="378391168"/>
        <c:scaling>
          <c:orientation val="minMax"/>
        </c:scaling>
        <c:delete val="0"/>
        <c:axPos val="l"/>
        <c:numFmt formatCode="#,##0" sourceLinked="1"/>
        <c:majorTickMark val="none"/>
        <c:minorTickMark val="none"/>
        <c:tickLblPos val="nextTo"/>
        <c:crossAx val="378391560"/>
        <c:crosses val="autoZero"/>
        <c:crossBetween val="between"/>
      </c:valAx>
      <c:valAx>
        <c:axId val="378391952"/>
        <c:scaling>
          <c:orientation val="minMax"/>
          <c:max val="100"/>
        </c:scaling>
        <c:delete val="0"/>
        <c:axPos val="r"/>
        <c:numFmt formatCode="#,##0.0" sourceLinked="1"/>
        <c:majorTickMark val="out"/>
        <c:minorTickMark val="none"/>
        <c:tickLblPos val="nextTo"/>
        <c:crossAx val="378392344"/>
        <c:crosses val="max"/>
        <c:crossBetween val="between"/>
      </c:valAx>
      <c:catAx>
        <c:axId val="378392344"/>
        <c:scaling>
          <c:orientation val="minMax"/>
        </c:scaling>
        <c:delete val="1"/>
        <c:axPos val="b"/>
        <c:numFmt formatCode="General" sourceLinked="1"/>
        <c:majorTickMark val="out"/>
        <c:minorTickMark val="none"/>
        <c:tickLblPos val="nextTo"/>
        <c:crossAx val="378391952"/>
        <c:crosses val="autoZero"/>
        <c:auto val="1"/>
        <c:lblAlgn val="ctr"/>
        <c:lblOffset val="100"/>
        <c:noMultiLvlLbl val="0"/>
      </c:catAx>
    </c:plotArea>
    <c:legend>
      <c:legendPos val="t"/>
      <c:layout>
        <c:manualLayout>
          <c:xMode val="edge"/>
          <c:yMode val="edge"/>
          <c:x val="0.18849324327718323"/>
          <c:y val="7.3200691609112675E-2"/>
          <c:w val="0.5894674911792509"/>
          <c:h val="4.8726750788812521E-2"/>
        </c:manualLayout>
      </c:layout>
      <c:overlay val="0"/>
      <c:txPr>
        <a:bodyPr/>
        <a:lstStyle/>
        <a:p>
          <a:pPr>
            <a:defRPr sz="14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400"/>
            </a:pPr>
            <a:r>
              <a:rPr lang="es-DO" sz="2400"/>
              <a:t>Afiliación Anual por</a:t>
            </a:r>
            <a:r>
              <a:rPr lang="es-DO" sz="2400" baseline="0"/>
              <a:t> Tipo</a:t>
            </a:r>
            <a:r>
              <a:rPr lang="es-DO" sz="2400"/>
              <a:t> al SFS del RC</a:t>
            </a:r>
          </a:p>
        </c:rich>
      </c:tx>
      <c:layout>
        <c:manualLayout>
          <c:xMode val="edge"/>
          <c:yMode val="edge"/>
          <c:x val="0.38302841772032908"/>
          <c:y val="2.518453559367699E-2"/>
        </c:manualLayout>
      </c:layout>
      <c:overlay val="0"/>
    </c:title>
    <c:autoTitleDeleted val="0"/>
    <c:plotArea>
      <c:layout>
        <c:manualLayout>
          <c:layoutTarget val="inner"/>
          <c:xMode val="edge"/>
          <c:yMode val="edge"/>
          <c:x val="2.2892556369418754E-2"/>
          <c:y val="0.13014784038545538"/>
          <c:w val="0.9368072411677425"/>
          <c:h val="0.62527871324053741"/>
        </c:manualLayout>
      </c:layout>
      <c:barChart>
        <c:barDir val="col"/>
        <c:grouping val="clustered"/>
        <c:varyColors val="0"/>
        <c:ser>
          <c:idx val="1"/>
          <c:order val="0"/>
          <c:tx>
            <c:strRef>
              <c:f>'III.2.2. Afil. SFS RC Anual '!$C$2</c:f>
              <c:strCache>
                <c:ptCount val="1"/>
                <c:pt idx="0">
                  <c:v>Dependientes  Totales RC</c:v>
                </c:pt>
              </c:strCache>
            </c:strRef>
          </c:tx>
          <c:spPr>
            <a:solidFill>
              <a:schemeClr val="accent3">
                <a:lumMod val="75000"/>
              </a:schemeClr>
            </a:solidFill>
          </c:spPr>
          <c:invertIfNegative val="0"/>
          <c:dLbls>
            <c:dLbl>
              <c:idx val="0"/>
              <c:layout>
                <c:manualLayout>
                  <c:x val="-9.8317558427565756E-3"/>
                  <c:y val="1.2600228867779152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0988433000727932E-2"/>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9.290804348286422E-3"/>
                  <c:y val="2.541773727272709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3547523027194716E-2"/>
                  <c:y val="-4.6279823232329442E-17"/>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1.001338658531792E-2"/>
                  <c:y val="0"/>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20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'III.2.2. Afil. SFS RC Anual '!$A$3:$A$11</c:f>
              <c:strCache>
                <c:ptCount val="9"/>
                <c:pt idx="0">
                  <c:v>Dic.2007</c:v>
                </c:pt>
                <c:pt idx="1">
                  <c:v>Dic.2008</c:v>
                </c:pt>
                <c:pt idx="2">
                  <c:v>Dic.2009</c:v>
                </c:pt>
                <c:pt idx="3">
                  <c:v>Dic.2010</c:v>
                </c:pt>
                <c:pt idx="4">
                  <c:v>Dic.2011</c:v>
                </c:pt>
                <c:pt idx="5">
                  <c:v>Dic.2012</c:v>
                </c:pt>
                <c:pt idx="6">
                  <c:v>Dic.2013</c:v>
                </c:pt>
                <c:pt idx="7">
                  <c:v>Dic.2014</c:v>
                </c:pt>
                <c:pt idx="8">
                  <c:v>Nov.2015</c:v>
                </c:pt>
              </c:strCache>
            </c:strRef>
          </c:cat>
          <c:val>
            <c:numRef>
              <c:f>'III.2.2. Afil. SFS RC Anual '!$C$3:$C$11</c:f>
              <c:numCache>
                <c:formatCode>#,##0</c:formatCode>
                <c:ptCount val="9"/>
                <c:pt idx="0">
                  <c:v>557270</c:v>
                </c:pt>
                <c:pt idx="1">
                  <c:v>726113</c:v>
                </c:pt>
                <c:pt idx="2">
                  <c:v>1008697</c:v>
                </c:pt>
                <c:pt idx="3">
                  <c:v>1211222</c:v>
                </c:pt>
                <c:pt idx="4">
                  <c:v>1329078</c:v>
                </c:pt>
                <c:pt idx="5">
                  <c:v>1445581</c:v>
                </c:pt>
                <c:pt idx="6">
                  <c:v>1561485</c:v>
                </c:pt>
                <c:pt idx="7">
                  <c:v>1718613</c:v>
                </c:pt>
                <c:pt idx="8">
                  <c:v>1835864</c:v>
                </c:pt>
              </c:numCache>
            </c:numRef>
          </c:val>
        </c:ser>
        <c:ser>
          <c:idx val="0"/>
          <c:order val="1"/>
          <c:tx>
            <c:strRef>
              <c:f>'III.2.2. Afil. SFS RC Anual '!$B$2</c:f>
              <c:strCache>
                <c:ptCount val="1"/>
                <c:pt idx="0">
                  <c:v>Afiliados Titulares RC</c:v>
                </c:pt>
              </c:strCache>
            </c:strRef>
          </c:tx>
          <c:spPr>
            <a:solidFill>
              <a:srgbClr val="0070C0"/>
            </a:solidFill>
          </c:spPr>
          <c:invertIfNegative val="0"/>
          <c:dLbls>
            <c:dLbl>
              <c:idx val="0"/>
              <c:layout>
                <c:manualLayout>
                  <c:x val="0"/>
                  <c:y val="5.0487663120869055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0"/>
                  <c:y val="7.573149468130358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0"/>
                  <c:y val="-3.786574734065179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7839195007344218E-2"/>
                  <c:y val="3.8399720583654124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6.3220603607876428E-3"/>
                  <c:y val="3.788700313180176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9.3017335812750433E-3"/>
                  <c:y val="-1.7164091292329081E-5"/>
                </c:manualLayout>
              </c:layout>
              <c:spPr>
                <a:noFill/>
                <a:ln>
                  <a:noFill/>
                </a:ln>
                <a:effectLst/>
              </c:spPr>
              <c:txPr>
                <a:bodyPr rot="-5400000" vert="horz"/>
                <a:lstStyle/>
                <a:p>
                  <a:pPr>
                    <a:defRPr sz="20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9.8103982999577233E-3"/>
                  <c:y val="-5.03145989426522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0977731460093157E-2"/>
                  <c:y val="3.797431180427095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9.2534172637708904E-3"/>
                  <c:y val="-2.5200457735558533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20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'III.2.2. Afil. SFS RC Anual '!$A$3:$A$11</c:f>
              <c:strCache>
                <c:ptCount val="9"/>
                <c:pt idx="0">
                  <c:v>Dic.2007</c:v>
                </c:pt>
                <c:pt idx="1">
                  <c:v>Dic.2008</c:v>
                </c:pt>
                <c:pt idx="2">
                  <c:v>Dic.2009</c:v>
                </c:pt>
                <c:pt idx="3">
                  <c:v>Dic.2010</c:v>
                </c:pt>
                <c:pt idx="4">
                  <c:v>Dic.2011</c:v>
                </c:pt>
                <c:pt idx="5">
                  <c:v>Dic.2012</c:v>
                </c:pt>
                <c:pt idx="6">
                  <c:v>Dic.2013</c:v>
                </c:pt>
                <c:pt idx="7">
                  <c:v>Dic.2014</c:v>
                </c:pt>
                <c:pt idx="8">
                  <c:v>Nov.2015</c:v>
                </c:pt>
              </c:strCache>
            </c:strRef>
          </c:cat>
          <c:val>
            <c:numRef>
              <c:f>'III.2.2. Afil. SFS RC Anual '!$B$3:$B$11</c:f>
              <c:numCache>
                <c:formatCode>#,##0</c:formatCode>
                <c:ptCount val="9"/>
                <c:pt idx="0">
                  <c:v>919911</c:v>
                </c:pt>
                <c:pt idx="1">
                  <c:v>966146</c:v>
                </c:pt>
                <c:pt idx="2">
                  <c:v>1079602</c:v>
                </c:pt>
                <c:pt idx="3">
                  <c:v>1152861</c:v>
                </c:pt>
                <c:pt idx="4">
                  <c:v>1188345</c:v>
                </c:pt>
                <c:pt idx="5">
                  <c:v>1242830</c:v>
                </c:pt>
                <c:pt idx="6">
                  <c:v>1297821</c:v>
                </c:pt>
                <c:pt idx="7">
                  <c:v>1422986</c:v>
                </c:pt>
                <c:pt idx="8">
                  <c:v>1516835</c:v>
                </c:pt>
              </c:numCache>
            </c:numRef>
          </c:val>
        </c:ser>
        <c:dLbls>
          <c:showLegendKey val="0"/>
          <c:showVal val="1"/>
          <c:showCatName val="0"/>
          <c:showSerName val="0"/>
          <c:showPercent val="0"/>
          <c:showBubbleSize val="0"/>
        </c:dLbls>
        <c:gapWidth val="58"/>
        <c:overlap val="51"/>
        <c:axId val="379998272"/>
        <c:axId val="380009248"/>
      </c:barChart>
      <c:catAx>
        <c:axId val="379998272"/>
        <c:scaling>
          <c:orientation val="minMax"/>
        </c:scaling>
        <c:delete val="0"/>
        <c:axPos val="b"/>
        <c:numFmt formatCode="General" sourceLinked="0"/>
        <c:majorTickMark val="none"/>
        <c:minorTickMark val="none"/>
        <c:tickLblPos val="nextTo"/>
        <c:txPr>
          <a:bodyPr/>
          <a:lstStyle/>
          <a:p>
            <a:pPr>
              <a:defRPr sz="2400"/>
            </a:pPr>
            <a:endParaRPr lang="es-ES"/>
          </a:p>
        </c:txPr>
        <c:crossAx val="380009248"/>
        <c:crosses val="autoZero"/>
        <c:auto val="1"/>
        <c:lblAlgn val="ctr"/>
        <c:lblOffset val="100"/>
        <c:noMultiLvlLbl val="0"/>
      </c:catAx>
      <c:valAx>
        <c:axId val="380009248"/>
        <c:scaling>
          <c:orientation val="minMax"/>
        </c:scaling>
        <c:delete val="1"/>
        <c:axPos val="l"/>
        <c:numFmt formatCode="#,##0" sourceLinked="1"/>
        <c:majorTickMark val="out"/>
        <c:minorTickMark val="none"/>
        <c:tickLblPos val="nextTo"/>
        <c:crossAx val="379998272"/>
        <c:crosses val="autoZero"/>
        <c:crossBetween val="between"/>
      </c:valAx>
    </c:plotArea>
    <c:legend>
      <c:legendPos val="t"/>
      <c:layout>
        <c:manualLayout>
          <c:xMode val="edge"/>
          <c:yMode val="edge"/>
          <c:x val="0.33594191571978943"/>
          <c:y val="7.213235319694708E-2"/>
          <c:w val="0.30803096715586509"/>
          <c:h val="3.9769380101759802E-2"/>
        </c:manualLayout>
      </c:layout>
      <c:overlay val="0"/>
      <c:txPr>
        <a:bodyPr/>
        <a:lstStyle/>
        <a:p>
          <a:pPr>
            <a:defRPr sz="2000"/>
          </a:pPr>
          <a:endParaRPr lang="es-ES"/>
        </a:p>
      </c:txPr>
    </c:legend>
    <c:plotVisOnly val="1"/>
    <c:dispBlanksAs val="gap"/>
    <c:showDLblsOverMax val="0"/>
  </c:chart>
  <c:spPr>
    <a:noFill/>
    <a:ln>
      <a:noFill/>
    </a:ln>
  </c:spPr>
  <c:printSettings>
    <c:headerFooter/>
    <c:pageMargins b="0.75" l="0.7" r="0.7" t="0.75" header="0.3" footer="0.3"/>
    <c:pageSetup/>
  </c:printSettings>
  <c:userShapes r:id="rId1"/>
</c:chartSpace>
</file>

<file path=xl/charts/chart10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400"/>
            </a:pPr>
            <a:r>
              <a:rPr lang="en-US" sz="1400"/>
              <a:t>Apelaciones Dictámenes CMRN por año y Origen </a:t>
            </a:r>
          </a:p>
        </c:rich>
      </c:tx>
      <c:layout>
        <c:manualLayout>
          <c:xMode val="edge"/>
          <c:yMode val="edge"/>
          <c:x val="0.30484255785612352"/>
          <c:y val="2.0969852946842248E-2"/>
        </c:manualLayout>
      </c:layout>
      <c:overlay val="0"/>
    </c:title>
    <c:autoTitleDeleted val="0"/>
    <c:plotArea>
      <c:layout>
        <c:manualLayout>
          <c:layoutTarget val="inner"/>
          <c:xMode val="edge"/>
          <c:yMode val="edge"/>
          <c:x val="0.28009257463506715"/>
          <c:y val="9.677754045589361E-2"/>
          <c:w val="0.69232121846838124"/>
          <c:h val="0.46992075238798869"/>
        </c:manualLayout>
      </c:layout>
      <c:barChart>
        <c:barDir val="col"/>
        <c:grouping val="clustered"/>
        <c:varyColors val="0"/>
        <c:ser>
          <c:idx val="0"/>
          <c:order val="0"/>
          <c:tx>
            <c:strRef>
              <c:f>'VI.4. Entidad Receptora Origen'!$A$4:$B$4</c:f>
              <c:strCache>
                <c:ptCount val="2"/>
                <c:pt idx="0">
                  <c:v>AFP y Otros Fondos</c:v>
                </c:pt>
                <c:pt idx="1">
                  <c:v>Solicitado por Afiliado</c:v>
                </c:pt>
              </c:strCache>
            </c:strRef>
          </c:tx>
          <c:spPr>
            <a:solidFill>
              <a:srgbClr val="002060"/>
            </a:solidFill>
          </c:spPr>
          <c:invertIfNegative val="0"/>
          <c:cat>
            <c:strRef>
              <c:f>'VI.4. Entidad Receptora Origen'!$C$3:$J$3</c:f>
              <c:strCache>
                <c:ptCount val="8"/>
                <c:pt idx="0">
                  <c:v>2009</c:v>
                </c:pt>
                <c:pt idx="1">
                  <c:v>2010</c:v>
                </c:pt>
                <c:pt idx="2">
                  <c:v>2011</c:v>
                </c:pt>
                <c:pt idx="3">
                  <c:v>2012</c:v>
                </c:pt>
                <c:pt idx="4">
                  <c:v>2013</c:v>
                </c:pt>
                <c:pt idx="5">
                  <c:v>2014</c:v>
                </c:pt>
                <c:pt idx="6">
                  <c:v>Ene-Nov.2015</c:v>
                </c:pt>
                <c:pt idx="7">
                  <c:v>Fecha No especificada</c:v>
                </c:pt>
              </c:strCache>
            </c:strRef>
          </c:cat>
          <c:val>
            <c:numRef>
              <c:f>'VI.4. Entidad Receptora Origen'!$C$4:$J$4</c:f>
              <c:numCache>
                <c:formatCode>_(* #,##0_);_(* \(#,##0\);_(* "-"_);_(@_)</c:formatCode>
                <c:ptCount val="8"/>
                <c:pt idx="0">
                  <c:v>81</c:v>
                </c:pt>
                <c:pt idx="1">
                  <c:v>53</c:v>
                </c:pt>
                <c:pt idx="2">
                  <c:v>66</c:v>
                </c:pt>
                <c:pt idx="3">
                  <c:v>270</c:v>
                </c:pt>
                <c:pt idx="4">
                  <c:v>474</c:v>
                </c:pt>
                <c:pt idx="5">
                  <c:v>280</c:v>
                </c:pt>
                <c:pt idx="6">
                  <c:v>230</c:v>
                </c:pt>
                <c:pt idx="7">
                  <c:v>5</c:v>
                </c:pt>
              </c:numCache>
            </c:numRef>
          </c:val>
        </c:ser>
        <c:ser>
          <c:idx val="1"/>
          <c:order val="1"/>
          <c:tx>
            <c:strRef>
              <c:f>'VI.4. Entidad Receptora Origen'!$A$5:$B$5</c:f>
              <c:strCache>
                <c:ptCount val="2"/>
                <c:pt idx="0">
                  <c:v>AFP y Otros Fondos</c:v>
                </c:pt>
                <c:pt idx="1">
                  <c:v>Solicitado por Seguro</c:v>
                </c:pt>
              </c:strCache>
            </c:strRef>
          </c:tx>
          <c:invertIfNegative val="0"/>
          <c:cat>
            <c:strRef>
              <c:f>'VI.4. Entidad Receptora Origen'!$C$3:$J$3</c:f>
              <c:strCache>
                <c:ptCount val="8"/>
                <c:pt idx="0">
                  <c:v>2009</c:v>
                </c:pt>
                <c:pt idx="1">
                  <c:v>2010</c:v>
                </c:pt>
                <c:pt idx="2">
                  <c:v>2011</c:v>
                </c:pt>
                <c:pt idx="3">
                  <c:v>2012</c:v>
                </c:pt>
                <c:pt idx="4">
                  <c:v>2013</c:v>
                </c:pt>
                <c:pt idx="5">
                  <c:v>2014</c:v>
                </c:pt>
                <c:pt idx="6">
                  <c:v>Ene-Nov.2015</c:v>
                </c:pt>
                <c:pt idx="7">
                  <c:v>Fecha No especificada</c:v>
                </c:pt>
              </c:strCache>
            </c:strRef>
          </c:cat>
          <c:val>
            <c:numRef>
              <c:f>'VI.4. Entidad Receptora Origen'!$C$5:$J$5</c:f>
              <c:numCache>
                <c:formatCode>_(* #,##0_);_(* \(#,##0\);_(* "-"_);_(@_)</c:formatCode>
                <c:ptCount val="8"/>
                <c:pt idx="0">
                  <c:v>13</c:v>
                </c:pt>
                <c:pt idx="1">
                  <c:v>25</c:v>
                </c:pt>
                <c:pt idx="2">
                  <c:v>45</c:v>
                </c:pt>
                <c:pt idx="3">
                  <c:v>181</c:v>
                </c:pt>
                <c:pt idx="4">
                  <c:v>217</c:v>
                </c:pt>
                <c:pt idx="5">
                  <c:v>100</c:v>
                </c:pt>
                <c:pt idx="6">
                  <c:v>66</c:v>
                </c:pt>
                <c:pt idx="7">
                  <c:v>0</c:v>
                </c:pt>
              </c:numCache>
            </c:numRef>
          </c:val>
        </c:ser>
        <c:ser>
          <c:idx val="2"/>
          <c:order val="2"/>
          <c:tx>
            <c:strRef>
              <c:f>'VI.4. Entidad Receptora Origen'!$A$6:$B$6</c:f>
              <c:strCache>
                <c:ptCount val="2"/>
                <c:pt idx="0">
                  <c:v>AFP y Otros Fondos</c:v>
                </c:pt>
                <c:pt idx="1">
                  <c:v>Origen no especificado</c:v>
                </c:pt>
              </c:strCache>
            </c:strRef>
          </c:tx>
          <c:invertIfNegative val="0"/>
          <c:cat>
            <c:strRef>
              <c:f>'VI.4. Entidad Receptora Origen'!$C$3:$J$3</c:f>
              <c:strCache>
                <c:ptCount val="8"/>
                <c:pt idx="0">
                  <c:v>2009</c:v>
                </c:pt>
                <c:pt idx="1">
                  <c:v>2010</c:v>
                </c:pt>
                <c:pt idx="2">
                  <c:v>2011</c:v>
                </c:pt>
                <c:pt idx="3">
                  <c:v>2012</c:v>
                </c:pt>
                <c:pt idx="4">
                  <c:v>2013</c:v>
                </c:pt>
                <c:pt idx="5">
                  <c:v>2014</c:v>
                </c:pt>
                <c:pt idx="6">
                  <c:v>Ene-Nov.2015</c:v>
                </c:pt>
                <c:pt idx="7">
                  <c:v>Fecha No especificada</c:v>
                </c:pt>
              </c:strCache>
            </c:strRef>
          </c:cat>
          <c:val>
            <c:numRef>
              <c:f>'VI.4. Entidad Receptora Origen'!$C$6:$J$6</c:f>
              <c:numCache>
                <c:formatCode>_(* #,##0_);_(* \(#,##0\);_(* "-"_);_(@_)</c:formatCode>
                <c:ptCount val="8"/>
                <c:pt idx="0">
                  <c:v>0</c:v>
                </c:pt>
                <c:pt idx="1">
                  <c:v>0</c:v>
                </c:pt>
                <c:pt idx="2">
                  <c:v>0</c:v>
                </c:pt>
                <c:pt idx="3">
                  <c:v>59</c:v>
                </c:pt>
                <c:pt idx="4">
                  <c:v>18</c:v>
                </c:pt>
                <c:pt idx="5">
                  <c:v>0</c:v>
                </c:pt>
                <c:pt idx="6">
                  <c:v>1</c:v>
                </c:pt>
                <c:pt idx="7">
                  <c:v>2</c:v>
                </c:pt>
              </c:numCache>
            </c:numRef>
          </c:val>
        </c:ser>
        <c:ser>
          <c:idx val="3"/>
          <c:order val="3"/>
          <c:tx>
            <c:strRef>
              <c:f>'VI.4. Entidad Receptora Origen'!$A$7:$B$7</c:f>
              <c:strCache>
                <c:ptCount val="2"/>
                <c:pt idx="0">
                  <c:v>ARL</c:v>
                </c:pt>
                <c:pt idx="1">
                  <c:v>Solicitado por Afiliado</c:v>
                </c:pt>
              </c:strCache>
            </c:strRef>
          </c:tx>
          <c:invertIfNegative val="0"/>
          <c:cat>
            <c:strRef>
              <c:f>'VI.4. Entidad Receptora Origen'!$C$3:$J$3</c:f>
              <c:strCache>
                <c:ptCount val="8"/>
                <c:pt idx="0">
                  <c:v>2009</c:v>
                </c:pt>
                <c:pt idx="1">
                  <c:v>2010</c:v>
                </c:pt>
                <c:pt idx="2">
                  <c:v>2011</c:v>
                </c:pt>
                <c:pt idx="3">
                  <c:v>2012</c:v>
                </c:pt>
                <c:pt idx="4">
                  <c:v>2013</c:v>
                </c:pt>
                <c:pt idx="5">
                  <c:v>2014</c:v>
                </c:pt>
                <c:pt idx="6">
                  <c:v>Ene-Nov.2015</c:v>
                </c:pt>
                <c:pt idx="7">
                  <c:v>Fecha No especificada</c:v>
                </c:pt>
              </c:strCache>
            </c:strRef>
          </c:cat>
          <c:val>
            <c:numRef>
              <c:f>'VI.4. Entidad Receptora Origen'!$C$7:$J$7</c:f>
              <c:numCache>
                <c:formatCode>_(* #,##0_);_(* \(#,##0\);_(* "-"_);_(@_)</c:formatCode>
                <c:ptCount val="8"/>
                <c:pt idx="0">
                  <c:v>0</c:v>
                </c:pt>
                <c:pt idx="1">
                  <c:v>8</c:v>
                </c:pt>
                <c:pt idx="2">
                  <c:v>12</c:v>
                </c:pt>
                <c:pt idx="3">
                  <c:v>43</c:v>
                </c:pt>
                <c:pt idx="4">
                  <c:v>55</c:v>
                </c:pt>
                <c:pt idx="5">
                  <c:v>14</c:v>
                </c:pt>
                <c:pt idx="6">
                  <c:v>17</c:v>
                </c:pt>
                <c:pt idx="7">
                  <c:v>0</c:v>
                </c:pt>
              </c:numCache>
            </c:numRef>
          </c:val>
        </c:ser>
        <c:ser>
          <c:idx val="4"/>
          <c:order val="4"/>
          <c:tx>
            <c:strRef>
              <c:f>'VI.4. Entidad Receptora Origen'!$A$8:$B$8</c:f>
              <c:strCache>
                <c:ptCount val="2"/>
                <c:pt idx="0">
                  <c:v>ARL</c:v>
                </c:pt>
                <c:pt idx="1">
                  <c:v>Solicitado por Seguro</c:v>
                </c:pt>
              </c:strCache>
            </c:strRef>
          </c:tx>
          <c:invertIfNegative val="0"/>
          <c:cat>
            <c:strRef>
              <c:f>'VI.4. Entidad Receptora Origen'!$C$3:$J$3</c:f>
              <c:strCache>
                <c:ptCount val="8"/>
                <c:pt idx="0">
                  <c:v>2009</c:v>
                </c:pt>
                <c:pt idx="1">
                  <c:v>2010</c:v>
                </c:pt>
                <c:pt idx="2">
                  <c:v>2011</c:v>
                </c:pt>
                <c:pt idx="3">
                  <c:v>2012</c:v>
                </c:pt>
                <c:pt idx="4">
                  <c:v>2013</c:v>
                </c:pt>
                <c:pt idx="5">
                  <c:v>2014</c:v>
                </c:pt>
                <c:pt idx="6">
                  <c:v>Ene-Nov.2015</c:v>
                </c:pt>
                <c:pt idx="7">
                  <c:v>Fecha No especificada</c:v>
                </c:pt>
              </c:strCache>
            </c:strRef>
          </c:cat>
          <c:val>
            <c:numRef>
              <c:f>'VI.4. Entidad Receptora Origen'!$C$8:$J$8</c:f>
              <c:numCache>
                <c:formatCode>_(* #,##0_);_(* \(#,##0\);_(* "-"_);_(@_)</c:formatCode>
                <c:ptCount val="8"/>
                <c:pt idx="0">
                  <c:v>0</c:v>
                </c:pt>
                <c:pt idx="1">
                  <c:v>0</c:v>
                </c:pt>
                <c:pt idx="2">
                  <c:v>0</c:v>
                </c:pt>
                <c:pt idx="3">
                  <c:v>5</c:v>
                </c:pt>
                <c:pt idx="4">
                  <c:v>1</c:v>
                </c:pt>
                <c:pt idx="5">
                  <c:v>0</c:v>
                </c:pt>
                <c:pt idx="6">
                  <c:v>0</c:v>
                </c:pt>
                <c:pt idx="7">
                  <c:v>0</c:v>
                </c:pt>
              </c:numCache>
            </c:numRef>
          </c:val>
        </c:ser>
        <c:ser>
          <c:idx val="5"/>
          <c:order val="5"/>
          <c:tx>
            <c:strRef>
              <c:f>'VI.4. Entidad Receptora Origen'!$A$9:$B$9</c:f>
              <c:strCache>
                <c:ptCount val="2"/>
                <c:pt idx="0">
                  <c:v>ARL</c:v>
                </c:pt>
                <c:pt idx="1">
                  <c:v>Origen no especificado</c:v>
                </c:pt>
              </c:strCache>
            </c:strRef>
          </c:tx>
          <c:invertIfNegative val="0"/>
          <c:cat>
            <c:strRef>
              <c:f>'VI.4. Entidad Receptora Origen'!$C$3:$J$3</c:f>
              <c:strCache>
                <c:ptCount val="8"/>
                <c:pt idx="0">
                  <c:v>2009</c:v>
                </c:pt>
                <c:pt idx="1">
                  <c:v>2010</c:v>
                </c:pt>
                <c:pt idx="2">
                  <c:v>2011</c:v>
                </c:pt>
                <c:pt idx="3">
                  <c:v>2012</c:v>
                </c:pt>
                <c:pt idx="4">
                  <c:v>2013</c:v>
                </c:pt>
                <c:pt idx="5">
                  <c:v>2014</c:v>
                </c:pt>
                <c:pt idx="6">
                  <c:v>Ene-Nov.2015</c:v>
                </c:pt>
                <c:pt idx="7">
                  <c:v>Fecha No especificada</c:v>
                </c:pt>
              </c:strCache>
            </c:strRef>
          </c:cat>
          <c:val>
            <c:numRef>
              <c:f>'VI.4. Entidad Receptora Origen'!$C$9:$J$9</c:f>
              <c:numCache>
                <c:formatCode>_(* #,##0_);_(* \(#,##0\);_(* "-"_);_(@_)</c:formatCode>
                <c:ptCount val="8"/>
                <c:pt idx="0">
                  <c:v>0</c:v>
                </c:pt>
                <c:pt idx="1">
                  <c:v>0</c:v>
                </c:pt>
                <c:pt idx="2">
                  <c:v>0</c:v>
                </c:pt>
                <c:pt idx="3">
                  <c:v>1</c:v>
                </c:pt>
                <c:pt idx="4">
                  <c:v>3</c:v>
                </c:pt>
                <c:pt idx="5">
                  <c:v>0</c:v>
                </c:pt>
                <c:pt idx="6">
                  <c:v>0</c:v>
                </c:pt>
                <c:pt idx="7">
                  <c:v>0</c:v>
                </c:pt>
              </c:numCache>
            </c:numRef>
          </c:val>
        </c:ser>
        <c:dLbls>
          <c:showLegendKey val="0"/>
          <c:showVal val="0"/>
          <c:showCatName val="0"/>
          <c:showSerName val="0"/>
          <c:showPercent val="0"/>
          <c:showBubbleSize val="0"/>
        </c:dLbls>
        <c:gapWidth val="150"/>
        <c:axId val="211965016"/>
        <c:axId val="211966192"/>
      </c:barChart>
      <c:catAx>
        <c:axId val="211965016"/>
        <c:scaling>
          <c:orientation val="minMax"/>
        </c:scaling>
        <c:delete val="0"/>
        <c:axPos val="b"/>
        <c:numFmt formatCode="General" sourceLinked="1"/>
        <c:majorTickMark val="none"/>
        <c:minorTickMark val="none"/>
        <c:tickLblPos val="nextTo"/>
        <c:crossAx val="211966192"/>
        <c:crosses val="autoZero"/>
        <c:auto val="1"/>
        <c:lblAlgn val="ctr"/>
        <c:lblOffset val="100"/>
        <c:noMultiLvlLbl val="0"/>
      </c:catAx>
      <c:valAx>
        <c:axId val="211966192"/>
        <c:scaling>
          <c:orientation val="minMax"/>
        </c:scaling>
        <c:delete val="1"/>
        <c:axPos val="l"/>
        <c:numFmt formatCode="_(* #,##0_);_(* \(#,##0\);_(* &quot;-&quot;_);_(@_)" sourceLinked="1"/>
        <c:majorTickMark val="none"/>
        <c:minorTickMark val="none"/>
        <c:tickLblPos val="nextTo"/>
        <c:crossAx val="211965016"/>
        <c:crosses val="autoZero"/>
        <c:crossBetween val="between"/>
      </c:valAx>
      <c:dTable>
        <c:showHorzBorder val="1"/>
        <c:showVertBorder val="1"/>
        <c:showOutline val="1"/>
        <c:showKeys val="1"/>
      </c:dTable>
    </c:plotArea>
    <c:plotVisOnly val="1"/>
    <c:dispBlanksAs val="gap"/>
    <c:showDLblsOverMax val="0"/>
  </c:chart>
  <c:spPr>
    <a:ln>
      <a:noFill/>
    </a:ln>
  </c:spPr>
  <c:printSettings>
    <c:headerFooter/>
    <c:pageMargins b="0.75" l="0.7" r="0.7" t="0.75" header="0.3" footer="0.3"/>
    <c:pageSetup/>
  </c:printSettings>
  <c:userShapes r:id="rId1"/>
</c:chartSpace>
</file>

<file path=xl/charts/chart10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r>
              <a:rPr lang="es-ES" sz="1600" b="1"/>
              <a:t>Cantidad de Solicitudes por Año y Tipo de Trámite</a:t>
            </a:r>
          </a:p>
        </c:rich>
      </c:tx>
      <c:layout>
        <c:manualLayout>
          <c:xMode val="edge"/>
          <c:yMode val="edge"/>
          <c:x val="0.37440687173380999"/>
          <c:y val="2.7467205108599145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endParaRPr lang="es-ES"/>
        </a:p>
      </c:txPr>
    </c:title>
    <c:autoTitleDeleted val="0"/>
    <c:plotArea>
      <c:layout>
        <c:manualLayout>
          <c:layoutTarget val="inner"/>
          <c:xMode val="edge"/>
          <c:yMode val="edge"/>
          <c:x val="3.1200577872107949E-2"/>
          <c:y val="9.5272048465046014E-2"/>
          <c:w val="0.94179646248091209"/>
          <c:h val="0.78518839207372904"/>
        </c:manualLayout>
      </c:layout>
      <c:barChart>
        <c:barDir val="col"/>
        <c:grouping val="stacked"/>
        <c:varyColors val="0"/>
        <c:ser>
          <c:idx val="0"/>
          <c:order val="0"/>
          <c:tx>
            <c:strRef>
              <c:f>'VII.2.CBSS Tram.'!$A$6</c:f>
              <c:strCache>
                <c:ptCount val="1"/>
                <c:pt idx="0">
                  <c:v>Cooperación Admistrativa</c:v>
                </c:pt>
              </c:strCache>
            </c:strRef>
          </c:tx>
          <c:spPr>
            <a:solidFill>
              <a:schemeClr val="accent1"/>
            </a:solidFill>
            <a:ln>
              <a:noFill/>
            </a:ln>
            <a:effectLst/>
          </c:spPr>
          <c:invertIfNegative val="0"/>
          <c:cat>
            <c:strRef>
              <c:f>'VII.2.CBSS Tram.'!$B$3:$K$3</c:f>
              <c:strCache>
                <c:ptCount val="10"/>
                <c:pt idx="0">
                  <c:v>2006</c:v>
                </c:pt>
                <c:pt idx="1">
                  <c:v>2007</c:v>
                </c:pt>
                <c:pt idx="2">
                  <c:v>2008</c:v>
                </c:pt>
                <c:pt idx="3">
                  <c:v>2009</c:v>
                </c:pt>
                <c:pt idx="4">
                  <c:v>2010</c:v>
                </c:pt>
                <c:pt idx="5">
                  <c:v>2011</c:v>
                </c:pt>
                <c:pt idx="6">
                  <c:v>2012</c:v>
                </c:pt>
                <c:pt idx="7">
                  <c:v>2013</c:v>
                </c:pt>
                <c:pt idx="8">
                  <c:v>2014</c:v>
                </c:pt>
                <c:pt idx="9">
                  <c:v>Ene- Nov. 2015</c:v>
                </c:pt>
              </c:strCache>
            </c:strRef>
          </c:cat>
          <c:val>
            <c:numRef>
              <c:f>'VII.2.CBSS Tram.'!$B$6:$K$6</c:f>
              <c:numCache>
                <c:formatCode>_(* #,##0_);_(* \(#,##0\);_(* "-"??_);_(@_)</c:formatCode>
                <c:ptCount val="10"/>
                <c:pt idx="3">
                  <c:v>1</c:v>
                </c:pt>
                <c:pt idx="4">
                  <c:v>5</c:v>
                </c:pt>
                <c:pt idx="6">
                  <c:v>20</c:v>
                </c:pt>
                <c:pt idx="7">
                  <c:v>11</c:v>
                </c:pt>
                <c:pt idx="8">
                  <c:v>6</c:v>
                </c:pt>
                <c:pt idx="9">
                  <c:v>9</c:v>
                </c:pt>
              </c:numCache>
            </c:numRef>
          </c:val>
        </c:ser>
        <c:ser>
          <c:idx val="1"/>
          <c:order val="1"/>
          <c:tx>
            <c:strRef>
              <c:f>'VII.2.CBSS Tram.'!$A$4</c:f>
              <c:strCache>
                <c:ptCount val="1"/>
                <c:pt idx="0">
                  <c:v>Introducción</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'VII.2.CBSS Tram.'!$B$3:$K$3</c:f>
              <c:strCache>
                <c:ptCount val="10"/>
                <c:pt idx="0">
                  <c:v>2006</c:v>
                </c:pt>
                <c:pt idx="1">
                  <c:v>2007</c:v>
                </c:pt>
                <c:pt idx="2">
                  <c:v>2008</c:v>
                </c:pt>
                <c:pt idx="3">
                  <c:v>2009</c:v>
                </c:pt>
                <c:pt idx="4">
                  <c:v>2010</c:v>
                </c:pt>
                <c:pt idx="5">
                  <c:v>2011</c:v>
                </c:pt>
                <c:pt idx="6">
                  <c:v>2012</c:v>
                </c:pt>
                <c:pt idx="7">
                  <c:v>2013</c:v>
                </c:pt>
                <c:pt idx="8">
                  <c:v>2014</c:v>
                </c:pt>
                <c:pt idx="9">
                  <c:v>Ene- Nov. 2015</c:v>
                </c:pt>
              </c:strCache>
            </c:strRef>
          </c:cat>
          <c:val>
            <c:numRef>
              <c:f>'VII.2.CBSS Tram.'!$B$4:$K$4</c:f>
              <c:numCache>
                <c:formatCode>_(* #,##0_);_(* \(#,##0\);_(* "-"??_);_(@_)</c:formatCode>
                <c:ptCount val="10"/>
                <c:pt idx="0">
                  <c:v>2</c:v>
                </c:pt>
                <c:pt idx="1">
                  <c:v>7</c:v>
                </c:pt>
                <c:pt idx="2">
                  <c:v>32</c:v>
                </c:pt>
                <c:pt idx="3">
                  <c:v>54</c:v>
                </c:pt>
                <c:pt idx="4">
                  <c:v>204</c:v>
                </c:pt>
                <c:pt idx="5">
                  <c:v>129</c:v>
                </c:pt>
                <c:pt idx="6">
                  <c:v>202</c:v>
                </c:pt>
                <c:pt idx="7">
                  <c:v>121</c:v>
                </c:pt>
                <c:pt idx="8">
                  <c:v>139</c:v>
                </c:pt>
                <c:pt idx="9">
                  <c:v>134</c:v>
                </c:pt>
              </c:numCache>
            </c:numRef>
          </c:val>
        </c:ser>
        <c:ser>
          <c:idx val="2"/>
          <c:order val="2"/>
          <c:tx>
            <c:strRef>
              <c:f>'VII.2.CBSS Tram.'!$A$5</c:f>
              <c:strCache>
                <c:ptCount val="1"/>
                <c:pt idx="0">
                  <c:v>Reintroducción</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lumMod val="75000"/>
                        <a:lumOff val="25000"/>
                      </a:schemeClr>
                    </a:solidFill>
                    <a:latin typeface="+mn-lt"/>
                    <a:ea typeface="+mn-ea"/>
                    <a:cs typeface="+mn-cs"/>
                  </a:defRPr>
                </a:pPr>
                <a:endParaRPr lang="es-ES"/>
              </a:p>
            </c:txPr>
            <c:dLblPos val="inBase"/>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'VII.2.CBSS Tram.'!$B$3:$K$3</c:f>
              <c:strCache>
                <c:ptCount val="10"/>
                <c:pt idx="0">
                  <c:v>2006</c:v>
                </c:pt>
                <c:pt idx="1">
                  <c:v>2007</c:v>
                </c:pt>
                <c:pt idx="2">
                  <c:v>2008</c:v>
                </c:pt>
                <c:pt idx="3">
                  <c:v>2009</c:v>
                </c:pt>
                <c:pt idx="4">
                  <c:v>2010</c:v>
                </c:pt>
                <c:pt idx="5">
                  <c:v>2011</c:v>
                </c:pt>
                <c:pt idx="6">
                  <c:v>2012</c:v>
                </c:pt>
                <c:pt idx="7">
                  <c:v>2013</c:v>
                </c:pt>
                <c:pt idx="8">
                  <c:v>2014</c:v>
                </c:pt>
                <c:pt idx="9">
                  <c:v>Ene- Nov. 2015</c:v>
                </c:pt>
              </c:strCache>
            </c:strRef>
          </c:cat>
          <c:val>
            <c:numRef>
              <c:f>'VII.2.CBSS Tram.'!$B$5:$K$5</c:f>
              <c:numCache>
                <c:formatCode>_(* #,##0_);_(* \(#,##0\);_(* "-"??_);_(@_)</c:formatCode>
                <c:ptCount val="10"/>
                <c:pt idx="3">
                  <c:v>1</c:v>
                </c:pt>
                <c:pt idx="5">
                  <c:v>5</c:v>
                </c:pt>
                <c:pt idx="6">
                  <c:v>2</c:v>
                </c:pt>
                <c:pt idx="7">
                  <c:v>3</c:v>
                </c:pt>
                <c:pt idx="8">
                  <c:v>6</c:v>
                </c:pt>
                <c:pt idx="9">
                  <c:v>7</c:v>
                </c:pt>
              </c:numCache>
            </c:numRef>
          </c:val>
        </c:ser>
        <c:dLbls>
          <c:showLegendKey val="0"/>
          <c:showVal val="0"/>
          <c:showCatName val="0"/>
          <c:showSerName val="0"/>
          <c:showPercent val="0"/>
          <c:showBubbleSize val="0"/>
        </c:dLbls>
        <c:gapWidth val="52"/>
        <c:overlap val="100"/>
        <c:axId val="211965408"/>
        <c:axId val="211959920"/>
        <c:extLst>
          <c:ext xmlns:c15="http://schemas.microsoft.com/office/drawing/2012/chart" uri="{02D57815-91ED-43cb-92C2-25804820EDAC}">
            <c15:filteredBarSeries>
              <c15:ser>
                <c:idx val="3"/>
                <c:order val="3"/>
                <c:tx>
                  <c:strRef>
                    <c:extLst>
                      <c:ext uri="{02D57815-91ED-43cb-92C2-25804820EDAC}">
                        <c15:formulaRef>
                          <c15:sqref>'VII.2.CBSS Tram.'!#REF!</c15:sqref>
                        </c15:formulaRef>
                      </c:ext>
                    </c:extLst>
                    <c:strCache>
                      <c:ptCount val="1"/>
                      <c:pt idx="0">
                        <c:v>#REF!</c:v>
                      </c:pt>
                    </c:strCache>
                  </c:strRef>
                </c:tx>
                <c:spPr>
                  <a:solidFill>
                    <a:schemeClr val="accent4"/>
                  </a:solidFill>
                  <a:ln>
                    <a:noFill/>
                  </a:ln>
                  <a:effectLst/>
                </c:spPr>
                <c:invertIfNegative val="0"/>
                <c:cat>
                  <c:strRef>
                    <c:extLst>
                      <c:ext uri="{02D57815-91ED-43cb-92C2-25804820EDAC}">
                        <c15:formulaRef>
                          <c15:sqref>'VII.2.CBSS Tram.'!$B$3:$K$3</c15:sqref>
                        </c15:formulaRef>
                      </c:ext>
                    </c:extLst>
                    <c:strCache>
                      <c:ptCount val="10"/>
                      <c:pt idx="0">
                        <c:v>2006</c:v>
                      </c:pt>
                      <c:pt idx="1">
                        <c:v>2007</c:v>
                      </c:pt>
                      <c:pt idx="2">
                        <c:v>2008</c:v>
                      </c:pt>
                      <c:pt idx="3">
                        <c:v>2009</c:v>
                      </c:pt>
                      <c:pt idx="4">
                        <c:v>2010</c:v>
                      </c:pt>
                      <c:pt idx="5">
                        <c:v>2011</c:v>
                      </c:pt>
                      <c:pt idx="6">
                        <c:v>2012</c:v>
                      </c:pt>
                      <c:pt idx="7">
                        <c:v>2013</c:v>
                      </c:pt>
                      <c:pt idx="8">
                        <c:v>2014</c:v>
                      </c:pt>
                      <c:pt idx="9">
                        <c:v>Ene- Nov. 2015</c:v>
                      </c:pt>
                    </c:strCache>
                  </c:strRef>
                </c:cat>
                <c:val>
                  <c:numRef>
                    <c:extLst>
                      <c:ext uri="{02D57815-91ED-43cb-92C2-25804820EDAC}">
                        <c15:formulaRef>
                          <c15:sqref>'VII.2.CBSS Tram.'!#REF!</c15:sqref>
                        </c15:formulaRef>
                      </c:ext>
                    </c:extLst>
                    <c:numCache>
                      <c:formatCode>General</c:formatCode>
                      <c:ptCount val="1"/>
                      <c:pt idx="0">
                        <c:v>1</c:v>
                      </c:pt>
                    </c:numCache>
                  </c:numRef>
                </c:val>
              </c15:ser>
            </c15:filteredBarSeries>
            <c15:filteredBarSeries>
              <c15:ser>
                <c:idx val="4"/>
                <c:order val="4"/>
                <c:tx>
                  <c:strRef>
                    <c:extLst xmlns:c15="http://schemas.microsoft.com/office/drawing/2012/chart">
                      <c:ext xmlns:c15="http://schemas.microsoft.com/office/drawing/2012/chart" uri="{02D57815-91ED-43cb-92C2-25804820EDAC}">
                        <c15:formulaRef>
                          <c15:sqref>'VII.2.CBSS Tram.'!#REF!</c15:sqref>
                        </c15:formulaRef>
                      </c:ext>
                    </c:extLst>
                    <c:strCache>
                      <c:ptCount val="1"/>
                      <c:pt idx="0">
                        <c:v>#REF!</c:v>
                      </c:pt>
                    </c:strCache>
                  </c:strRef>
                </c:tx>
                <c:spPr>
                  <a:solidFill>
                    <a:schemeClr val="accent5"/>
                  </a:solidFill>
                  <a:ln>
                    <a:noFill/>
                  </a:ln>
                  <a:effectLst/>
                </c:spPr>
                <c:invertIfNegative val="0"/>
                <c:cat>
                  <c:strRef>
                    <c:extLst xmlns:c15="http://schemas.microsoft.com/office/drawing/2012/chart">
                      <c:ext xmlns:c15="http://schemas.microsoft.com/office/drawing/2012/chart" uri="{02D57815-91ED-43cb-92C2-25804820EDAC}">
                        <c15:formulaRef>
                          <c15:sqref>'VII.2.CBSS Tram.'!$B$3:$K$3</c15:sqref>
                        </c15:formulaRef>
                      </c:ext>
                    </c:extLst>
                    <c:strCache>
                      <c:ptCount val="10"/>
                      <c:pt idx="0">
                        <c:v>2006</c:v>
                      </c:pt>
                      <c:pt idx="1">
                        <c:v>2007</c:v>
                      </c:pt>
                      <c:pt idx="2">
                        <c:v>2008</c:v>
                      </c:pt>
                      <c:pt idx="3">
                        <c:v>2009</c:v>
                      </c:pt>
                      <c:pt idx="4">
                        <c:v>2010</c:v>
                      </c:pt>
                      <c:pt idx="5">
                        <c:v>2011</c:v>
                      </c:pt>
                      <c:pt idx="6">
                        <c:v>2012</c:v>
                      </c:pt>
                      <c:pt idx="7">
                        <c:v>2013</c:v>
                      </c:pt>
                      <c:pt idx="8">
                        <c:v>2014</c:v>
                      </c:pt>
                      <c:pt idx="9">
                        <c:v>Ene- Nov. 2015</c:v>
                      </c:pt>
                    </c:strCache>
                  </c:strRef>
                </c:cat>
                <c:val>
                  <c:numRef>
                    <c:extLst xmlns:c15="http://schemas.microsoft.com/office/drawing/2012/chart">
                      <c:ext xmlns:c15="http://schemas.microsoft.com/office/drawing/2012/chart" uri="{02D57815-91ED-43cb-92C2-25804820EDAC}">
                        <c15:formulaRef>
                          <c15:sqref>'VII.2.CBSS Tram.'!#REF!</c15:sqref>
                        </c15:formulaRef>
                      </c:ext>
                    </c:extLst>
                    <c:numCache>
                      <c:formatCode>General</c:formatCode>
                      <c:ptCount val="1"/>
                      <c:pt idx="0">
                        <c:v>1</c:v>
                      </c:pt>
                    </c:numCache>
                  </c:numRef>
                </c:val>
              </c15:ser>
            </c15:filteredBarSeries>
            <c15:filteredBarSeries>
              <c15:ser>
                <c:idx val="5"/>
                <c:order val="5"/>
                <c:tx>
                  <c:strRef>
                    <c:extLst xmlns:c15="http://schemas.microsoft.com/office/drawing/2012/chart">
                      <c:ext xmlns:c15="http://schemas.microsoft.com/office/drawing/2012/chart" uri="{02D57815-91ED-43cb-92C2-25804820EDAC}">
                        <c15:formulaRef>
                          <c15:sqref>'VII.2.CBSS Tram.'!#REF!</c15:sqref>
                        </c15:formulaRef>
                      </c:ext>
                    </c:extLst>
                    <c:strCache>
                      <c:ptCount val="1"/>
                      <c:pt idx="0">
                        <c:v>#REF!</c:v>
                      </c:pt>
                    </c:strCache>
                  </c:strRef>
                </c:tx>
                <c:spPr>
                  <a:solidFill>
                    <a:schemeClr val="accent6"/>
                  </a:solidFill>
                  <a:ln>
                    <a:noFill/>
                  </a:ln>
                  <a:effectLst/>
                </c:spPr>
                <c:invertIfNegative val="0"/>
                <c:cat>
                  <c:strRef>
                    <c:extLst xmlns:c15="http://schemas.microsoft.com/office/drawing/2012/chart">
                      <c:ext xmlns:c15="http://schemas.microsoft.com/office/drawing/2012/chart" uri="{02D57815-91ED-43cb-92C2-25804820EDAC}">
                        <c15:formulaRef>
                          <c15:sqref>'VII.2.CBSS Tram.'!$B$3:$K$3</c15:sqref>
                        </c15:formulaRef>
                      </c:ext>
                    </c:extLst>
                    <c:strCache>
                      <c:ptCount val="10"/>
                      <c:pt idx="0">
                        <c:v>2006</c:v>
                      </c:pt>
                      <c:pt idx="1">
                        <c:v>2007</c:v>
                      </c:pt>
                      <c:pt idx="2">
                        <c:v>2008</c:v>
                      </c:pt>
                      <c:pt idx="3">
                        <c:v>2009</c:v>
                      </c:pt>
                      <c:pt idx="4">
                        <c:v>2010</c:v>
                      </c:pt>
                      <c:pt idx="5">
                        <c:v>2011</c:v>
                      </c:pt>
                      <c:pt idx="6">
                        <c:v>2012</c:v>
                      </c:pt>
                      <c:pt idx="7">
                        <c:v>2013</c:v>
                      </c:pt>
                      <c:pt idx="8">
                        <c:v>2014</c:v>
                      </c:pt>
                      <c:pt idx="9">
                        <c:v>Ene- Nov. 2015</c:v>
                      </c:pt>
                    </c:strCache>
                  </c:strRef>
                </c:cat>
                <c:val>
                  <c:numRef>
                    <c:extLst xmlns:c15="http://schemas.microsoft.com/office/drawing/2012/chart">
                      <c:ext xmlns:c15="http://schemas.microsoft.com/office/drawing/2012/chart" uri="{02D57815-91ED-43cb-92C2-25804820EDAC}">
                        <c15:formulaRef>
                          <c15:sqref>'VII.2.CBSS Tram.'!#REF!</c15:sqref>
                        </c15:formulaRef>
                      </c:ext>
                    </c:extLst>
                    <c:numCache>
                      <c:formatCode>General</c:formatCode>
                      <c:ptCount val="1"/>
                      <c:pt idx="0">
                        <c:v>1</c:v>
                      </c:pt>
                    </c:numCache>
                  </c:numRef>
                </c:val>
              </c15:ser>
            </c15:filteredBarSeries>
          </c:ext>
        </c:extLst>
      </c:barChart>
      <c:catAx>
        <c:axId val="2119654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ES"/>
          </a:p>
        </c:txPr>
        <c:crossAx val="211959920"/>
        <c:crosses val="autoZero"/>
        <c:auto val="1"/>
        <c:lblAlgn val="ctr"/>
        <c:lblOffset val="100"/>
        <c:noMultiLvlLbl val="0"/>
      </c:catAx>
      <c:valAx>
        <c:axId val="211959920"/>
        <c:scaling>
          <c:orientation val="minMax"/>
        </c:scaling>
        <c:delete val="0"/>
        <c:axPos val="l"/>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11965408"/>
        <c:crosses val="autoZero"/>
        <c:crossBetween val="between"/>
      </c:valAx>
      <c:spPr>
        <a:noFill/>
        <a:ln>
          <a:noFill/>
        </a:ln>
        <a:effectLst/>
      </c:spPr>
    </c:plotArea>
    <c:legend>
      <c:legendPos val="b"/>
      <c:layout>
        <c:manualLayout>
          <c:xMode val="edge"/>
          <c:yMode val="edge"/>
          <c:x val="0.16329309616948631"/>
          <c:y val="7.1116255741644332E-2"/>
          <c:w val="0.76706538950340064"/>
          <c:h val="4.20008660745941E-2"/>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10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r>
              <a:rPr lang="es-ES" sz="1600" b="1"/>
              <a:t>Cantidad de Solicitudes por Año y Tipo de Beneficio</a:t>
            </a:r>
          </a:p>
        </c:rich>
      </c:tx>
      <c:layout>
        <c:manualLayout>
          <c:xMode val="edge"/>
          <c:yMode val="edge"/>
          <c:x val="0.37440687173380999"/>
          <c:y val="2.7467205108599145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endParaRPr lang="es-ES"/>
        </a:p>
      </c:txPr>
    </c:title>
    <c:autoTitleDeleted val="0"/>
    <c:plotArea>
      <c:layout>
        <c:manualLayout>
          <c:layoutTarget val="inner"/>
          <c:xMode val="edge"/>
          <c:yMode val="edge"/>
          <c:x val="3.1200577872107949E-2"/>
          <c:y val="9.5272048465046014E-2"/>
          <c:w val="0.9426360459171127"/>
          <c:h val="0.75087599505867075"/>
        </c:manualLayout>
      </c:layout>
      <c:barChart>
        <c:barDir val="col"/>
        <c:grouping val="stacked"/>
        <c:varyColors val="0"/>
        <c:ser>
          <c:idx val="0"/>
          <c:order val="0"/>
          <c:tx>
            <c:strRef>
              <c:f>'VII.3.CBSS-Benef'!$A$4</c:f>
              <c:strCache>
                <c:ptCount val="1"/>
                <c:pt idx="0">
                  <c:v> Incapacidad/Discapacidad</c:v>
                </c:pt>
              </c:strCache>
            </c:strRef>
          </c:tx>
          <c:spPr>
            <a:solidFill>
              <a:schemeClr val="accent1"/>
            </a:solidFill>
            <a:ln>
              <a:noFill/>
            </a:ln>
            <a:effectLst/>
          </c:spPr>
          <c:invertIfNegative val="0"/>
          <c:cat>
            <c:strRef>
              <c:f>'VII.3.CBSS-Benef'!$B$3:$K$3</c:f>
              <c:strCache>
                <c:ptCount val="10"/>
                <c:pt idx="0">
                  <c:v>2006</c:v>
                </c:pt>
                <c:pt idx="1">
                  <c:v>2007</c:v>
                </c:pt>
                <c:pt idx="2">
                  <c:v>2008</c:v>
                </c:pt>
                <c:pt idx="3">
                  <c:v>2009</c:v>
                </c:pt>
                <c:pt idx="4">
                  <c:v>2010</c:v>
                </c:pt>
                <c:pt idx="5">
                  <c:v>2011</c:v>
                </c:pt>
                <c:pt idx="6">
                  <c:v>2012</c:v>
                </c:pt>
                <c:pt idx="7">
                  <c:v>2013</c:v>
                </c:pt>
                <c:pt idx="8">
                  <c:v>2014</c:v>
                </c:pt>
                <c:pt idx="9">
                  <c:v>Ene-Nov. 2015</c:v>
                </c:pt>
              </c:strCache>
            </c:strRef>
          </c:cat>
          <c:val>
            <c:numRef>
              <c:f>'VII.3.CBSS-Benef'!$B$4:$K$4</c:f>
              <c:numCache>
                <c:formatCode>_(* #,##0_);_(* \(#,##0\);_(* "-"??_);_(@_)</c:formatCode>
                <c:ptCount val="10"/>
                <c:pt idx="1">
                  <c:v>2</c:v>
                </c:pt>
                <c:pt idx="2">
                  <c:v>3</c:v>
                </c:pt>
                <c:pt idx="3">
                  <c:v>5</c:v>
                </c:pt>
                <c:pt idx="4">
                  <c:v>16</c:v>
                </c:pt>
                <c:pt idx="5">
                  <c:v>2</c:v>
                </c:pt>
                <c:pt idx="6">
                  <c:v>2</c:v>
                </c:pt>
                <c:pt idx="8">
                  <c:v>2</c:v>
                </c:pt>
                <c:pt idx="9">
                  <c:v>0</c:v>
                </c:pt>
              </c:numCache>
            </c:numRef>
          </c:val>
        </c:ser>
        <c:ser>
          <c:idx val="1"/>
          <c:order val="1"/>
          <c:tx>
            <c:strRef>
              <c:f>'VII.3.CBSS-Benef'!$A$5</c:f>
              <c:strCache>
                <c:ptCount val="1"/>
                <c:pt idx="0">
                  <c:v> Jubilación/Vejez</c:v>
                </c:pt>
              </c:strCache>
            </c:strRef>
          </c:tx>
          <c:spPr>
            <a:solidFill>
              <a:schemeClr val="accent2"/>
            </a:solidFill>
            <a:ln>
              <a:noFill/>
            </a:ln>
            <a:effectLst/>
          </c:spPr>
          <c:invertIfNegative val="0"/>
          <c:cat>
            <c:strRef>
              <c:f>'VII.3.CBSS-Benef'!$B$3:$K$3</c:f>
              <c:strCache>
                <c:ptCount val="10"/>
                <c:pt idx="0">
                  <c:v>2006</c:v>
                </c:pt>
                <c:pt idx="1">
                  <c:v>2007</c:v>
                </c:pt>
                <c:pt idx="2">
                  <c:v>2008</c:v>
                </c:pt>
                <c:pt idx="3">
                  <c:v>2009</c:v>
                </c:pt>
                <c:pt idx="4">
                  <c:v>2010</c:v>
                </c:pt>
                <c:pt idx="5">
                  <c:v>2011</c:v>
                </c:pt>
                <c:pt idx="6">
                  <c:v>2012</c:v>
                </c:pt>
                <c:pt idx="7">
                  <c:v>2013</c:v>
                </c:pt>
                <c:pt idx="8">
                  <c:v>2014</c:v>
                </c:pt>
                <c:pt idx="9">
                  <c:v>Ene-Nov. 2015</c:v>
                </c:pt>
              </c:strCache>
            </c:strRef>
          </c:cat>
          <c:val>
            <c:numRef>
              <c:f>'VII.3.CBSS-Benef'!$B$5:$K$5</c:f>
              <c:numCache>
                <c:formatCode>_(* #,##0_);_(* \(#,##0\);_(* "-"??_);_(@_)</c:formatCode>
                <c:ptCount val="10"/>
                <c:pt idx="1">
                  <c:v>1</c:v>
                </c:pt>
                <c:pt idx="2">
                  <c:v>11</c:v>
                </c:pt>
                <c:pt idx="3">
                  <c:v>11</c:v>
                </c:pt>
                <c:pt idx="4">
                  <c:v>30</c:v>
                </c:pt>
                <c:pt idx="5">
                  <c:v>10</c:v>
                </c:pt>
                <c:pt idx="6">
                  <c:v>15</c:v>
                </c:pt>
                <c:pt idx="7">
                  <c:v>10</c:v>
                </c:pt>
                <c:pt idx="8">
                  <c:v>19</c:v>
                </c:pt>
                <c:pt idx="9">
                  <c:v>14</c:v>
                </c:pt>
              </c:numCache>
            </c:numRef>
          </c:val>
        </c:ser>
        <c:ser>
          <c:idx val="2"/>
          <c:order val="2"/>
          <c:tx>
            <c:strRef>
              <c:f>'VII.3.CBSS-Benef'!$A$6</c:f>
              <c:strCache>
                <c:ptCount val="1"/>
                <c:pt idx="0">
                  <c:v> Supervivencia/Sobrevivencia</c:v>
                </c:pt>
              </c:strCache>
            </c:strRef>
          </c:tx>
          <c:spPr>
            <a:solidFill>
              <a:schemeClr val="accent3"/>
            </a:solidFill>
            <a:ln>
              <a:noFill/>
            </a:ln>
            <a:effectLst/>
          </c:spPr>
          <c:invertIfNegative val="0"/>
          <c:cat>
            <c:strRef>
              <c:f>'VII.3.CBSS-Benef'!$B$3:$K$3</c:f>
              <c:strCache>
                <c:ptCount val="10"/>
                <c:pt idx="0">
                  <c:v>2006</c:v>
                </c:pt>
                <c:pt idx="1">
                  <c:v>2007</c:v>
                </c:pt>
                <c:pt idx="2">
                  <c:v>2008</c:v>
                </c:pt>
                <c:pt idx="3">
                  <c:v>2009</c:v>
                </c:pt>
                <c:pt idx="4">
                  <c:v>2010</c:v>
                </c:pt>
                <c:pt idx="5">
                  <c:v>2011</c:v>
                </c:pt>
                <c:pt idx="6">
                  <c:v>2012</c:v>
                </c:pt>
                <c:pt idx="7">
                  <c:v>2013</c:v>
                </c:pt>
                <c:pt idx="8">
                  <c:v>2014</c:v>
                </c:pt>
                <c:pt idx="9">
                  <c:v>Ene-Nov. 2015</c:v>
                </c:pt>
              </c:strCache>
            </c:strRef>
          </c:cat>
          <c:val>
            <c:numRef>
              <c:f>'VII.3.CBSS-Benef'!$B$6:$K$6</c:f>
              <c:numCache>
                <c:formatCode>_(* #,##0_);_(* \(#,##0\);_(* "-"??_);_(@_)</c:formatCode>
                <c:ptCount val="10"/>
                <c:pt idx="1">
                  <c:v>1</c:v>
                </c:pt>
                <c:pt idx="2">
                  <c:v>1</c:v>
                </c:pt>
                <c:pt idx="3">
                  <c:v>1</c:v>
                </c:pt>
                <c:pt idx="4">
                  <c:v>12</c:v>
                </c:pt>
                <c:pt idx="5">
                  <c:v>4</c:v>
                </c:pt>
                <c:pt idx="6">
                  <c:v>15</c:v>
                </c:pt>
                <c:pt idx="7">
                  <c:v>12</c:v>
                </c:pt>
                <c:pt idx="8">
                  <c:v>13</c:v>
                </c:pt>
                <c:pt idx="9">
                  <c:v>27</c:v>
                </c:pt>
              </c:numCache>
            </c:numRef>
          </c:val>
        </c:ser>
        <c:ser>
          <c:idx val="3"/>
          <c:order val="3"/>
          <c:tx>
            <c:strRef>
              <c:f>'VII.3.CBSS-Benef'!$A$7</c:f>
              <c:strCache>
                <c:ptCount val="1"/>
                <c:pt idx="0">
                  <c:v>Certificación/Período Cotizado/Cuantía</c:v>
                </c:pt>
              </c:strCache>
            </c:strRef>
          </c:tx>
          <c:spPr>
            <a:solidFill>
              <a:schemeClr val="accent4"/>
            </a:solidFill>
            <a:ln>
              <a:noFill/>
            </a:ln>
            <a:effectLst/>
          </c:spPr>
          <c:invertIfNegative val="0"/>
          <c:cat>
            <c:strRef>
              <c:f>'VII.3.CBSS-Benef'!$B$3:$K$3</c:f>
              <c:strCache>
                <c:ptCount val="10"/>
                <c:pt idx="0">
                  <c:v>2006</c:v>
                </c:pt>
                <c:pt idx="1">
                  <c:v>2007</c:v>
                </c:pt>
                <c:pt idx="2">
                  <c:v>2008</c:v>
                </c:pt>
                <c:pt idx="3">
                  <c:v>2009</c:v>
                </c:pt>
                <c:pt idx="4">
                  <c:v>2010</c:v>
                </c:pt>
                <c:pt idx="5">
                  <c:v>2011</c:v>
                </c:pt>
                <c:pt idx="6">
                  <c:v>2012</c:v>
                </c:pt>
                <c:pt idx="7">
                  <c:v>2013</c:v>
                </c:pt>
                <c:pt idx="8">
                  <c:v>2014</c:v>
                </c:pt>
                <c:pt idx="9">
                  <c:v>Ene-Nov. 2015</c:v>
                </c:pt>
              </c:strCache>
            </c:strRef>
          </c:cat>
          <c:val>
            <c:numRef>
              <c:f>'VII.3.CBSS-Benef'!$B$7:$K$7</c:f>
              <c:numCache>
                <c:formatCode>_(* #,##0_);_(* \(#,##0\);_(* "-"??_);_(@_)</c:formatCode>
                <c:ptCount val="10"/>
                <c:pt idx="0">
                  <c:v>2</c:v>
                </c:pt>
                <c:pt idx="1">
                  <c:v>3</c:v>
                </c:pt>
                <c:pt idx="2">
                  <c:v>17</c:v>
                </c:pt>
                <c:pt idx="3">
                  <c:v>39</c:v>
                </c:pt>
                <c:pt idx="4">
                  <c:v>151</c:v>
                </c:pt>
                <c:pt idx="5">
                  <c:v>117</c:v>
                </c:pt>
                <c:pt idx="6">
                  <c:v>190</c:v>
                </c:pt>
                <c:pt idx="7">
                  <c:v>112</c:v>
                </c:pt>
                <c:pt idx="8">
                  <c:v>103</c:v>
                </c:pt>
                <c:pt idx="9">
                  <c:v>103</c:v>
                </c:pt>
              </c:numCache>
            </c:numRef>
          </c:val>
        </c:ser>
        <c:ser>
          <c:idx val="4"/>
          <c:order val="4"/>
          <c:tx>
            <c:strRef>
              <c:f>'VII.3.CBSS-Benef'!$A$8</c:f>
              <c:strCache>
                <c:ptCount val="1"/>
                <c:pt idx="0">
                  <c:v>Desplazados o Eximición de Cotización</c:v>
                </c:pt>
              </c:strCache>
            </c:strRef>
          </c:tx>
          <c:spPr>
            <a:solidFill>
              <a:schemeClr val="accent5"/>
            </a:solidFill>
            <a:ln>
              <a:noFill/>
            </a:ln>
            <a:effectLst/>
          </c:spPr>
          <c:invertIfNegative val="0"/>
          <c:cat>
            <c:strRef>
              <c:f>'VII.3.CBSS-Benef'!$B$3:$K$3</c:f>
              <c:strCache>
                <c:ptCount val="10"/>
                <c:pt idx="0">
                  <c:v>2006</c:v>
                </c:pt>
                <c:pt idx="1">
                  <c:v>2007</c:v>
                </c:pt>
                <c:pt idx="2">
                  <c:v>2008</c:v>
                </c:pt>
                <c:pt idx="3">
                  <c:v>2009</c:v>
                </c:pt>
                <c:pt idx="4">
                  <c:v>2010</c:v>
                </c:pt>
                <c:pt idx="5">
                  <c:v>2011</c:v>
                </c:pt>
                <c:pt idx="6">
                  <c:v>2012</c:v>
                </c:pt>
                <c:pt idx="7">
                  <c:v>2013</c:v>
                </c:pt>
                <c:pt idx="8">
                  <c:v>2014</c:v>
                </c:pt>
                <c:pt idx="9">
                  <c:v>Ene-Nov. 2015</c:v>
                </c:pt>
              </c:strCache>
            </c:strRef>
          </c:cat>
          <c:val>
            <c:numRef>
              <c:f>'VII.3.CBSS-Benef'!$B$8:$K$8</c:f>
              <c:numCache>
                <c:formatCode>_(* #,##0_);_(* \(#,##0\);_(* "-"??_);_(@_)</c:formatCode>
                <c:ptCount val="10"/>
                <c:pt idx="5">
                  <c:v>1</c:v>
                </c:pt>
                <c:pt idx="6">
                  <c:v>2</c:v>
                </c:pt>
                <c:pt idx="7">
                  <c:v>1</c:v>
                </c:pt>
                <c:pt idx="8">
                  <c:v>14</c:v>
                </c:pt>
                <c:pt idx="9">
                  <c:v>4</c:v>
                </c:pt>
              </c:numCache>
            </c:numRef>
          </c:val>
        </c:ser>
        <c:ser>
          <c:idx val="5"/>
          <c:order val="5"/>
          <c:tx>
            <c:strRef>
              <c:f>'VII.3.CBSS-Benef'!$A$9</c:f>
              <c:strCache>
                <c:ptCount val="1"/>
                <c:pt idx="0">
                  <c:v>N/D</c:v>
                </c:pt>
              </c:strCache>
            </c:strRef>
          </c:tx>
          <c:spPr>
            <a:solidFill>
              <a:schemeClr val="accent6"/>
            </a:solidFill>
            <a:ln>
              <a:noFill/>
            </a:ln>
            <a:effectLst/>
          </c:spPr>
          <c:invertIfNegative val="0"/>
          <c:cat>
            <c:strRef>
              <c:f>'VII.3.CBSS-Benef'!$B$3:$K$3</c:f>
              <c:strCache>
                <c:ptCount val="10"/>
                <c:pt idx="0">
                  <c:v>2006</c:v>
                </c:pt>
                <c:pt idx="1">
                  <c:v>2007</c:v>
                </c:pt>
                <c:pt idx="2">
                  <c:v>2008</c:v>
                </c:pt>
                <c:pt idx="3">
                  <c:v>2009</c:v>
                </c:pt>
                <c:pt idx="4">
                  <c:v>2010</c:v>
                </c:pt>
                <c:pt idx="5">
                  <c:v>2011</c:v>
                </c:pt>
                <c:pt idx="6">
                  <c:v>2012</c:v>
                </c:pt>
                <c:pt idx="7">
                  <c:v>2013</c:v>
                </c:pt>
                <c:pt idx="8">
                  <c:v>2014</c:v>
                </c:pt>
                <c:pt idx="9">
                  <c:v>Ene-Nov. 2015</c:v>
                </c:pt>
              </c:strCache>
            </c:strRef>
          </c:cat>
          <c:val>
            <c:numRef>
              <c:f>'VII.3.CBSS-Benef'!$B$9:$K$9</c:f>
              <c:numCache>
                <c:formatCode>_(* #,##0_);_(* \(#,##0\);_(* "-"??_);_(@_)</c:formatCode>
                <c:ptCount val="10"/>
                <c:pt idx="9">
                  <c:v>2</c:v>
                </c:pt>
              </c:numCache>
            </c:numRef>
          </c:val>
        </c:ser>
        <c:dLbls>
          <c:showLegendKey val="0"/>
          <c:showVal val="0"/>
          <c:showCatName val="0"/>
          <c:showSerName val="0"/>
          <c:showPercent val="0"/>
          <c:showBubbleSize val="0"/>
        </c:dLbls>
        <c:gapWidth val="72"/>
        <c:overlap val="100"/>
        <c:axId val="211961880"/>
        <c:axId val="211962272"/>
      </c:barChart>
      <c:catAx>
        <c:axId val="2119618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800" b="1" i="0" u="none" strike="noStrike" kern="1200" baseline="0">
                <a:solidFill>
                  <a:schemeClr val="tx1">
                    <a:lumMod val="65000"/>
                    <a:lumOff val="35000"/>
                  </a:schemeClr>
                </a:solidFill>
                <a:latin typeface="+mn-lt"/>
                <a:ea typeface="+mn-ea"/>
                <a:cs typeface="+mn-cs"/>
              </a:defRPr>
            </a:pPr>
            <a:endParaRPr lang="es-ES"/>
          </a:p>
        </c:txPr>
        <c:crossAx val="211962272"/>
        <c:crosses val="autoZero"/>
        <c:auto val="1"/>
        <c:lblAlgn val="ctr"/>
        <c:lblOffset val="100"/>
        <c:noMultiLvlLbl val="0"/>
      </c:catAx>
      <c:valAx>
        <c:axId val="211962272"/>
        <c:scaling>
          <c:orientation val="minMax"/>
        </c:scaling>
        <c:delete val="0"/>
        <c:axPos val="l"/>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11961880"/>
        <c:crosses val="autoZero"/>
        <c:crossBetween val="between"/>
      </c:valAx>
      <c:spPr>
        <a:noFill/>
        <a:ln>
          <a:noFill/>
        </a:ln>
        <a:effectLst/>
      </c:spPr>
    </c:plotArea>
    <c:legend>
      <c:legendPos val="b"/>
      <c:layout>
        <c:manualLayout>
          <c:xMode val="edge"/>
          <c:yMode val="edge"/>
          <c:x val="0.23293461475894381"/>
          <c:y val="7.1116239129515674E-2"/>
          <c:w val="0.76706538950340064"/>
          <c:h val="4.20008660745941E-2"/>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10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1"/>
    <c:plotArea>
      <c:layout>
        <c:manualLayout>
          <c:layoutTarget val="inner"/>
          <c:xMode val="edge"/>
          <c:yMode val="edge"/>
          <c:x val="2.0900167701211472E-2"/>
          <c:y val="0.17590809605346738"/>
          <c:w val="0.96137760958493024"/>
          <c:h val="0.65454146977698902"/>
        </c:manualLayout>
      </c:layout>
      <c:barChart>
        <c:barDir val="col"/>
        <c:grouping val="clustered"/>
        <c:varyColors val="0"/>
        <c:ser>
          <c:idx val="0"/>
          <c:order val="0"/>
          <c:tx>
            <c:strRef>
              <c:f>'VII.4.CBSS-Tramit.'!$B$3</c:f>
              <c:strCache>
                <c:ptCount val="1"/>
                <c:pt idx="0">
                  <c:v>Solicitudes </c:v>
                </c:pt>
              </c:strCache>
            </c:strRef>
          </c:tx>
          <c:spPr>
            <a:solidFill>
              <a:srgbClr val="0070C0"/>
            </a:solidFill>
          </c:spPr>
          <c:invertIfNegative val="0"/>
          <c:dLbls>
            <c:dLbl>
              <c:idx val="5"/>
              <c:layout>
                <c:manualLayout>
                  <c:x val="-6.0670955800683204E-3"/>
                  <c:y val="0"/>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7.7669333354225796E-3"/>
                  <c:y val="2.1628503711160927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0"/>
                  <c:y val="6.4885511133484369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400" b="1">
                    <a:solidFill>
                      <a:srgbClr val="0070C0"/>
                    </a:solidFill>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'VII.4.CBSS-Tramit.'!$A$4:$A$13</c:f>
              <c:strCache>
                <c:ptCount val="10"/>
                <c:pt idx="0">
                  <c:v>2006</c:v>
                </c:pt>
                <c:pt idx="1">
                  <c:v>2007</c:v>
                </c:pt>
                <c:pt idx="2">
                  <c:v>2008</c:v>
                </c:pt>
                <c:pt idx="3">
                  <c:v>2009</c:v>
                </c:pt>
                <c:pt idx="4">
                  <c:v>2010</c:v>
                </c:pt>
                <c:pt idx="5">
                  <c:v>2011</c:v>
                </c:pt>
                <c:pt idx="6">
                  <c:v>2012</c:v>
                </c:pt>
                <c:pt idx="7">
                  <c:v>2013</c:v>
                </c:pt>
                <c:pt idx="8">
                  <c:v>2014</c:v>
                </c:pt>
                <c:pt idx="9">
                  <c:v>Ene-Nov. 2015</c:v>
                </c:pt>
              </c:strCache>
            </c:strRef>
          </c:cat>
          <c:val>
            <c:numRef>
              <c:f>'VII.4.CBSS-Tramit.'!$B$4:$B$13</c:f>
              <c:numCache>
                <c:formatCode>_(* #,##0_);_(* \(#,##0\);_(* "-"??_);_(@_)</c:formatCode>
                <c:ptCount val="10"/>
                <c:pt idx="0">
                  <c:v>2</c:v>
                </c:pt>
                <c:pt idx="1">
                  <c:v>7</c:v>
                </c:pt>
                <c:pt idx="2">
                  <c:v>32</c:v>
                </c:pt>
                <c:pt idx="3">
                  <c:v>56</c:v>
                </c:pt>
                <c:pt idx="4">
                  <c:v>209</c:v>
                </c:pt>
                <c:pt idx="5">
                  <c:v>134</c:v>
                </c:pt>
                <c:pt idx="6">
                  <c:v>224</c:v>
                </c:pt>
                <c:pt idx="7">
                  <c:v>135</c:v>
                </c:pt>
                <c:pt idx="8">
                  <c:v>151</c:v>
                </c:pt>
                <c:pt idx="9">
                  <c:v>150</c:v>
                </c:pt>
              </c:numCache>
            </c:numRef>
          </c:val>
        </c:ser>
        <c:ser>
          <c:idx val="1"/>
          <c:order val="1"/>
          <c:tx>
            <c:strRef>
              <c:f>'VII.4.CBSS-Tramit.'!$C$3</c:f>
              <c:strCache>
                <c:ptCount val="1"/>
                <c:pt idx="0">
                  <c:v>Solicitudes Concluidas</c:v>
                </c:pt>
              </c:strCache>
            </c:strRef>
          </c:tx>
          <c:spPr>
            <a:solidFill>
              <a:schemeClr val="accent5">
                <a:lumMod val="50000"/>
              </a:schemeClr>
            </a:solidFill>
          </c:spPr>
          <c:invertIfNegative val="0"/>
          <c:dLbls>
            <c:dLbl>
              <c:idx val="1"/>
              <c:layout>
                <c:manualLayout>
                  <c:x val="-1.0256410256410256E-2"/>
                  <c:y val="2.7184766940926003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6.4102564102564569E-3"/>
                  <c:y val="2.7184766940925005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7.6923076923076927E-3"/>
                  <c:y val="2.7184766940926003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6"/>
              <c:spPr/>
              <c:txPr>
                <a:bodyPr/>
                <a:lstStyle/>
                <a:p>
                  <a:pPr>
                    <a:defRPr sz="1600" b="1">
                      <a:solidFill>
                        <a:schemeClr val="accent3">
                          <a:lumMod val="50000"/>
                        </a:schemeClr>
                      </a:solidFill>
                    </a:defRPr>
                  </a:pPr>
                  <a:endParaRPr lang="es-ES"/>
                </a:p>
              </c:txPr>
              <c:dLblPos val="outEnd"/>
              <c:showLegendKey val="0"/>
              <c:showVal val="1"/>
              <c:showCatName val="0"/>
              <c:showSerName val="0"/>
              <c:showPercent val="0"/>
              <c:showBubbleSize val="0"/>
            </c:dLbl>
            <c:spPr>
              <a:noFill/>
              <a:ln>
                <a:noFill/>
              </a:ln>
              <a:effectLst/>
            </c:spPr>
            <c:txPr>
              <a:bodyPr/>
              <a:lstStyle/>
              <a:p>
                <a:pPr>
                  <a:defRPr sz="1400" b="1">
                    <a:solidFill>
                      <a:schemeClr val="accent3">
                        <a:lumMod val="50000"/>
                      </a:schemeClr>
                    </a:solidFill>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'VII.4.CBSS-Tramit.'!$A$4:$A$13</c:f>
              <c:strCache>
                <c:ptCount val="10"/>
                <c:pt idx="0">
                  <c:v>2006</c:v>
                </c:pt>
                <c:pt idx="1">
                  <c:v>2007</c:v>
                </c:pt>
                <c:pt idx="2">
                  <c:v>2008</c:v>
                </c:pt>
                <c:pt idx="3">
                  <c:v>2009</c:v>
                </c:pt>
                <c:pt idx="4">
                  <c:v>2010</c:v>
                </c:pt>
                <c:pt idx="5">
                  <c:v>2011</c:v>
                </c:pt>
                <c:pt idx="6">
                  <c:v>2012</c:v>
                </c:pt>
                <c:pt idx="7">
                  <c:v>2013</c:v>
                </c:pt>
                <c:pt idx="8">
                  <c:v>2014</c:v>
                </c:pt>
                <c:pt idx="9">
                  <c:v>Ene-Nov. 2015</c:v>
                </c:pt>
              </c:strCache>
            </c:strRef>
          </c:cat>
          <c:val>
            <c:numRef>
              <c:f>'VII.4.CBSS-Tramit.'!$C$4:$C$13</c:f>
              <c:numCache>
                <c:formatCode>_(* #,##0_);_(* \(#,##0\);_(* "-"??_);_(@_)</c:formatCode>
                <c:ptCount val="10"/>
                <c:pt idx="0">
                  <c:v>0</c:v>
                </c:pt>
                <c:pt idx="1">
                  <c:v>1</c:v>
                </c:pt>
                <c:pt idx="2">
                  <c:v>5</c:v>
                </c:pt>
                <c:pt idx="3">
                  <c:v>3</c:v>
                </c:pt>
                <c:pt idx="4">
                  <c:v>31</c:v>
                </c:pt>
                <c:pt idx="5">
                  <c:v>15</c:v>
                </c:pt>
                <c:pt idx="6">
                  <c:v>34</c:v>
                </c:pt>
                <c:pt idx="7">
                  <c:v>16</c:v>
                </c:pt>
                <c:pt idx="8">
                  <c:v>14</c:v>
                </c:pt>
                <c:pt idx="9">
                  <c:v>17</c:v>
                </c:pt>
              </c:numCache>
            </c:numRef>
          </c:val>
        </c:ser>
        <c:dLbls>
          <c:showLegendKey val="0"/>
          <c:showVal val="0"/>
          <c:showCatName val="0"/>
          <c:showSerName val="0"/>
          <c:showPercent val="0"/>
          <c:showBubbleSize val="0"/>
        </c:dLbls>
        <c:gapWidth val="34"/>
        <c:overlap val="13"/>
        <c:axId val="211963448"/>
        <c:axId val="211963840"/>
      </c:barChart>
      <c:catAx>
        <c:axId val="211963448"/>
        <c:scaling>
          <c:orientation val="minMax"/>
        </c:scaling>
        <c:delete val="0"/>
        <c:axPos val="b"/>
        <c:numFmt formatCode="General" sourceLinked="0"/>
        <c:majorTickMark val="none"/>
        <c:minorTickMark val="none"/>
        <c:tickLblPos val="nextTo"/>
        <c:txPr>
          <a:bodyPr/>
          <a:lstStyle/>
          <a:p>
            <a:pPr>
              <a:defRPr sz="1200"/>
            </a:pPr>
            <a:endParaRPr lang="es-ES"/>
          </a:p>
        </c:txPr>
        <c:crossAx val="211963840"/>
        <c:crosses val="autoZero"/>
        <c:auto val="1"/>
        <c:lblAlgn val="ctr"/>
        <c:lblOffset val="100"/>
        <c:noMultiLvlLbl val="0"/>
      </c:catAx>
      <c:valAx>
        <c:axId val="211963840"/>
        <c:scaling>
          <c:orientation val="minMax"/>
        </c:scaling>
        <c:delete val="1"/>
        <c:axPos val="l"/>
        <c:numFmt formatCode="_(* #,##0_);_(* \(#,##0\);_(* &quot;-&quot;??_);_(@_)" sourceLinked="1"/>
        <c:majorTickMark val="none"/>
        <c:minorTickMark val="none"/>
        <c:tickLblPos val="nextTo"/>
        <c:crossAx val="211963448"/>
        <c:crosses val="autoZero"/>
        <c:crossBetween val="between"/>
      </c:valAx>
    </c:plotArea>
    <c:legend>
      <c:legendPos val="t"/>
      <c:layout>
        <c:manualLayout>
          <c:xMode val="edge"/>
          <c:yMode val="edge"/>
          <c:x val="0.2917123578102227"/>
          <c:y val="7.7895688917120037E-2"/>
          <c:w val="0.40522481324449827"/>
          <c:h val="5.5738404626633278E-2"/>
        </c:manualLayout>
      </c:layout>
      <c:overlay val="0"/>
      <c:txPr>
        <a:bodyPr/>
        <a:lstStyle/>
        <a:p>
          <a:pPr>
            <a:defRPr sz="12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10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1"/>
    <c:plotArea>
      <c:layout>
        <c:manualLayout>
          <c:layoutTarget val="inner"/>
          <c:xMode val="edge"/>
          <c:yMode val="edge"/>
          <c:x val="2.0900167701211472E-2"/>
          <c:y val="0.17590809605346738"/>
          <c:w val="0.95262978683932165"/>
          <c:h val="0.65454146977698902"/>
        </c:manualLayout>
      </c:layout>
      <c:barChart>
        <c:barDir val="col"/>
        <c:grouping val="clustered"/>
        <c:varyColors val="0"/>
        <c:ser>
          <c:idx val="0"/>
          <c:order val="0"/>
          <c:tx>
            <c:strRef>
              <c:f>'VII.5.CBSS-Rel.Concl. '!$B$3</c:f>
              <c:strCache>
                <c:ptCount val="1"/>
                <c:pt idx="0">
                  <c:v>Respuesta a España FORM DO ES 01</c:v>
                </c:pt>
              </c:strCache>
            </c:strRef>
          </c:tx>
          <c:spPr>
            <a:solidFill>
              <a:srgbClr val="0070C0"/>
            </a:solidFill>
          </c:spPr>
          <c:invertIfNegative val="0"/>
          <c:dLbls>
            <c:dLbl>
              <c:idx val="5"/>
              <c:layout>
                <c:manualLayout>
                  <c:x val="-6.0670955800683204E-3"/>
                  <c:y val="0"/>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7.7669333354225796E-3"/>
                  <c:y val="2.1628503711160927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0"/>
                  <c:y val="6.4885511133484369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400" b="1">
                    <a:solidFill>
                      <a:srgbClr val="0070C0"/>
                    </a:solidFill>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'VII.5.CBSS-Rel.Concl. '!$A$4:$A$13</c:f>
              <c:strCache>
                <c:ptCount val="10"/>
                <c:pt idx="0">
                  <c:v>2006</c:v>
                </c:pt>
                <c:pt idx="1">
                  <c:v>2007</c:v>
                </c:pt>
                <c:pt idx="2">
                  <c:v>2008</c:v>
                </c:pt>
                <c:pt idx="3">
                  <c:v>2009</c:v>
                </c:pt>
                <c:pt idx="4">
                  <c:v>2010</c:v>
                </c:pt>
                <c:pt idx="5">
                  <c:v>2011</c:v>
                </c:pt>
                <c:pt idx="6">
                  <c:v>2012</c:v>
                </c:pt>
                <c:pt idx="7">
                  <c:v>2013</c:v>
                </c:pt>
                <c:pt idx="8">
                  <c:v>2014</c:v>
                </c:pt>
                <c:pt idx="9">
                  <c:v>Ene-Nov. 2015</c:v>
                </c:pt>
              </c:strCache>
            </c:strRef>
          </c:cat>
          <c:val>
            <c:numRef>
              <c:f>'VII.5.CBSS-Rel.Concl. '!$B$4:$B$13</c:f>
              <c:numCache>
                <c:formatCode>_(* #,##0_);_(* \(#,##0\);_(* "-"??_);_(@_)</c:formatCode>
                <c:ptCount val="10"/>
                <c:pt idx="0">
                  <c:v>1</c:v>
                </c:pt>
                <c:pt idx="1">
                  <c:v>1</c:v>
                </c:pt>
                <c:pt idx="2">
                  <c:v>0</c:v>
                </c:pt>
                <c:pt idx="3">
                  <c:v>13</c:v>
                </c:pt>
                <c:pt idx="4">
                  <c:v>60</c:v>
                </c:pt>
                <c:pt idx="5">
                  <c:v>36</c:v>
                </c:pt>
                <c:pt idx="6">
                  <c:v>72</c:v>
                </c:pt>
                <c:pt idx="7">
                  <c:v>28</c:v>
                </c:pt>
                <c:pt idx="8">
                  <c:v>31</c:v>
                </c:pt>
                <c:pt idx="9">
                  <c:v>31</c:v>
                </c:pt>
              </c:numCache>
            </c:numRef>
          </c:val>
        </c:ser>
        <c:ser>
          <c:idx val="1"/>
          <c:order val="1"/>
          <c:tx>
            <c:strRef>
              <c:f>'VII.5.CBSS-Rel.Concl. '!$D$3</c:f>
              <c:strCache>
                <c:ptCount val="1"/>
                <c:pt idx="0">
                  <c:v>En Espera de Documentos</c:v>
                </c:pt>
              </c:strCache>
            </c:strRef>
          </c:tx>
          <c:spPr>
            <a:solidFill>
              <a:schemeClr val="accent5">
                <a:lumMod val="50000"/>
              </a:schemeClr>
            </a:solidFill>
          </c:spPr>
          <c:invertIfNegative val="0"/>
          <c:dLbls>
            <c:dLbl>
              <c:idx val="1"/>
              <c:layout>
                <c:manualLayout>
                  <c:x val="-1.0256410256410256E-2"/>
                  <c:y val="2.7184766940926003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6.4102564102564569E-3"/>
                  <c:y val="2.7184766940925005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7.6923076923076927E-3"/>
                  <c:y val="2.7184766940926003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6"/>
              <c:spPr/>
              <c:txPr>
                <a:bodyPr/>
                <a:lstStyle/>
                <a:p>
                  <a:pPr>
                    <a:defRPr sz="1600" b="1">
                      <a:solidFill>
                        <a:schemeClr val="accent3">
                          <a:lumMod val="50000"/>
                        </a:schemeClr>
                      </a:solidFill>
                    </a:defRPr>
                  </a:pPr>
                  <a:endParaRPr lang="es-ES"/>
                </a:p>
              </c:txPr>
              <c:dLblPos val="outEnd"/>
              <c:showLegendKey val="0"/>
              <c:showVal val="1"/>
              <c:showCatName val="0"/>
              <c:showSerName val="0"/>
              <c:showPercent val="0"/>
              <c:showBubbleSize val="0"/>
            </c:dLbl>
            <c:spPr>
              <a:noFill/>
              <a:ln>
                <a:noFill/>
              </a:ln>
              <a:effectLst/>
            </c:spPr>
            <c:txPr>
              <a:bodyPr/>
              <a:lstStyle/>
              <a:p>
                <a:pPr>
                  <a:defRPr sz="1400" b="1">
                    <a:solidFill>
                      <a:schemeClr val="accent3">
                        <a:lumMod val="50000"/>
                      </a:schemeClr>
                    </a:solidFill>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'VII.5.CBSS-Rel.Concl. '!$A$4:$A$13</c:f>
              <c:strCache>
                <c:ptCount val="10"/>
                <c:pt idx="0">
                  <c:v>2006</c:v>
                </c:pt>
                <c:pt idx="1">
                  <c:v>2007</c:v>
                </c:pt>
                <c:pt idx="2">
                  <c:v>2008</c:v>
                </c:pt>
                <c:pt idx="3">
                  <c:v>2009</c:v>
                </c:pt>
                <c:pt idx="4">
                  <c:v>2010</c:v>
                </c:pt>
                <c:pt idx="5">
                  <c:v>2011</c:v>
                </c:pt>
                <c:pt idx="6">
                  <c:v>2012</c:v>
                </c:pt>
                <c:pt idx="7">
                  <c:v>2013</c:v>
                </c:pt>
                <c:pt idx="8">
                  <c:v>2014</c:v>
                </c:pt>
                <c:pt idx="9">
                  <c:v>Ene-Nov. 2015</c:v>
                </c:pt>
              </c:strCache>
            </c:strRef>
          </c:cat>
          <c:val>
            <c:numRef>
              <c:f>'VII.5.CBSS-Rel.Concl. '!$D$4:$D$13</c:f>
              <c:numCache>
                <c:formatCode>_(* #,##0_);_(* \(#,##0\);_(* "-"??_);_(@_)</c:formatCode>
                <c:ptCount val="10"/>
                <c:pt idx="0">
                  <c:v>1</c:v>
                </c:pt>
                <c:pt idx="1">
                  <c:v>2</c:v>
                </c:pt>
                <c:pt idx="2">
                  <c:v>12</c:v>
                </c:pt>
                <c:pt idx="3">
                  <c:v>26</c:v>
                </c:pt>
                <c:pt idx="4">
                  <c:v>62</c:v>
                </c:pt>
                <c:pt idx="5">
                  <c:v>47</c:v>
                </c:pt>
                <c:pt idx="6">
                  <c:v>50</c:v>
                </c:pt>
                <c:pt idx="7">
                  <c:v>51</c:v>
                </c:pt>
                <c:pt idx="8">
                  <c:v>44</c:v>
                </c:pt>
                <c:pt idx="9">
                  <c:v>27</c:v>
                </c:pt>
              </c:numCache>
            </c:numRef>
          </c:val>
        </c:ser>
        <c:ser>
          <c:idx val="2"/>
          <c:order val="2"/>
          <c:tx>
            <c:strRef>
              <c:f>'VII.5.CBSS-Rel.Concl. '!$C$3</c:f>
              <c:strCache>
                <c:ptCount val="1"/>
                <c:pt idx="0">
                  <c:v>Solicitud de Pensión desde RD FORM DO ES 02  </c:v>
                </c:pt>
              </c:strCache>
            </c:strRef>
          </c:tx>
          <c:invertIfNegative val="0"/>
          <c:dLbls>
            <c:spPr>
              <a:noFill/>
              <a:ln>
                <a:noFill/>
              </a:ln>
              <a:effectLst/>
            </c:spPr>
            <c:txPr>
              <a:bodyPr wrap="square" lIns="38100" tIns="19050" rIns="38100" bIns="19050" anchor="ctr">
                <a:spAutoFit/>
              </a:bodyPr>
              <a:lstStyle/>
              <a:p>
                <a:pPr>
                  <a:defRPr sz="1400" b="1">
                    <a:solidFill>
                      <a:srgbClr val="00B05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'VII.5.CBSS-Rel.Concl. '!$A$4:$A$13</c:f>
              <c:strCache>
                <c:ptCount val="10"/>
                <c:pt idx="0">
                  <c:v>2006</c:v>
                </c:pt>
                <c:pt idx="1">
                  <c:v>2007</c:v>
                </c:pt>
                <c:pt idx="2">
                  <c:v>2008</c:v>
                </c:pt>
                <c:pt idx="3">
                  <c:v>2009</c:v>
                </c:pt>
                <c:pt idx="4">
                  <c:v>2010</c:v>
                </c:pt>
                <c:pt idx="5">
                  <c:v>2011</c:v>
                </c:pt>
                <c:pt idx="6">
                  <c:v>2012</c:v>
                </c:pt>
                <c:pt idx="7">
                  <c:v>2013</c:v>
                </c:pt>
                <c:pt idx="8">
                  <c:v>2014</c:v>
                </c:pt>
                <c:pt idx="9">
                  <c:v>Ene-Nov. 2015</c:v>
                </c:pt>
              </c:strCache>
            </c:strRef>
          </c:cat>
          <c:val>
            <c:numRef>
              <c:f>'VII.5.CBSS-Rel.Concl. '!$C$4:$C$13</c:f>
              <c:numCache>
                <c:formatCode>_(* #,##0_);_(* \(#,##0\);_(* "-"??_);_(@_)</c:formatCode>
                <c:ptCount val="10"/>
                <c:pt idx="0">
                  <c:v>0</c:v>
                </c:pt>
                <c:pt idx="1">
                  <c:v>0</c:v>
                </c:pt>
                <c:pt idx="2">
                  <c:v>3</c:v>
                </c:pt>
                <c:pt idx="3">
                  <c:v>5</c:v>
                </c:pt>
                <c:pt idx="4">
                  <c:v>18</c:v>
                </c:pt>
                <c:pt idx="5">
                  <c:v>7</c:v>
                </c:pt>
                <c:pt idx="6">
                  <c:v>25</c:v>
                </c:pt>
                <c:pt idx="7">
                  <c:v>17</c:v>
                </c:pt>
                <c:pt idx="8">
                  <c:v>24</c:v>
                </c:pt>
                <c:pt idx="9">
                  <c:v>30</c:v>
                </c:pt>
              </c:numCache>
            </c:numRef>
          </c:val>
        </c:ser>
        <c:dLbls>
          <c:showLegendKey val="0"/>
          <c:showVal val="0"/>
          <c:showCatName val="0"/>
          <c:showSerName val="0"/>
          <c:showPercent val="0"/>
          <c:showBubbleSize val="0"/>
        </c:dLbls>
        <c:gapWidth val="34"/>
        <c:overlap val="13"/>
        <c:axId val="211959528"/>
        <c:axId val="211958744"/>
      </c:barChart>
      <c:catAx>
        <c:axId val="211959528"/>
        <c:scaling>
          <c:orientation val="minMax"/>
        </c:scaling>
        <c:delete val="0"/>
        <c:axPos val="b"/>
        <c:numFmt formatCode="General" sourceLinked="0"/>
        <c:majorTickMark val="none"/>
        <c:minorTickMark val="none"/>
        <c:tickLblPos val="nextTo"/>
        <c:txPr>
          <a:bodyPr/>
          <a:lstStyle/>
          <a:p>
            <a:pPr>
              <a:defRPr sz="1200"/>
            </a:pPr>
            <a:endParaRPr lang="es-ES"/>
          </a:p>
        </c:txPr>
        <c:crossAx val="211958744"/>
        <c:crosses val="autoZero"/>
        <c:auto val="1"/>
        <c:lblAlgn val="ctr"/>
        <c:lblOffset val="100"/>
        <c:noMultiLvlLbl val="0"/>
      </c:catAx>
      <c:valAx>
        <c:axId val="211958744"/>
        <c:scaling>
          <c:orientation val="minMax"/>
        </c:scaling>
        <c:delete val="1"/>
        <c:axPos val="l"/>
        <c:numFmt formatCode="_(* #,##0_);_(* \(#,##0\);_(* &quot;-&quot;??_);_(@_)" sourceLinked="1"/>
        <c:majorTickMark val="none"/>
        <c:minorTickMark val="none"/>
        <c:tickLblPos val="nextTo"/>
        <c:crossAx val="211959528"/>
        <c:crosses val="autoZero"/>
        <c:crossBetween val="between"/>
      </c:valAx>
    </c:plotArea>
    <c:legend>
      <c:legendPos val="t"/>
      <c:layout>
        <c:manualLayout>
          <c:xMode val="edge"/>
          <c:yMode val="edge"/>
          <c:x val="0.22075143155762345"/>
          <c:y val="7.1385007842788117E-2"/>
          <c:w val="0.67064881614264871"/>
          <c:h val="3.9926713753698349E-2"/>
        </c:manualLayout>
      </c:layout>
      <c:overlay val="0"/>
      <c:txPr>
        <a:bodyPr/>
        <a:lstStyle/>
        <a:p>
          <a:pPr>
            <a:defRPr sz="12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10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1"/>
    <c:plotArea>
      <c:layout>
        <c:manualLayout>
          <c:layoutTarget val="inner"/>
          <c:xMode val="edge"/>
          <c:yMode val="edge"/>
          <c:x val="2.0900135203876517E-2"/>
          <c:y val="0.12499302125577007"/>
          <c:w val="0.96137760958493024"/>
          <c:h val="0.65454146977698902"/>
        </c:manualLayout>
      </c:layout>
      <c:barChart>
        <c:barDir val="col"/>
        <c:grouping val="clustered"/>
        <c:varyColors val="0"/>
        <c:ser>
          <c:idx val="0"/>
          <c:order val="0"/>
          <c:tx>
            <c:strRef>
              <c:f>'VII.6.CBSS-Cert.'!$B$3</c:f>
              <c:strCache>
                <c:ptCount val="1"/>
                <c:pt idx="0">
                  <c:v>DIDA (TSS,IDSS,CGRD)</c:v>
                </c:pt>
              </c:strCache>
            </c:strRef>
          </c:tx>
          <c:spPr>
            <a:solidFill>
              <a:srgbClr val="0070C0"/>
            </a:solidFill>
          </c:spPr>
          <c:invertIfNegative val="0"/>
          <c:dLbls>
            <c:dLbl>
              <c:idx val="5"/>
              <c:layout>
                <c:manualLayout>
                  <c:x val="-6.0670955800683204E-3"/>
                  <c:y val="0"/>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7.7669333354225796E-3"/>
                  <c:y val="2.1628503711160927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0"/>
                  <c:y val="6.4885511133484369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800" b="1">
                    <a:solidFill>
                      <a:srgbClr val="0070C0"/>
                    </a:solidFill>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'VII.6.CBSS-Cert.'!$A$4:$A$13</c:f>
              <c:strCache>
                <c:ptCount val="10"/>
                <c:pt idx="0">
                  <c:v>2006</c:v>
                </c:pt>
                <c:pt idx="1">
                  <c:v>2007</c:v>
                </c:pt>
                <c:pt idx="2">
                  <c:v>2008</c:v>
                </c:pt>
                <c:pt idx="3">
                  <c:v>2009</c:v>
                </c:pt>
                <c:pt idx="4">
                  <c:v>2010</c:v>
                </c:pt>
                <c:pt idx="5">
                  <c:v>2011</c:v>
                </c:pt>
                <c:pt idx="6">
                  <c:v>2012</c:v>
                </c:pt>
                <c:pt idx="7">
                  <c:v>2013</c:v>
                </c:pt>
                <c:pt idx="8">
                  <c:v>2014</c:v>
                </c:pt>
                <c:pt idx="9">
                  <c:v>Ene-Nov. 2015</c:v>
                </c:pt>
              </c:strCache>
            </c:strRef>
          </c:cat>
          <c:val>
            <c:numRef>
              <c:f>'VII.6.CBSS-Cert.'!$B$4:$B$13</c:f>
              <c:numCache>
                <c:formatCode>_(* #,##0_);_(* \(#,##0\);_(* "-"??_);_(@_)</c:formatCode>
                <c:ptCount val="10"/>
                <c:pt idx="0">
                  <c:v>0</c:v>
                </c:pt>
                <c:pt idx="1">
                  <c:v>2</c:v>
                </c:pt>
                <c:pt idx="2">
                  <c:v>10</c:v>
                </c:pt>
                <c:pt idx="3">
                  <c:v>8</c:v>
                </c:pt>
                <c:pt idx="4">
                  <c:v>37</c:v>
                </c:pt>
                <c:pt idx="5">
                  <c:v>27</c:v>
                </c:pt>
                <c:pt idx="6">
                  <c:v>34</c:v>
                </c:pt>
                <c:pt idx="7">
                  <c:v>17</c:v>
                </c:pt>
                <c:pt idx="8">
                  <c:v>25</c:v>
                </c:pt>
                <c:pt idx="9">
                  <c:v>23</c:v>
                </c:pt>
              </c:numCache>
            </c:numRef>
          </c:val>
        </c:ser>
        <c:ser>
          <c:idx val="1"/>
          <c:order val="1"/>
          <c:tx>
            <c:strRef>
              <c:f>'VII.6.CBSS-Cert.'!$C$3</c:f>
              <c:strCache>
                <c:ptCount val="1"/>
                <c:pt idx="0">
                  <c:v>Descentralizadas</c:v>
                </c:pt>
              </c:strCache>
            </c:strRef>
          </c:tx>
          <c:spPr>
            <a:solidFill>
              <a:schemeClr val="accent5">
                <a:lumMod val="50000"/>
              </a:schemeClr>
            </a:solidFill>
          </c:spPr>
          <c:invertIfNegative val="0"/>
          <c:dLbls>
            <c:dLbl>
              <c:idx val="1"/>
              <c:layout>
                <c:manualLayout>
                  <c:x val="-1.0256410256410256E-2"/>
                  <c:y val="2.7184766940926003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6.4102564102564569E-3"/>
                  <c:y val="2.7184766940925005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7.6923076923076927E-3"/>
                  <c:y val="2.7184766940926003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6"/>
              <c:spPr/>
              <c:txPr>
                <a:bodyPr/>
                <a:lstStyle/>
                <a:p>
                  <a:pPr>
                    <a:defRPr sz="1800" b="1">
                      <a:solidFill>
                        <a:schemeClr val="accent3">
                          <a:lumMod val="50000"/>
                        </a:schemeClr>
                      </a:solidFill>
                    </a:defRPr>
                  </a:pPr>
                  <a:endParaRPr lang="es-ES"/>
                </a:p>
              </c:txPr>
              <c:dLblPos val="outEnd"/>
              <c:showLegendKey val="0"/>
              <c:showVal val="1"/>
              <c:showCatName val="0"/>
              <c:showSerName val="0"/>
              <c:showPercent val="0"/>
              <c:showBubbleSize val="0"/>
            </c:dLbl>
            <c:spPr>
              <a:noFill/>
              <a:ln>
                <a:noFill/>
              </a:ln>
              <a:effectLst/>
            </c:spPr>
            <c:txPr>
              <a:bodyPr/>
              <a:lstStyle/>
              <a:p>
                <a:pPr>
                  <a:defRPr sz="1800" b="1">
                    <a:solidFill>
                      <a:schemeClr val="accent3">
                        <a:lumMod val="50000"/>
                      </a:schemeClr>
                    </a:solidFill>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'VII.6.CBSS-Cert.'!$A$4:$A$13</c:f>
              <c:strCache>
                <c:ptCount val="10"/>
                <c:pt idx="0">
                  <c:v>2006</c:v>
                </c:pt>
                <c:pt idx="1">
                  <c:v>2007</c:v>
                </c:pt>
                <c:pt idx="2">
                  <c:v>2008</c:v>
                </c:pt>
                <c:pt idx="3">
                  <c:v>2009</c:v>
                </c:pt>
                <c:pt idx="4">
                  <c:v>2010</c:v>
                </c:pt>
                <c:pt idx="5">
                  <c:v>2011</c:v>
                </c:pt>
                <c:pt idx="6">
                  <c:v>2012</c:v>
                </c:pt>
                <c:pt idx="7">
                  <c:v>2013</c:v>
                </c:pt>
                <c:pt idx="8">
                  <c:v>2014</c:v>
                </c:pt>
                <c:pt idx="9">
                  <c:v>Ene-Nov. 2015</c:v>
                </c:pt>
              </c:strCache>
            </c:strRef>
          </c:cat>
          <c:val>
            <c:numRef>
              <c:f>'VII.6.CBSS-Cert.'!$C$4:$C$13</c:f>
              <c:numCache>
                <c:formatCode>_(* #,##0_);_(* \(#,##0\);_(* "-"??_);_(@_)</c:formatCode>
                <c:ptCount val="10"/>
                <c:pt idx="0">
                  <c:v>0</c:v>
                </c:pt>
                <c:pt idx="1">
                  <c:v>0</c:v>
                </c:pt>
                <c:pt idx="2">
                  <c:v>1</c:v>
                </c:pt>
                <c:pt idx="3">
                  <c:v>1</c:v>
                </c:pt>
                <c:pt idx="4">
                  <c:v>0</c:v>
                </c:pt>
                <c:pt idx="5">
                  <c:v>2</c:v>
                </c:pt>
                <c:pt idx="6">
                  <c:v>10</c:v>
                </c:pt>
                <c:pt idx="7">
                  <c:v>4</c:v>
                </c:pt>
                <c:pt idx="8">
                  <c:v>12</c:v>
                </c:pt>
                <c:pt idx="9">
                  <c:v>7</c:v>
                </c:pt>
              </c:numCache>
            </c:numRef>
          </c:val>
        </c:ser>
        <c:dLbls>
          <c:showLegendKey val="0"/>
          <c:showVal val="0"/>
          <c:showCatName val="0"/>
          <c:showSerName val="0"/>
          <c:showPercent val="0"/>
          <c:showBubbleSize val="0"/>
        </c:dLbls>
        <c:gapWidth val="34"/>
        <c:overlap val="13"/>
        <c:axId val="367267208"/>
        <c:axId val="367267600"/>
      </c:barChart>
      <c:catAx>
        <c:axId val="367267208"/>
        <c:scaling>
          <c:orientation val="minMax"/>
        </c:scaling>
        <c:delete val="0"/>
        <c:axPos val="b"/>
        <c:numFmt formatCode="General" sourceLinked="0"/>
        <c:majorTickMark val="none"/>
        <c:minorTickMark val="none"/>
        <c:tickLblPos val="nextTo"/>
        <c:txPr>
          <a:bodyPr/>
          <a:lstStyle/>
          <a:p>
            <a:pPr>
              <a:defRPr sz="1200"/>
            </a:pPr>
            <a:endParaRPr lang="es-ES"/>
          </a:p>
        </c:txPr>
        <c:crossAx val="367267600"/>
        <c:crosses val="autoZero"/>
        <c:auto val="1"/>
        <c:lblAlgn val="ctr"/>
        <c:lblOffset val="100"/>
        <c:noMultiLvlLbl val="0"/>
      </c:catAx>
      <c:valAx>
        <c:axId val="367267600"/>
        <c:scaling>
          <c:orientation val="minMax"/>
        </c:scaling>
        <c:delete val="1"/>
        <c:axPos val="l"/>
        <c:numFmt formatCode="_(* #,##0_);_(* \(#,##0\);_(* &quot;-&quot;??_);_(@_)" sourceLinked="1"/>
        <c:majorTickMark val="none"/>
        <c:minorTickMark val="none"/>
        <c:tickLblPos val="nextTo"/>
        <c:crossAx val="367267208"/>
        <c:crosses val="autoZero"/>
        <c:crossBetween val="between"/>
      </c:valAx>
    </c:plotArea>
    <c:legend>
      <c:legendPos val="t"/>
      <c:layout>
        <c:manualLayout>
          <c:xMode val="edge"/>
          <c:yMode val="edge"/>
          <c:x val="0.29171239366666674"/>
          <c:y val="3.4523550737549327E-2"/>
          <c:w val="0.40522481324449827"/>
          <c:h val="5.5738404626633278E-2"/>
        </c:manualLayout>
      </c:layout>
      <c:overlay val="0"/>
      <c:txPr>
        <a:bodyPr/>
        <a:lstStyle/>
        <a:p>
          <a:pPr>
            <a:defRPr sz="14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10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1"/>
    <c:plotArea>
      <c:layout>
        <c:manualLayout>
          <c:layoutTarget val="inner"/>
          <c:xMode val="edge"/>
          <c:yMode val="edge"/>
          <c:x val="2.2014530576458392E-2"/>
          <c:y val="0.14762197063106855"/>
          <c:w val="0.96137760958493024"/>
          <c:h val="0.65454146977698902"/>
        </c:manualLayout>
      </c:layout>
      <c:barChart>
        <c:barDir val="col"/>
        <c:grouping val="clustered"/>
        <c:varyColors val="0"/>
        <c:ser>
          <c:idx val="0"/>
          <c:order val="0"/>
          <c:tx>
            <c:strRef>
              <c:f>VII.7.CBSS.Sex!$B$3</c:f>
              <c:strCache>
                <c:ptCount val="1"/>
                <c:pt idx="0">
                  <c:v>Femenino</c:v>
                </c:pt>
              </c:strCache>
            </c:strRef>
          </c:tx>
          <c:spPr>
            <a:solidFill>
              <a:srgbClr val="0070C0"/>
            </a:solidFill>
          </c:spPr>
          <c:invertIfNegative val="0"/>
          <c:dLbls>
            <c:dLbl>
              <c:idx val="5"/>
              <c:layout>
                <c:manualLayout>
                  <c:x val="-6.0670955800683204E-3"/>
                  <c:y val="0"/>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7.7669333354225796E-3"/>
                  <c:y val="2.1628503711160927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0"/>
                  <c:y val="6.4885511133484369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400" b="1">
                    <a:solidFill>
                      <a:srgbClr val="0070C0"/>
                    </a:solidFill>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VII.7.CBSS.Sex!$A$4:$A$13</c:f>
              <c:strCache>
                <c:ptCount val="10"/>
                <c:pt idx="0">
                  <c:v>2006</c:v>
                </c:pt>
                <c:pt idx="1">
                  <c:v>2007</c:v>
                </c:pt>
                <c:pt idx="2">
                  <c:v>2008</c:v>
                </c:pt>
                <c:pt idx="3">
                  <c:v>2009</c:v>
                </c:pt>
                <c:pt idx="4">
                  <c:v>2010</c:v>
                </c:pt>
                <c:pt idx="5">
                  <c:v>2011</c:v>
                </c:pt>
                <c:pt idx="6">
                  <c:v>2012</c:v>
                </c:pt>
                <c:pt idx="7">
                  <c:v>2013</c:v>
                </c:pt>
                <c:pt idx="8">
                  <c:v>2014</c:v>
                </c:pt>
                <c:pt idx="9">
                  <c:v>Ene-Nov. 2015</c:v>
                </c:pt>
              </c:strCache>
            </c:strRef>
          </c:cat>
          <c:val>
            <c:numRef>
              <c:f>VII.7.CBSS.Sex!$B$4:$B$13</c:f>
              <c:numCache>
                <c:formatCode>_(* #,##0_);_(* \(#,##0\);_(* "-"??_);_(@_)</c:formatCode>
                <c:ptCount val="10"/>
                <c:pt idx="0">
                  <c:v>2</c:v>
                </c:pt>
                <c:pt idx="1">
                  <c:v>3</c:v>
                </c:pt>
                <c:pt idx="2">
                  <c:v>12</c:v>
                </c:pt>
                <c:pt idx="3">
                  <c:v>21</c:v>
                </c:pt>
                <c:pt idx="4">
                  <c:v>84</c:v>
                </c:pt>
                <c:pt idx="5">
                  <c:v>47</c:v>
                </c:pt>
                <c:pt idx="6">
                  <c:v>106</c:v>
                </c:pt>
                <c:pt idx="7">
                  <c:v>62</c:v>
                </c:pt>
                <c:pt idx="8">
                  <c:v>81</c:v>
                </c:pt>
                <c:pt idx="9">
                  <c:v>67</c:v>
                </c:pt>
              </c:numCache>
            </c:numRef>
          </c:val>
        </c:ser>
        <c:ser>
          <c:idx val="1"/>
          <c:order val="1"/>
          <c:tx>
            <c:strRef>
              <c:f>VII.7.CBSS.Sex!$C$3</c:f>
              <c:strCache>
                <c:ptCount val="1"/>
                <c:pt idx="0">
                  <c:v>Masculino</c:v>
                </c:pt>
              </c:strCache>
            </c:strRef>
          </c:tx>
          <c:spPr>
            <a:solidFill>
              <a:schemeClr val="accent5">
                <a:lumMod val="50000"/>
              </a:schemeClr>
            </a:solidFill>
          </c:spPr>
          <c:invertIfNegative val="0"/>
          <c:dLbls>
            <c:dLbl>
              <c:idx val="1"/>
              <c:layout>
                <c:manualLayout>
                  <c:x val="-1.0256410256410256E-2"/>
                  <c:y val="2.7184766940926003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6.4102564102564569E-3"/>
                  <c:y val="2.7184766940925005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7.6923076923076927E-3"/>
                  <c:y val="2.7184766940926003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6"/>
              <c:spPr/>
              <c:txPr>
                <a:bodyPr/>
                <a:lstStyle/>
                <a:p>
                  <a:pPr>
                    <a:defRPr sz="1600" b="1">
                      <a:solidFill>
                        <a:schemeClr val="accent3">
                          <a:lumMod val="50000"/>
                        </a:schemeClr>
                      </a:solidFill>
                    </a:defRPr>
                  </a:pPr>
                  <a:endParaRPr lang="es-ES"/>
                </a:p>
              </c:txPr>
              <c:dLblPos val="outEnd"/>
              <c:showLegendKey val="0"/>
              <c:showVal val="1"/>
              <c:showCatName val="0"/>
              <c:showSerName val="0"/>
              <c:showPercent val="0"/>
              <c:showBubbleSize val="0"/>
            </c:dLbl>
            <c:spPr>
              <a:noFill/>
              <a:ln>
                <a:noFill/>
              </a:ln>
              <a:effectLst/>
            </c:spPr>
            <c:txPr>
              <a:bodyPr/>
              <a:lstStyle/>
              <a:p>
                <a:pPr>
                  <a:defRPr sz="1400" b="1">
                    <a:solidFill>
                      <a:schemeClr val="accent3">
                        <a:lumMod val="50000"/>
                      </a:schemeClr>
                    </a:solidFill>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VII.7.CBSS.Sex!$A$4:$A$13</c:f>
              <c:strCache>
                <c:ptCount val="10"/>
                <c:pt idx="0">
                  <c:v>2006</c:v>
                </c:pt>
                <c:pt idx="1">
                  <c:v>2007</c:v>
                </c:pt>
                <c:pt idx="2">
                  <c:v>2008</c:v>
                </c:pt>
                <c:pt idx="3">
                  <c:v>2009</c:v>
                </c:pt>
                <c:pt idx="4">
                  <c:v>2010</c:v>
                </c:pt>
                <c:pt idx="5">
                  <c:v>2011</c:v>
                </c:pt>
                <c:pt idx="6">
                  <c:v>2012</c:v>
                </c:pt>
                <c:pt idx="7">
                  <c:v>2013</c:v>
                </c:pt>
                <c:pt idx="8">
                  <c:v>2014</c:v>
                </c:pt>
                <c:pt idx="9">
                  <c:v>Ene-Nov. 2015</c:v>
                </c:pt>
              </c:strCache>
            </c:strRef>
          </c:cat>
          <c:val>
            <c:numRef>
              <c:f>VII.7.CBSS.Sex!$C$4:$C$13</c:f>
              <c:numCache>
                <c:formatCode>_(* #,##0_);_(* \(#,##0\);_(* "-"??_);_(@_)</c:formatCode>
                <c:ptCount val="10"/>
                <c:pt idx="1">
                  <c:v>4</c:v>
                </c:pt>
                <c:pt idx="2">
                  <c:v>20</c:v>
                </c:pt>
                <c:pt idx="3">
                  <c:v>35</c:v>
                </c:pt>
                <c:pt idx="4">
                  <c:v>125</c:v>
                </c:pt>
                <c:pt idx="5">
                  <c:v>87</c:v>
                </c:pt>
                <c:pt idx="6">
                  <c:v>118</c:v>
                </c:pt>
                <c:pt idx="7">
                  <c:v>73</c:v>
                </c:pt>
                <c:pt idx="8">
                  <c:v>70</c:v>
                </c:pt>
                <c:pt idx="9">
                  <c:v>83</c:v>
                </c:pt>
              </c:numCache>
            </c:numRef>
          </c:val>
        </c:ser>
        <c:dLbls>
          <c:showLegendKey val="0"/>
          <c:showVal val="0"/>
          <c:showCatName val="0"/>
          <c:showSerName val="0"/>
          <c:showPercent val="0"/>
          <c:showBubbleSize val="0"/>
        </c:dLbls>
        <c:gapWidth val="34"/>
        <c:overlap val="13"/>
        <c:axId val="367266032"/>
        <c:axId val="367266424"/>
      </c:barChart>
      <c:catAx>
        <c:axId val="367266032"/>
        <c:scaling>
          <c:orientation val="minMax"/>
        </c:scaling>
        <c:delete val="0"/>
        <c:axPos val="b"/>
        <c:numFmt formatCode="General" sourceLinked="0"/>
        <c:majorTickMark val="none"/>
        <c:minorTickMark val="none"/>
        <c:tickLblPos val="nextTo"/>
        <c:txPr>
          <a:bodyPr/>
          <a:lstStyle/>
          <a:p>
            <a:pPr>
              <a:defRPr sz="1200"/>
            </a:pPr>
            <a:endParaRPr lang="es-ES"/>
          </a:p>
        </c:txPr>
        <c:crossAx val="367266424"/>
        <c:crosses val="autoZero"/>
        <c:auto val="1"/>
        <c:lblAlgn val="ctr"/>
        <c:lblOffset val="100"/>
        <c:noMultiLvlLbl val="0"/>
      </c:catAx>
      <c:valAx>
        <c:axId val="367266424"/>
        <c:scaling>
          <c:orientation val="minMax"/>
        </c:scaling>
        <c:delete val="1"/>
        <c:axPos val="l"/>
        <c:numFmt formatCode="_(* #,##0_);_(* \(#,##0\);_(* &quot;-&quot;??_);_(@_)" sourceLinked="1"/>
        <c:majorTickMark val="none"/>
        <c:minorTickMark val="none"/>
        <c:tickLblPos val="nextTo"/>
        <c:crossAx val="367266032"/>
        <c:crosses val="autoZero"/>
        <c:crossBetween val="between"/>
      </c:valAx>
    </c:plotArea>
    <c:legend>
      <c:legendPos val="t"/>
      <c:layout>
        <c:manualLayout>
          <c:xMode val="edge"/>
          <c:yMode val="edge"/>
          <c:x val="0.2894835396005504"/>
          <c:y val="4.9609516987748292E-2"/>
          <c:w val="0.40522481324449827"/>
          <c:h val="5.5738404626633278E-2"/>
        </c:manualLayout>
      </c:layout>
      <c:overlay val="0"/>
      <c:txPr>
        <a:bodyPr/>
        <a:lstStyle/>
        <a:p>
          <a:pPr>
            <a:defRPr sz="12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10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600"/>
            </a:pPr>
            <a:r>
              <a:rPr lang="es-DO" sz="1600"/>
              <a:t>Estadísticas De Mercado De Trabajo</a:t>
            </a:r>
          </a:p>
          <a:p>
            <a:pPr>
              <a:defRPr sz="1600"/>
            </a:pPr>
            <a:r>
              <a:rPr lang="es-DO" sz="1600"/>
              <a:t>Distribución de la Población Ocupada Formal por Rama de Actividad</a:t>
            </a:r>
          </a:p>
        </c:rich>
      </c:tx>
      <c:layout>
        <c:manualLayout>
          <c:xMode val="edge"/>
          <c:yMode val="edge"/>
          <c:x val="0.22668655604900598"/>
          <c:y val="4.5791243848829766E-3"/>
        </c:manualLayout>
      </c:layout>
      <c:overlay val="1"/>
    </c:title>
    <c:autoTitleDeleted val="0"/>
    <c:plotArea>
      <c:layout>
        <c:manualLayout>
          <c:layoutTarget val="inner"/>
          <c:xMode val="edge"/>
          <c:yMode val="edge"/>
          <c:x val="9.9534098030133796E-3"/>
          <c:y val="0.25303051499645207"/>
          <c:w val="0.96662691710423365"/>
          <c:h val="0.60050294650428937"/>
        </c:manualLayout>
      </c:layout>
      <c:lineChart>
        <c:grouping val="standard"/>
        <c:varyColors val="0"/>
        <c:ser>
          <c:idx val="0"/>
          <c:order val="0"/>
          <c:tx>
            <c:strRef>
              <c:f>'VIII.1 Ocup. formal'!$A$4</c:f>
              <c:strCache>
                <c:ptCount val="1"/>
                <c:pt idx="0">
                  <c:v> Agricultura y Ganadería </c:v>
                </c:pt>
              </c:strCache>
            </c:strRef>
          </c:tx>
          <c:marker>
            <c:symbol val="none"/>
          </c:marker>
          <c:cat>
            <c:strRef>
              <c:f>'VIII.1 Ocup. formal'!$B$3:$O$3</c:f>
              <c:strCache>
                <c:ptCount val="11"/>
                <c:pt idx="0">
                  <c:v>2005</c:v>
                </c:pt>
                <c:pt idx="1">
                  <c:v>2006</c:v>
                </c:pt>
                <c:pt idx="2">
                  <c:v>2007</c:v>
                </c:pt>
                <c:pt idx="3">
                  <c:v>2008</c:v>
                </c:pt>
                <c:pt idx="4">
                  <c:v> 2009</c:v>
                </c:pt>
                <c:pt idx="5">
                  <c:v>2010</c:v>
                </c:pt>
                <c:pt idx="6">
                  <c:v>2011</c:v>
                </c:pt>
                <c:pt idx="7">
                  <c:v>2012</c:v>
                </c:pt>
                <c:pt idx="8">
                  <c:v>2013</c:v>
                </c:pt>
                <c:pt idx="9">
                  <c:v>2014</c:v>
                </c:pt>
                <c:pt idx="10">
                  <c:v>2015</c:v>
                </c:pt>
              </c:strCache>
            </c:strRef>
          </c:cat>
          <c:val>
            <c:numRef>
              <c:f>'VIII.1 Ocup. formal'!$B$4:$O$4</c:f>
              <c:numCache>
                <c:formatCode>_(* #,##0_);_(* \(#,##0\);_(* "-"??_);_(@_)</c:formatCode>
                <c:ptCount val="11"/>
                <c:pt idx="0">
                  <c:v>59055.5</c:v>
                </c:pt>
                <c:pt idx="1">
                  <c:v>57661</c:v>
                </c:pt>
                <c:pt idx="2">
                  <c:v>63198</c:v>
                </c:pt>
                <c:pt idx="3">
                  <c:v>55832</c:v>
                </c:pt>
                <c:pt idx="4">
                  <c:v>62722</c:v>
                </c:pt>
                <c:pt idx="5">
                  <c:v>56906</c:v>
                </c:pt>
                <c:pt idx="6">
                  <c:v>73730</c:v>
                </c:pt>
                <c:pt idx="7">
                  <c:v>65532</c:v>
                </c:pt>
                <c:pt idx="8">
                  <c:v>74396</c:v>
                </c:pt>
                <c:pt idx="9" formatCode="#,##0_);\(#,##0\)">
                  <c:v>94092</c:v>
                </c:pt>
                <c:pt idx="10" formatCode="#,##0_);\(#,##0\)">
                  <c:v>81574</c:v>
                </c:pt>
              </c:numCache>
            </c:numRef>
          </c:val>
          <c:smooth val="0"/>
        </c:ser>
        <c:ser>
          <c:idx val="1"/>
          <c:order val="1"/>
          <c:tx>
            <c:strRef>
              <c:f>'VIII.1 Ocup. formal'!$A$5</c:f>
              <c:strCache>
                <c:ptCount val="1"/>
                <c:pt idx="0">
                  <c:v> Explotación de Minas y Canteras  </c:v>
                </c:pt>
              </c:strCache>
            </c:strRef>
          </c:tx>
          <c:marker>
            <c:symbol val="none"/>
          </c:marker>
          <c:cat>
            <c:strRef>
              <c:f>'VIII.1 Ocup. formal'!$B$3:$O$3</c:f>
              <c:strCache>
                <c:ptCount val="11"/>
                <c:pt idx="0">
                  <c:v>2005</c:v>
                </c:pt>
                <c:pt idx="1">
                  <c:v>2006</c:v>
                </c:pt>
                <c:pt idx="2">
                  <c:v>2007</c:v>
                </c:pt>
                <c:pt idx="3">
                  <c:v>2008</c:v>
                </c:pt>
                <c:pt idx="4">
                  <c:v> 2009</c:v>
                </c:pt>
                <c:pt idx="5">
                  <c:v>2010</c:v>
                </c:pt>
                <c:pt idx="6">
                  <c:v>2011</c:v>
                </c:pt>
                <c:pt idx="7">
                  <c:v>2012</c:v>
                </c:pt>
                <c:pt idx="8">
                  <c:v>2013</c:v>
                </c:pt>
                <c:pt idx="9">
                  <c:v>2014</c:v>
                </c:pt>
                <c:pt idx="10">
                  <c:v>2015</c:v>
                </c:pt>
              </c:strCache>
            </c:strRef>
          </c:cat>
          <c:val>
            <c:numRef>
              <c:f>'VIII.1 Ocup. formal'!$B$5:$O$5</c:f>
              <c:numCache>
                <c:formatCode>_(* #,##0_);_(* \(#,##0\);_(* "-"??_);_(@_)</c:formatCode>
                <c:ptCount val="11"/>
                <c:pt idx="0">
                  <c:v>5240.5</c:v>
                </c:pt>
                <c:pt idx="1">
                  <c:v>3875</c:v>
                </c:pt>
                <c:pt idx="2">
                  <c:v>5460.5</c:v>
                </c:pt>
                <c:pt idx="3">
                  <c:v>7849</c:v>
                </c:pt>
                <c:pt idx="4">
                  <c:v>7092</c:v>
                </c:pt>
                <c:pt idx="5">
                  <c:v>9592</c:v>
                </c:pt>
                <c:pt idx="6">
                  <c:v>15545</c:v>
                </c:pt>
                <c:pt idx="7">
                  <c:v>12905</c:v>
                </c:pt>
                <c:pt idx="8">
                  <c:v>9756</c:v>
                </c:pt>
                <c:pt idx="9" formatCode="#,##0_);\(#,##0\)">
                  <c:v>5755</c:v>
                </c:pt>
                <c:pt idx="10" formatCode="#,##0_);\(#,##0\)">
                  <c:v>8303</c:v>
                </c:pt>
              </c:numCache>
            </c:numRef>
          </c:val>
          <c:smooth val="0"/>
        </c:ser>
        <c:ser>
          <c:idx val="2"/>
          <c:order val="2"/>
          <c:tx>
            <c:strRef>
              <c:f>'VIII.1 Ocup. formal'!$A$6</c:f>
              <c:strCache>
                <c:ptCount val="1"/>
                <c:pt idx="0">
                  <c:v> Industrias Manufactureras </c:v>
                </c:pt>
              </c:strCache>
            </c:strRef>
          </c:tx>
          <c:marker>
            <c:symbol val="none"/>
          </c:marker>
          <c:dLbls>
            <c:dLbl>
              <c:idx val="9"/>
              <c:layout>
                <c:manualLayout>
                  <c:x val="-1.9558891643734845E-2"/>
                  <c:y val="-3.4578158081469475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'VIII.1 Ocup. formal'!$B$3:$O$3</c:f>
              <c:strCache>
                <c:ptCount val="11"/>
                <c:pt idx="0">
                  <c:v>2005</c:v>
                </c:pt>
                <c:pt idx="1">
                  <c:v>2006</c:v>
                </c:pt>
                <c:pt idx="2">
                  <c:v>2007</c:v>
                </c:pt>
                <c:pt idx="3">
                  <c:v>2008</c:v>
                </c:pt>
                <c:pt idx="4">
                  <c:v> 2009</c:v>
                </c:pt>
                <c:pt idx="5">
                  <c:v>2010</c:v>
                </c:pt>
                <c:pt idx="6">
                  <c:v>2011</c:v>
                </c:pt>
                <c:pt idx="7">
                  <c:v>2012</c:v>
                </c:pt>
                <c:pt idx="8">
                  <c:v>2013</c:v>
                </c:pt>
                <c:pt idx="9">
                  <c:v>2014</c:v>
                </c:pt>
                <c:pt idx="10">
                  <c:v>2015</c:v>
                </c:pt>
              </c:strCache>
            </c:strRef>
          </c:cat>
          <c:val>
            <c:numRef>
              <c:f>'VIII.1 Ocup. formal'!$B$6:$O$6</c:f>
              <c:numCache>
                <c:formatCode>_(* #,##0_);_(* \(#,##0\);_(* "-"??_);_(@_)</c:formatCode>
                <c:ptCount val="11"/>
                <c:pt idx="0">
                  <c:v>356009</c:v>
                </c:pt>
                <c:pt idx="1">
                  <c:v>367230.5</c:v>
                </c:pt>
                <c:pt idx="2">
                  <c:v>381709.5</c:v>
                </c:pt>
                <c:pt idx="3">
                  <c:v>322067</c:v>
                </c:pt>
                <c:pt idx="4">
                  <c:v>267702</c:v>
                </c:pt>
                <c:pt idx="5">
                  <c:v>281199</c:v>
                </c:pt>
                <c:pt idx="6">
                  <c:v>277208</c:v>
                </c:pt>
                <c:pt idx="7">
                  <c:v>292404</c:v>
                </c:pt>
                <c:pt idx="8">
                  <c:v>292394</c:v>
                </c:pt>
                <c:pt idx="9" formatCode="#,##0_);\(#,##0\)">
                  <c:v>288770</c:v>
                </c:pt>
                <c:pt idx="10" formatCode="#,##0_);\(#,##0\)">
                  <c:v>301731</c:v>
                </c:pt>
              </c:numCache>
            </c:numRef>
          </c:val>
          <c:smooth val="0"/>
        </c:ser>
        <c:ser>
          <c:idx val="3"/>
          <c:order val="3"/>
          <c:tx>
            <c:strRef>
              <c:f>'VIII.1 Ocup. formal'!$A$7</c:f>
              <c:strCache>
                <c:ptCount val="1"/>
                <c:pt idx="0">
                  <c:v> Electricidad, Gas y Agua </c:v>
                </c:pt>
              </c:strCache>
            </c:strRef>
          </c:tx>
          <c:marker>
            <c:symbol val="none"/>
          </c:marker>
          <c:cat>
            <c:strRef>
              <c:f>'VIII.1 Ocup. formal'!$B$3:$O$3</c:f>
              <c:strCache>
                <c:ptCount val="11"/>
                <c:pt idx="0">
                  <c:v>2005</c:v>
                </c:pt>
                <c:pt idx="1">
                  <c:v>2006</c:v>
                </c:pt>
                <c:pt idx="2">
                  <c:v>2007</c:v>
                </c:pt>
                <c:pt idx="3">
                  <c:v>2008</c:v>
                </c:pt>
                <c:pt idx="4">
                  <c:v> 2009</c:v>
                </c:pt>
                <c:pt idx="5">
                  <c:v>2010</c:v>
                </c:pt>
                <c:pt idx="6">
                  <c:v>2011</c:v>
                </c:pt>
                <c:pt idx="7">
                  <c:v>2012</c:v>
                </c:pt>
                <c:pt idx="8">
                  <c:v>2013</c:v>
                </c:pt>
                <c:pt idx="9">
                  <c:v>2014</c:v>
                </c:pt>
                <c:pt idx="10">
                  <c:v>2015</c:v>
                </c:pt>
              </c:strCache>
            </c:strRef>
          </c:cat>
          <c:val>
            <c:numRef>
              <c:f>'VIII.1 Ocup. formal'!$B$7:$O$7</c:f>
              <c:numCache>
                <c:formatCode>_(* #,##0_);_(* \(#,##0\);_(* "-"??_);_(@_)</c:formatCode>
                <c:ptCount val="11"/>
                <c:pt idx="0">
                  <c:v>26193.5</c:v>
                </c:pt>
                <c:pt idx="1">
                  <c:v>26353.5</c:v>
                </c:pt>
                <c:pt idx="2">
                  <c:v>30830</c:v>
                </c:pt>
                <c:pt idx="3">
                  <c:v>31582</c:v>
                </c:pt>
                <c:pt idx="4">
                  <c:v>30520</c:v>
                </c:pt>
                <c:pt idx="5">
                  <c:v>37741</c:v>
                </c:pt>
                <c:pt idx="6">
                  <c:v>31145</c:v>
                </c:pt>
                <c:pt idx="7">
                  <c:v>43665</c:v>
                </c:pt>
                <c:pt idx="8">
                  <c:v>35190</c:v>
                </c:pt>
                <c:pt idx="9" formatCode="#,##0_);\(#,##0\)">
                  <c:v>34478</c:v>
                </c:pt>
                <c:pt idx="10" formatCode="#,##0_);\(#,##0\)">
                  <c:v>37853</c:v>
                </c:pt>
              </c:numCache>
            </c:numRef>
          </c:val>
          <c:smooth val="0"/>
        </c:ser>
        <c:ser>
          <c:idx val="4"/>
          <c:order val="4"/>
          <c:tx>
            <c:strRef>
              <c:f>'VIII.1 Ocup. formal'!$A$8</c:f>
              <c:strCache>
                <c:ptCount val="1"/>
                <c:pt idx="0">
                  <c:v> Construcción  </c:v>
                </c:pt>
              </c:strCache>
            </c:strRef>
          </c:tx>
          <c:marker>
            <c:symbol val="none"/>
          </c:marker>
          <c:cat>
            <c:strRef>
              <c:f>'VIII.1 Ocup. formal'!$B$3:$O$3</c:f>
              <c:strCache>
                <c:ptCount val="11"/>
                <c:pt idx="0">
                  <c:v>2005</c:v>
                </c:pt>
                <c:pt idx="1">
                  <c:v>2006</c:v>
                </c:pt>
                <c:pt idx="2">
                  <c:v>2007</c:v>
                </c:pt>
                <c:pt idx="3">
                  <c:v>2008</c:v>
                </c:pt>
                <c:pt idx="4">
                  <c:v> 2009</c:v>
                </c:pt>
                <c:pt idx="5">
                  <c:v>2010</c:v>
                </c:pt>
                <c:pt idx="6">
                  <c:v>2011</c:v>
                </c:pt>
                <c:pt idx="7">
                  <c:v>2012</c:v>
                </c:pt>
                <c:pt idx="8">
                  <c:v>2013</c:v>
                </c:pt>
                <c:pt idx="9">
                  <c:v>2014</c:v>
                </c:pt>
                <c:pt idx="10">
                  <c:v>2015</c:v>
                </c:pt>
              </c:strCache>
            </c:strRef>
          </c:cat>
          <c:val>
            <c:numRef>
              <c:f>'VIII.1 Ocup. formal'!$B$8:$O$8</c:f>
              <c:numCache>
                <c:formatCode>_(* #,##0_);_(* \(#,##0\);_(* "-"??_);_(@_)</c:formatCode>
                <c:ptCount val="11"/>
                <c:pt idx="0">
                  <c:v>31601</c:v>
                </c:pt>
                <c:pt idx="1">
                  <c:v>43507.5</c:v>
                </c:pt>
                <c:pt idx="2">
                  <c:v>45705</c:v>
                </c:pt>
                <c:pt idx="3">
                  <c:v>51584</c:v>
                </c:pt>
                <c:pt idx="4">
                  <c:v>34519</c:v>
                </c:pt>
                <c:pt idx="5">
                  <c:v>40257</c:v>
                </c:pt>
                <c:pt idx="6">
                  <c:v>35938</c:v>
                </c:pt>
                <c:pt idx="7">
                  <c:v>40323</c:v>
                </c:pt>
                <c:pt idx="8">
                  <c:v>27474</c:v>
                </c:pt>
                <c:pt idx="9" formatCode="#,##0_);\(#,##0\)">
                  <c:v>42681</c:v>
                </c:pt>
                <c:pt idx="10" formatCode="#,##0_);\(#,##0\)">
                  <c:v>64039</c:v>
                </c:pt>
              </c:numCache>
            </c:numRef>
          </c:val>
          <c:smooth val="0"/>
        </c:ser>
        <c:ser>
          <c:idx val="5"/>
          <c:order val="5"/>
          <c:tx>
            <c:strRef>
              <c:f>'VIII.1 Ocup. formal'!$A$9</c:f>
              <c:strCache>
                <c:ptCount val="1"/>
                <c:pt idx="0">
                  <c:v> Comercio al por Mayor y Menor </c:v>
                </c:pt>
              </c:strCache>
            </c:strRef>
          </c:tx>
          <c:marker>
            <c:symbol val="none"/>
          </c:marker>
          <c:dPt>
            <c:idx val="2"/>
            <c:bubble3D val="0"/>
          </c:dPt>
          <c:dLbls>
            <c:dLbl>
              <c:idx val="7"/>
              <c:layout>
                <c:manualLayout>
                  <c:x val="-3.0089456810978295E-2"/>
                  <c:y val="1.6261660541937485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1.3791878956306932E-2"/>
                  <c:y val="2.9999033696586498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'VIII.1 Ocup. formal'!$B$3:$O$3</c:f>
              <c:strCache>
                <c:ptCount val="11"/>
                <c:pt idx="0">
                  <c:v>2005</c:v>
                </c:pt>
                <c:pt idx="1">
                  <c:v>2006</c:v>
                </c:pt>
                <c:pt idx="2">
                  <c:v>2007</c:v>
                </c:pt>
                <c:pt idx="3">
                  <c:v>2008</c:v>
                </c:pt>
                <c:pt idx="4">
                  <c:v> 2009</c:v>
                </c:pt>
                <c:pt idx="5">
                  <c:v>2010</c:v>
                </c:pt>
                <c:pt idx="6">
                  <c:v>2011</c:v>
                </c:pt>
                <c:pt idx="7">
                  <c:v>2012</c:v>
                </c:pt>
                <c:pt idx="8">
                  <c:v>2013</c:v>
                </c:pt>
                <c:pt idx="9">
                  <c:v>2014</c:v>
                </c:pt>
                <c:pt idx="10">
                  <c:v>2015</c:v>
                </c:pt>
              </c:strCache>
            </c:strRef>
          </c:cat>
          <c:val>
            <c:numRef>
              <c:f>'VIII.1 Ocup. formal'!$B$9:$O$9</c:f>
              <c:numCache>
                <c:formatCode>_(* #,##0_);_(* \(#,##0\);_(* "-"??_);_(@_)</c:formatCode>
                <c:ptCount val="11"/>
                <c:pt idx="0">
                  <c:v>211992.5</c:v>
                </c:pt>
                <c:pt idx="1">
                  <c:v>234505</c:v>
                </c:pt>
                <c:pt idx="2">
                  <c:v>229492.5</c:v>
                </c:pt>
                <c:pt idx="3">
                  <c:v>238189</c:v>
                </c:pt>
                <c:pt idx="4">
                  <c:v>241768</c:v>
                </c:pt>
                <c:pt idx="5">
                  <c:v>251447</c:v>
                </c:pt>
                <c:pt idx="6">
                  <c:v>254030</c:v>
                </c:pt>
                <c:pt idx="7">
                  <c:v>236447</c:v>
                </c:pt>
                <c:pt idx="8" formatCode="#,##0_);\(#,##0\)">
                  <c:v>257264</c:v>
                </c:pt>
                <c:pt idx="9" formatCode="#,##0_);\(#,##0\)">
                  <c:v>291369</c:v>
                </c:pt>
                <c:pt idx="10" formatCode="#,##0_);\(#,##0\)">
                  <c:v>303617</c:v>
                </c:pt>
              </c:numCache>
            </c:numRef>
          </c:val>
          <c:smooth val="0"/>
        </c:ser>
        <c:ser>
          <c:idx val="6"/>
          <c:order val="6"/>
          <c:tx>
            <c:strRef>
              <c:f>'VIII.1 Ocup. formal'!$A$10</c:f>
              <c:strCache>
                <c:ptCount val="1"/>
                <c:pt idx="0">
                  <c:v> Hoteles, Bares y Restaurantes </c:v>
                </c:pt>
              </c:strCache>
            </c:strRef>
          </c:tx>
          <c:marker>
            <c:symbol val="none"/>
          </c:marker>
          <c:cat>
            <c:strRef>
              <c:f>'VIII.1 Ocup. formal'!$B$3:$O$3</c:f>
              <c:strCache>
                <c:ptCount val="11"/>
                <c:pt idx="0">
                  <c:v>2005</c:v>
                </c:pt>
                <c:pt idx="1">
                  <c:v>2006</c:v>
                </c:pt>
                <c:pt idx="2">
                  <c:v>2007</c:v>
                </c:pt>
                <c:pt idx="3">
                  <c:v>2008</c:v>
                </c:pt>
                <c:pt idx="4">
                  <c:v> 2009</c:v>
                </c:pt>
                <c:pt idx="5">
                  <c:v>2010</c:v>
                </c:pt>
                <c:pt idx="6">
                  <c:v>2011</c:v>
                </c:pt>
                <c:pt idx="7">
                  <c:v>2012</c:v>
                </c:pt>
                <c:pt idx="8">
                  <c:v>2013</c:v>
                </c:pt>
                <c:pt idx="9">
                  <c:v>2014</c:v>
                </c:pt>
                <c:pt idx="10">
                  <c:v>2015</c:v>
                </c:pt>
              </c:strCache>
            </c:strRef>
          </c:cat>
          <c:val>
            <c:numRef>
              <c:f>'VIII.1 Ocup. formal'!$B$10:$O$10</c:f>
              <c:numCache>
                <c:formatCode>_(* #,##0_);_(* \(#,##0\);_(* "-"??_);_(@_)</c:formatCode>
                <c:ptCount val="11"/>
                <c:pt idx="0">
                  <c:v>86665</c:v>
                </c:pt>
                <c:pt idx="1">
                  <c:v>91077</c:v>
                </c:pt>
                <c:pt idx="2">
                  <c:v>105664.5</c:v>
                </c:pt>
                <c:pt idx="3">
                  <c:v>112403</c:v>
                </c:pt>
                <c:pt idx="4">
                  <c:v>101997</c:v>
                </c:pt>
                <c:pt idx="5">
                  <c:v>110062</c:v>
                </c:pt>
                <c:pt idx="6">
                  <c:v>117394</c:v>
                </c:pt>
                <c:pt idx="7">
                  <c:v>123299</c:v>
                </c:pt>
                <c:pt idx="8" formatCode="#,##0_);\(#,##0\)">
                  <c:v>120700</c:v>
                </c:pt>
                <c:pt idx="9" formatCode="#,##0_);\(#,##0\)">
                  <c:v>134768</c:v>
                </c:pt>
                <c:pt idx="10" formatCode="#,##0_);\(#,##0\)">
                  <c:v>141352</c:v>
                </c:pt>
              </c:numCache>
            </c:numRef>
          </c:val>
          <c:smooth val="0"/>
        </c:ser>
        <c:ser>
          <c:idx val="7"/>
          <c:order val="7"/>
          <c:tx>
            <c:strRef>
              <c:f>'VIII.1 Ocup. formal'!$A$11</c:f>
              <c:strCache>
                <c:ptCount val="1"/>
                <c:pt idx="0">
                  <c:v> Transporte y Comunicaciones </c:v>
                </c:pt>
              </c:strCache>
            </c:strRef>
          </c:tx>
          <c:marker>
            <c:symbol val="none"/>
          </c:marker>
          <c:cat>
            <c:strRef>
              <c:f>'VIII.1 Ocup. formal'!$B$3:$O$3</c:f>
              <c:strCache>
                <c:ptCount val="11"/>
                <c:pt idx="0">
                  <c:v>2005</c:v>
                </c:pt>
                <c:pt idx="1">
                  <c:v>2006</c:v>
                </c:pt>
                <c:pt idx="2">
                  <c:v>2007</c:v>
                </c:pt>
                <c:pt idx="3">
                  <c:v>2008</c:v>
                </c:pt>
                <c:pt idx="4">
                  <c:v> 2009</c:v>
                </c:pt>
                <c:pt idx="5">
                  <c:v>2010</c:v>
                </c:pt>
                <c:pt idx="6">
                  <c:v>2011</c:v>
                </c:pt>
                <c:pt idx="7">
                  <c:v>2012</c:v>
                </c:pt>
                <c:pt idx="8">
                  <c:v>2013</c:v>
                </c:pt>
                <c:pt idx="9">
                  <c:v>2014</c:v>
                </c:pt>
                <c:pt idx="10">
                  <c:v>2015</c:v>
                </c:pt>
              </c:strCache>
            </c:strRef>
          </c:cat>
          <c:val>
            <c:numRef>
              <c:f>'VIII.1 Ocup. formal'!$B$11:$O$11</c:f>
              <c:numCache>
                <c:formatCode>_(* #,##0_);_(* \(#,##0\);_(* "-"??_);_(@_)</c:formatCode>
                <c:ptCount val="11"/>
                <c:pt idx="0">
                  <c:v>64356.5</c:v>
                </c:pt>
                <c:pt idx="1">
                  <c:v>66871.5</c:v>
                </c:pt>
                <c:pt idx="2">
                  <c:v>68018.5</c:v>
                </c:pt>
                <c:pt idx="3">
                  <c:v>73736</c:v>
                </c:pt>
                <c:pt idx="4">
                  <c:v>74994</c:v>
                </c:pt>
                <c:pt idx="5">
                  <c:v>70890</c:v>
                </c:pt>
                <c:pt idx="6">
                  <c:v>67549</c:v>
                </c:pt>
                <c:pt idx="7">
                  <c:v>71306</c:v>
                </c:pt>
                <c:pt idx="8" formatCode="#,##0_);\(#,##0\)">
                  <c:v>90119</c:v>
                </c:pt>
                <c:pt idx="9" formatCode="#,##0_);\(#,##0\)">
                  <c:v>92028</c:v>
                </c:pt>
                <c:pt idx="10" formatCode="#,##0_);\(#,##0\)">
                  <c:v>96550</c:v>
                </c:pt>
              </c:numCache>
            </c:numRef>
          </c:val>
          <c:smooth val="0"/>
        </c:ser>
        <c:ser>
          <c:idx val="8"/>
          <c:order val="8"/>
          <c:tx>
            <c:strRef>
              <c:f>'VIII.1 Ocup. formal'!$A$12</c:f>
              <c:strCache>
                <c:ptCount val="1"/>
                <c:pt idx="0">
                  <c:v> Intermediación Financiera y Seguros </c:v>
                </c:pt>
              </c:strCache>
            </c:strRef>
          </c:tx>
          <c:marker>
            <c:symbol val="none"/>
          </c:marker>
          <c:cat>
            <c:strRef>
              <c:f>'VIII.1 Ocup. formal'!$B$3:$O$3</c:f>
              <c:strCache>
                <c:ptCount val="11"/>
                <c:pt idx="0">
                  <c:v>2005</c:v>
                </c:pt>
                <c:pt idx="1">
                  <c:v>2006</c:v>
                </c:pt>
                <c:pt idx="2">
                  <c:v>2007</c:v>
                </c:pt>
                <c:pt idx="3">
                  <c:v>2008</c:v>
                </c:pt>
                <c:pt idx="4">
                  <c:v> 2009</c:v>
                </c:pt>
                <c:pt idx="5">
                  <c:v>2010</c:v>
                </c:pt>
                <c:pt idx="6">
                  <c:v>2011</c:v>
                </c:pt>
                <c:pt idx="7">
                  <c:v>2012</c:v>
                </c:pt>
                <c:pt idx="8">
                  <c:v>2013</c:v>
                </c:pt>
                <c:pt idx="9">
                  <c:v>2014</c:v>
                </c:pt>
                <c:pt idx="10">
                  <c:v>2015</c:v>
                </c:pt>
              </c:strCache>
            </c:strRef>
          </c:cat>
          <c:val>
            <c:numRef>
              <c:f>'VIII.1 Ocup. formal'!$B$12:$O$12</c:f>
              <c:numCache>
                <c:formatCode>_(* #,##0_);_(* \(#,##0\);_(* "-"??_);_(@_)</c:formatCode>
                <c:ptCount val="11"/>
                <c:pt idx="0">
                  <c:v>46757.5</c:v>
                </c:pt>
                <c:pt idx="1">
                  <c:v>49397</c:v>
                </c:pt>
                <c:pt idx="2">
                  <c:v>55326</c:v>
                </c:pt>
                <c:pt idx="3">
                  <c:v>55155</c:v>
                </c:pt>
                <c:pt idx="4">
                  <c:v>67119</c:v>
                </c:pt>
                <c:pt idx="5">
                  <c:v>65137</c:v>
                </c:pt>
                <c:pt idx="6">
                  <c:v>72016</c:v>
                </c:pt>
                <c:pt idx="7">
                  <c:v>82080</c:v>
                </c:pt>
                <c:pt idx="8" formatCode="#,##0_);\(#,##0\)">
                  <c:v>79468</c:v>
                </c:pt>
                <c:pt idx="9" formatCode="#,##0_);\(#,##0\)">
                  <c:v>83517</c:v>
                </c:pt>
                <c:pt idx="10" formatCode="#,##0_);\(#,##0\)">
                  <c:v>75923</c:v>
                </c:pt>
              </c:numCache>
            </c:numRef>
          </c:val>
          <c:smooth val="0"/>
        </c:ser>
        <c:ser>
          <c:idx val="9"/>
          <c:order val="9"/>
          <c:tx>
            <c:strRef>
              <c:f>'VIII.1 Ocup. formal'!$A$13</c:f>
              <c:strCache>
                <c:ptCount val="1"/>
                <c:pt idx="0">
                  <c:v> Administración Pública y Defensa </c:v>
                </c:pt>
              </c:strCache>
            </c:strRef>
          </c:tx>
          <c:marker>
            <c:symbol val="none"/>
          </c:marker>
          <c:cat>
            <c:strRef>
              <c:f>'VIII.1 Ocup. formal'!$B$3:$O$3</c:f>
              <c:strCache>
                <c:ptCount val="11"/>
                <c:pt idx="0">
                  <c:v>2005</c:v>
                </c:pt>
                <c:pt idx="1">
                  <c:v>2006</c:v>
                </c:pt>
                <c:pt idx="2">
                  <c:v>2007</c:v>
                </c:pt>
                <c:pt idx="3">
                  <c:v>2008</c:v>
                </c:pt>
                <c:pt idx="4">
                  <c:v> 2009</c:v>
                </c:pt>
                <c:pt idx="5">
                  <c:v>2010</c:v>
                </c:pt>
                <c:pt idx="6">
                  <c:v>2011</c:v>
                </c:pt>
                <c:pt idx="7">
                  <c:v>2012</c:v>
                </c:pt>
                <c:pt idx="8">
                  <c:v>2013</c:v>
                </c:pt>
                <c:pt idx="9">
                  <c:v>2014</c:v>
                </c:pt>
                <c:pt idx="10">
                  <c:v>2015</c:v>
                </c:pt>
              </c:strCache>
            </c:strRef>
          </c:cat>
          <c:val>
            <c:numRef>
              <c:f>'VIII.1 Ocup. formal'!$B$13:$O$13</c:f>
              <c:numCache>
                <c:formatCode>_(* #,##0_);_(* \(#,##0\);_(* "-"??_);_(@_)</c:formatCode>
                <c:ptCount val="11"/>
                <c:pt idx="0">
                  <c:v>147544.5</c:v>
                </c:pt>
                <c:pt idx="1">
                  <c:v>148907.5</c:v>
                </c:pt>
                <c:pt idx="2">
                  <c:v>152563.5</c:v>
                </c:pt>
                <c:pt idx="3">
                  <c:v>156837</c:v>
                </c:pt>
                <c:pt idx="4">
                  <c:v>164689</c:v>
                </c:pt>
                <c:pt idx="5">
                  <c:v>184575</c:v>
                </c:pt>
                <c:pt idx="6">
                  <c:v>189387</c:v>
                </c:pt>
                <c:pt idx="7">
                  <c:v>194986</c:v>
                </c:pt>
                <c:pt idx="8" formatCode="#,##0_);\(#,##0\)">
                  <c:v>194720</c:v>
                </c:pt>
                <c:pt idx="9" formatCode="#,##0_);\(#,##0\)">
                  <c:v>191598</c:v>
                </c:pt>
                <c:pt idx="10" formatCode="#,##0_);\(#,##0\)">
                  <c:v>199704</c:v>
                </c:pt>
              </c:numCache>
            </c:numRef>
          </c:val>
          <c:smooth val="0"/>
        </c:ser>
        <c:ser>
          <c:idx val="10"/>
          <c:order val="10"/>
          <c:tx>
            <c:strRef>
              <c:f>'VIII.1 Ocup. formal'!$A$14</c:f>
              <c:strCache>
                <c:ptCount val="1"/>
                <c:pt idx="0">
                  <c:v> Otros Servicios </c:v>
                </c:pt>
              </c:strCache>
            </c:strRef>
          </c:tx>
          <c:spPr>
            <a:effectLst>
              <a:softEdge rad="0"/>
            </a:effectLst>
          </c:spPr>
          <c:marker>
            <c:symbol val="none"/>
          </c:marker>
          <c:dLbls>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'VIII.1 Ocup. formal'!$B$3:$O$3</c:f>
              <c:strCache>
                <c:ptCount val="11"/>
                <c:pt idx="0">
                  <c:v>2005</c:v>
                </c:pt>
                <c:pt idx="1">
                  <c:v>2006</c:v>
                </c:pt>
                <c:pt idx="2">
                  <c:v>2007</c:v>
                </c:pt>
                <c:pt idx="3">
                  <c:v>2008</c:v>
                </c:pt>
                <c:pt idx="4">
                  <c:v> 2009</c:v>
                </c:pt>
                <c:pt idx="5">
                  <c:v>2010</c:v>
                </c:pt>
                <c:pt idx="6">
                  <c:v>2011</c:v>
                </c:pt>
                <c:pt idx="7">
                  <c:v>2012</c:v>
                </c:pt>
                <c:pt idx="8">
                  <c:v>2013</c:v>
                </c:pt>
                <c:pt idx="9">
                  <c:v>2014</c:v>
                </c:pt>
                <c:pt idx="10">
                  <c:v>2015</c:v>
                </c:pt>
              </c:strCache>
            </c:strRef>
          </c:cat>
          <c:val>
            <c:numRef>
              <c:f>'VIII.1 Ocup. formal'!$B$14:$O$14</c:f>
              <c:numCache>
                <c:formatCode>_(* #,##0_);_(* \(#,##0\);_(* "-"??_);_(@_)</c:formatCode>
                <c:ptCount val="11"/>
                <c:pt idx="0">
                  <c:v>401844.5</c:v>
                </c:pt>
                <c:pt idx="1">
                  <c:v>416197</c:v>
                </c:pt>
                <c:pt idx="2">
                  <c:v>433943.5</c:v>
                </c:pt>
                <c:pt idx="3">
                  <c:v>460813</c:v>
                </c:pt>
                <c:pt idx="4">
                  <c:v>507872</c:v>
                </c:pt>
                <c:pt idx="5">
                  <c:v>523323</c:v>
                </c:pt>
                <c:pt idx="6">
                  <c:v>552274</c:v>
                </c:pt>
                <c:pt idx="7">
                  <c:v>553281</c:v>
                </c:pt>
                <c:pt idx="8" formatCode="#,##0_);\(#,##0\)">
                  <c:v>588320</c:v>
                </c:pt>
                <c:pt idx="9" formatCode="#,##0_);\(#,##0\)">
                  <c:v>606440</c:v>
                </c:pt>
                <c:pt idx="10" formatCode="#,##0_);\(#,##0\)">
                  <c:v>654852</c:v>
                </c:pt>
              </c:numCache>
            </c:numRef>
          </c:val>
          <c:smooth val="0"/>
        </c:ser>
        <c:dLbls>
          <c:showLegendKey val="0"/>
          <c:showVal val="0"/>
          <c:showCatName val="0"/>
          <c:showSerName val="0"/>
          <c:showPercent val="0"/>
          <c:showBubbleSize val="0"/>
        </c:dLbls>
        <c:smooth val="0"/>
        <c:axId val="367268384"/>
        <c:axId val="367271128"/>
      </c:lineChart>
      <c:catAx>
        <c:axId val="367268384"/>
        <c:scaling>
          <c:orientation val="minMax"/>
        </c:scaling>
        <c:delete val="0"/>
        <c:axPos val="b"/>
        <c:numFmt formatCode="General" sourceLinked="1"/>
        <c:majorTickMark val="none"/>
        <c:minorTickMark val="none"/>
        <c:tickLblPos val="nextTo"/>
        <c:txPr>
          <a:bodyPr/>
          <a:lstStyle/>
          <a:p>
            <a:pPr>
              <a:defRPr lang="en-US" sz="1050"/>
            </a:pPr>
            <a:endParaRPr lang="es-ES"/>
          </a:p>
        </c:txPr>
        <c:crossAx val="367271128"/>
        <c:crosses val="autoZero"/>
        <c:auto val="1"/>
        <c:lblAlgn val="ctr"/>
        <c:lblOffset val="100"/>
        <c:noMultiLvlLbl val="0"/>
      </c:catAx>
      <c:valAx>
        <c:axId val="367271128"/>
        <c:scaling>
          <c:orientation val="minMax"/>
        </c:scaling>
        <c:delete val="1"/>
        <c:axPos val="l"/>
        <c:numFmt formatCode="_(* #,##0_);_(* \(#,##0\);_(* &quot;-&quot;??_);_(@_)" sourceLinked="1"/>
        <c:majorTickMark val="out"/>
        <c:minorTickMark val="none"/>
        <c:tickLblPos val="nextTo"/>
        <c:crossAx val="367268384"/>
        <c:crosses val="autoZero"/>
        <c:crossBetween val="between"/>
      </c:valAx>
      <c:spPr>
        <a:ln>
          <a:noFill/>
        </a:ln>
      </c:spPr>
    </c:plotArea>
    <c:legend>
      <c:legendPos val="b"/>
      <c:layout>
        <c:manualLayout>
          <c:xMode val="edge"/>
          <c:yMode val="edge"/>
          <c:x val="3.4131269923439504E-2"/>
          <c:y val="0.1271085605828973"/>
          <c:w val="0.84787038298413386"/>
          <c:h val="9.9768123236856826E-2"/>
        </c:manualLayout>
      </c:layout>
      <c:overlay val="0"/>
      <c:spPr>
        <a:ln>
          <a:solidFill>
            <a:schemeClr val="bg1"/>
          </a:solidFill>
        </a:ln>
      </c:spPr>
      <c:txPr>
        <a:bodyPr/>
        <a:lstStyle/>
        <a:p>
          <a:pPr>
            <a:defRPr lang="en-US" sz="1000"/>
          </a:pPr>
          <a:endParaRPr lang="es-E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10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es-DO" sz="1600"/>
              <a:t>Estadísticas De Mercado De Trabajo</a:t>
            </a:r>
          </a:p>
          <a:p>
            <a:pPr>
              <a:defRPr/>
            </a:pPr>
            <a:r>
              <a:rPr lang="es-DO" sz="1600"/>
              <a:t>Población Total Republica Dominicana y por Tipo de Ocupación</a:t>
            </a:r>
          </a:p>
        </c:rich>
      </c:tx>
      <c:layout>
        <c:manualLayout>
          <c:xMode val="edge"/>
          <c:yMode val="edge"/>
          <c:x val="0.2894889532147531"/>
          <c:y val="2.3086485815742581E-2"/>
        </c:manualLayout>
      </c:layout>
      <c:overlay val="1"/>
    </c:title>
    <c:autoTitleDeleted val="0"/>
    <c:plotArea>
      <c:layout>
        <c:manualLayout>
          <c:layoutTarget val="inner"/>
          <c:xMode val="edge"/>
          <c:yMode val="edge"/>
          <c:x val="2.202019444567916E-2"/>
          <c:y val="0.21902324818676586"/>
          <c:w val="0.86918077041966368"/>
          <c:h val="0.54721883369704682"/>
        </c:manualLayout>
      </c:layout>
      <c:lineChart>
        <c:grouping val="standard"/>
        <c:varyColors val="0"/>
        <c:ser>
          <c:idx val="0"/>
          <c:order val="0"/>
          <c:tx>
            <c:strRef>
              <c:f>'VIII.2 Pob. econ.'!$B$3</c:f>
              <c:strCache>
                <c:ptCount val="1"/>
                <c:pt idx="0">
                  <c:v>Población Total</c:v>
                </c:pt>
              </c:strCache>
            </c:strRef>
          </c:tx>
          <c:dLbls>
            <c:dLbl>
              <c:idx val="8"/>
              <c:layout>
                <c:manualLayout>
                  <c:x val="0.15841617333645047"/>
                  <c:y val="-3.0639378467674467E-2"/>
                </c:manualLayout>
              </c:layout>
              <c:tx>
                <c:rich>
                  <a:bodyPr/>
                  <a:lstStyle/>
                  <a:p>
                    <a:r>
                      <a:rPr lang="en-US" sz="1100" b="1">
                        <a:solidFill>
                          <a:srgbClr val="002060"/>
                        </a:solidFill>
                      </a:rPr>
                      <a:t>Población Nacional   </a:t>
                    </a:r>
                    <a:br>
                      <a:rPr lang="en-US" sz="1100" b="1">
                        <a:solidFill>
                          <a:srgbClr val="002060"/>
                        </a:solidFill>
                      </a:rPr>
                    </a:br>
                    <a:r>
                      <a:rPr lang="en-US" sz="1100" b="1">
                        <a:solidFill>
                          <a:srgbClr val="002060"/>
                        </a:solidFill>
                      </a:rPr>
                      <a:t>10,028,012</a:t>
                    </a:r>
                    <a:endParaRPr lang="en-US" sz="1100"/>
                  </a:p>
                </c:rich>
              </c:tx>
              <c:dLblPos val="r"/>
              <c:showLegendKey val="0"/>
              <c:showVal val="0"/>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100" b="1">
                    <a:solidFill>
                      <a:srgbClr val="002060"/>
                    </a:solidFill>
                  </a:defRPr>
                </a:pPr>
                <a:endParaRPr lang="es-E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'VIII.2 Pob. econ.'!$A$4:$A$17</c:f>
              <c:strCache>
                <c:ptCount val="11"/>
                <c:pt idx="0">
                  <c:v> 2005</c:v>
                </c:pt>
                <c:pt idx="1">
                  <c:v> 2006</c:v>
                </c:pt>
                <c:pt idx="2">
                  <c:v> 2007</c:v>
                </c:pt>
                <c:pt idx="3">
                  <c:v> 2008</c:v>
                </c:pt>
                <c:pt idx="4">
                  <c:v> 2009</c:v>
                </c:pt>
                <c:pt idx="5">
                  <c:v> 2010</c:v>
                </c:pt>
                <c:pt idx="6">
                  <c:v>2011</c:v>
                </c:pt>
                <c:pt idx="7">
                  <c:v>2012</c:v>
                </c:pt>
                <c:pt idx="8">
                  <c:v>2013</c:v>
                </c:pt>
                <c:pt idx="9">
                  <c:v>2014</c:v>
                </c:pt>
                <c:pt idx="10">
                  <c:v>2015</c:v>
                </c:pt>
              </c:strCache>
            </c:strRef>
          </c:cat>
          <c:val>
            <c:numRef>
              <c:f>'VIII.2 Pob. econ.'!$B$4:$B$17</c:f>
              <c:numCache>
                <c:formatCode>#,##0</c:formatCode>
                <c:ptCount val="11"/>
                <c:pt idx="0">
                  <c:v>8968144</c:v>
                </c:pt>
                <c:pt idx="1">
                  <c:v>9072308</c:v>
                </c:pt>
                <c:pt idx="2">
                  <c:v>9175265</c:v>
                </c:pt>
                <c:pt idx="3">
                  <c:v>9277181</c:v>
                </c:pt>
                <c:pt idx="4">
                  <c:v>9378455</c:v>
                </c:pt>
                <c:pt idx="5">
                  <c:v>9478612</c:v>
                </c:pt>
                <c:pt idx="6">
                  <c:v>9579983</c:v>
                </c:pt>
                <c:pt idx="7">
                  <c:v>9680534</c:v>
                </c:pt>
                <c:pt idx="8">
                  <c:v>9780743</c:v>
                </c:pt>
                <c:pt idx="9">
                  <c:v>9880505</c:v>
                </c:pt>
                <c:pt idx="10">
                  <c:v>10028012</c:v>
                </c:pt>
              </c:numCache>
            </c:numRef>
          </c:val>
          <c:smooth val="0"/>
        </c:ser>
        <c:ser>
          <c:idx val="1"/>
          <c:order val="1"/>
          <c:tx>
            <c:strRef>
              <c:f>'VIII.2 Pob. econ.'!$C$3</c:f>
              <c:strCache>
                <c:ptCount val="1"/>
                <c:pt idx="0">
                  <c:v>En Edad de Trabajo (PET)      </c:v>
                </c:pt>
              </c:strCache>
            </c:strRef>
          </c:tx>
          <c:spPr>
            <a:ln>
              <a:solidFill>
                <a:schemeClr val="bg1">
                  <a:lumMod val="65000"/>
                </a:schemeClr>
              </a:solidFill>
            </a:ln>
          </c:spPr>
          <c:marker>
            <c:symbol val="circle"/>
            <c:size val="9"/>
            <c:spPr>
              <a:gradFill>
                <a:gsLst>
                  <a:gs pos="0">
                    <a:srgbClr val="000000"/>
                  </a:gs>
                  <a:gs pos="20000">
                    <a:srgbClr val="000040"/>
                  </a:gs>
                  <a:gs pos="50000">
                    <a:srgbClr val="400040"/>
                  </a:gs>
                  <a:gs pos="75000">
                    <a:srgbClr val="8F0040"/>
                  </a:gs>
                  <a:gs pos="89999">
                    <a:srgbClr val="F27300"/>
                  </a:gs>
                  <a:gs pos="100000">
                    <a:srgbClr val="FFBF00"/>
                  </a:gs>
                </a:gsLst>
                <a:lin ang="5400000" scaled="0"/>
              </a:gradFill>
              <a:ln>
                <a:solidFill>
                  <a:schemeClr val="tx1"/>
                </a:solidFill>
              </a:ln>
            </c:spPr>
          </c:marker>
          <c:dLbls>
            <c:dLbl>
              <c:idx val="8"/>
              <c:layout>
                <c:manualLayout>
                  <c:x val="0.1633545934424038"/>
                  <c:y val="-1.4149732047316784E-2"/>
                </c:manualLayout>
              </c:layout>
              <c:tx>
                <c:rich>
                  <a:bodyPr/>
                  <a:lstStyle/>
                  <a:p>
                    <a:r>
                      <a:rPr lang="en-US" sz="1100" b="1">
                        <a:solidFill>
                          <a:schemeClr val="accent3">
                            <a:lumMod val="50000"/>
                          </a:schemeClr>
                        </a:solidFill>
                      </a:rPr>
                      <a:t>PET </a:t>
                    </a:r>
                  </a:p>
                  <a:p>
                    <a:r>
                      <a:rPr lang="en-US" sz="1100" b="1">
                        <a:solidFill>
                          <a:schemeClr val="accent3">
                            <a:lumMod val="50000"/>
                          </a:schemeClr>
                        </a:solidFill>
                      </a:rPr>
                      <a:t>8,699,672</a:t>
                    </a:r>
                    <a:endParaRPr lang="en-US" sz="1200"/>
                  </a:p>
                </c:rich>
              </c:tx>
              <c:dLblPos val="r"/>
              <c:showLegendKey val="0"/>
              <c:showVal val="0"/>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100" b="1">
                    <a:solidFill>
                      <a:schemeClr val="accent3">
                        <a:lumMod val="50000"/>
                      </a:schemeClr>
                    </a:solidFill>
                  </a:defRPr>
                </a:pPr>
                <a:endParaRPr lang="es-E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'VIII.2 Pob. econ.'!$A$4:$A$17</c:f>
              <c:strCache>
                <c:ptCount val="11"/>
                <c:pt idx="0">
                  <c:v> 2005</c:v>
                </c:pt>
                <c:pt idx="1">
                  <c:v> 2006</c:v>
                </c:pt>
                <c:pt idx="2">
                  <c:v> 2007</c:v>
                </c:pt>
                <c:pt idx="3">
                  <c:v> 2008</c:v>
                </c:pt>
                <c:pt idx="4">
                  <c:v> 2009</c:v>
                </c:pt>
                <c:pt idx="5">
                  <c:v> 2010</c:v>
                </c:pt>
                <c:pt idx="6">
                  <c:v>2011</c:v>
                </c:pt>
                <c:pt idx="7">
                  <c:v>2012</c:v>
                </c:pt>
                <c:pt idx="8">
                  <c:v>2013</c:v>
                </c:pt>
                <c:pt idx="9">
                  <c:v>2014</c:v>
                </c:pt>
                <c:pt idx="10">
                  <c:v>2015</c:v>
                </c:pt>
              </c:strCache>
            </c:strRef>
          </c:cat>
          <c:val>
            <c:numRef>
              <c:f>'VIII.2 Pob. econ.'!$C$4:$C$17</c:f>
              <c:numCache>
                <c:formatCode>#,##0</c:formatCode>
                <c:ptCount val="11"/>
                <c:pt idx="0">
                  <c:v>7144758</c:v>
                </c:pt>
                <c:pt idx="1">
                  <c:v>7320436</c:v>
                </c:pt>
                <c:pt idx="2">
                  <c:v>7484808</c:v>
                </c:pt>
                <c:pt idx="3">
                  <c:v>7663945</c:v>
                </c:pt>
                <c:pt idx="4">
                  <c:v>7848901</c:v>
                </c:pt>
                <c:pt idx="5">
                  <c:v>7967202</c:v>
                </c:pt>
                <c:pt idx="6">
                  <c:v>8144337</c:v>
                </c:pt>
                <c:pt idx="7">
                  <c:v>8276419</c:v>
                </c:pt>
                <c:pt idx="8">
                  <c:v>8422139</c:v>
                </c:pt>
                <c:pt idx="9">
                  <c:v>8571213</c:v>
                </c:pt>
                <c:pt idx="10">
                  <c:v>8699672</c:v>
                </c:pt>
              </c:numCache>
            </c:numRef>
          </c:val>
          <c:smooth val="0"/>
        </c:ser>
        <c:ser>
          <c:idx val="2"/>
          <c:order val="2"/>
          <c:tx>
            <c:strRef>
              <c:f>'VIII.2 Pob. econ.'!$D$3</c:f>
              <c:strCache>
                <c:ptCount val="1"/>
                <c:pt idx="0">
                  <c:v>Población  Económicamente Activa (PEA)</c:v>
                </c:pt>
              </c:strCache>
            </c:strRef>
          </c:tx>
          <c:dLbls>
            <c:dLbl>
              <c:idx val="8"/>
              <c:layout>
                <c:manualLayout>
                  <c:x val="0.16009915691344884"/>
                  <c:y val="-3.3212486339371849E-2"/>
                </c:manualLayout>
              </c:layout>
              <c:tx>
                <c:rich>
                  <a:bodyPr/>
                  <a:lstStyle/>
                  <a:p>
                    <a:r>
                      <a:rPr lang="en-US" sz="1050" b="1">
                        <a:solidFill>
                          <a:srgbClr val="00B050"/>
                        </a:solidFill>
                      </a:rPr>
                      <a:t>PEA </a:t>
                    </a:r>
                  </a:p>
                  <a:p>
                    <a:r>
                      <a:rPr lang="en-US" sz="1050" b="1">
                        <a:solidFill>
                          <a:srgbClr val="00B050"/>
                        </a:solidFill>
                      </a:rPr>
                      <a:t>5,012,107</a:t>
                    </a:r>
                    <a:endParaRPr lang="en-US" sz="1100"/>
                  </a:p>
                </c:rich>
              </c:tx>
              <c:dLblPos val="r"/>
              <c:showLegendKey val="0"/>
              <c:showVal val="0"/>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050" b="1">
                    <a:solidFill>
                      <a:srgbClr val="00B050"/>
                    </a:solidFill>
                  </a:defRPr>
                </a:pPr>
                <a:endParaRPr lang="es-E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'VIII.2 Pob. econ.'!$A$4:$A$17</c:f>
              <c:strCache>
                <c:ptCount val="11"/>
                <c:pt idx="0">
                  <c:v> 2005</c:v>
                </c:pt>
                <c:pt idx="1">
                  <c:v> 2006</c:v>
                </c:pt>
                <c:pt idx="2">
                  <c:v> 2007</c:v>
                </c:pt>
                <c:pt idx="3">
                  <c:v> 2008</c:v>
                </c:pt>
                <c:pt idx="4">
                  <c:v> 2009</c:v>
                </c:pt>
                <c:pt idx="5">
                  <c:v> 2010</c:v>
                </c:pt>
                <c:pt idx="6">
                  <c:v>2011</c:v>
                </c:pt>
                <c:pt idx="7">
                  <c:v>2012</c:v>
                </c:pt>
                <c:pt idx="8">
                  <c:v>2013</c:v>
                </c:pt>
                <c:pt idx="9">
                  <c:v>2014</c:v>
                </c:pt>
                <c:pt idx="10">
                  <c:v>2015</c:v>
                </c:pt>
              </c:strCache>
            </c:strRef>
          </c:cat>
          <c:val>
            <c:numRef>
              <c:f>'VIII.2 Pob. econ.'!$D$4:$D$17</c:f>
              <c:numCache>
                <c:formatCode>#,##0</c:formatCode>
                <c:ptCount val="11"/>
                <c:pt idx="0">
                  <c:v>3992211</c:v>
                </c:pt>
                <c:pt idx="1">
                  <c:v>4100433</c:v>
                </c:pt>
                <c:pt idx="2">
                  <c:v>4202277</c:v>
                </c:pt>
                <c:pt idx="3">
                  <c:v>4256447</c:v>
                </c:pt>
                <c:pt idx="4">
                  <c:v>4221883</c:v>
                </c:pt>
                <c:pt idx="5">
                  <c:v>4378866</c:v>
                </c:pt>
                <c:pt idx="6">
                  <c:v>4580813</c:v>
                </c:pt>
                <c:pt idx="7">
                  <c:v>4677824</c:v>
                </c:pt>
                <c:pt idx="8">
                  <c:v>4728655</c:v>
                </c:pt>
                <c:pt idx="9">
                  <c:v>4913588</c:v>
                </c:pt>
                <c:pt idx="10">
                  <c:v>5012107</c:v>
                </c:pt>
              </c:numCache>
            </c:numRef>
          </c:val>
          <c:smooth val="0"/>
        </c:ser>
        <c:ser>
          <c:idx val="3"/>
          <c:order val="3"/>
          <c:tx>
            <c:strRef>
              <c:f>'VIII.2 Pob. econ.'!$E$3</c:f>
              <c:strCache>
                <c:ptCount val="1"/>
                <c:pt idx="0">
                  <c:v>Ocupada</c:v>
                </c:pt>
              </c:strCache>
            </c:strRef>
          </c:tx>
          <c:dLbls>
            <c:dLbl>
              <c:idx val="8"/>
              <c:layout>
                <c:manualLayout>
                  <c:x val="0.16417352103576782"/>
                  <c:y val="-7.6413210411699645E-3"/>
                </c:manualLayout>
              </c:layout>
              <c:tx>
                <c:rich>
                  <a:bodyPr/>
                  <a:lstStyle/>
                  <a:p>
                    <a:r>
                      <a:rPr lang="en-US" sz="1050" b="1">
                        <a:solidFill>
                          <a:srgbClr val="7030A0"/>
                        </a:solidFill>
                      </a:rPr>
                      <a:t>Población Ocupada</a:t>
                    </a:r>
                  </a:p>
                  <a:p>
                    <a:r>
                      <a:rPr lang="en-US" sz="1050" b="1">
                        <a:solidFill>
                          <a:srgbClr val="7030A0"/>
                        </a:solidFill>
                      </a:rPr>
                      <a:t>4,309,050</a:t>
                    </a:r>
                    <a:endParaRPr lang="en-US" sz="1200"/>
                  </a:p>
                </c:rich>
              </c:tx>
              <c:dLblPos val="r"/>
              <c:showLegendKey val="0"/>
              <c:showVal val="0"/>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050" b="1">
                    <a:solidFill>
                      <a:srgbClr val="7030A0"/>
                    </a:solidFill>
                  </a:defRPr>
                </a:pPr>
                <a:endParaRPr lang="es-E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'VIII.2 Pob. econ.'!$A$4:$A$17</c:f>
              <c:strCache>
                <c:ptCount val="11"/>
                <c:pt idx="0">
                  <c:v> 2005</c:v>
                </c:pt>
                <c:pt idx="1">
                  <c:v> 2006</c:v>
                </c:pt>
                <c:pt idx="2">
                  <c:v> 2007</c:v>
                </c:pt>
                <c:pt idx="3">
                  <c:v> 2008</c:v>
                </c:pt>
                <c:pt idx="4">
                  <c:v> 2009</c:v>
                </c:pt>
                <c:pt idx="5">
                  <c:v> 2010</c:v>
                </c:pt>
                <c:pt idx="6">
                  <c:v>2011</c:v>
                </c:pt>
                <c:pt idx="7">
                  <c:v>2012</c:v>
                </c:pt>
                <c:pt idx="8">
                  <c:v>2013</c:v>
                </c:pt>
                <c:pt idx="9">
                  <c:v>2014</c:v>
                </c:pt>
                <c:pt idx="10">
                  <c:v>2015</c:v>
                </c:pt>
              </c:strCache>
            </c:strRef>
          </c:cat>
          <c:val>
            <c:numRef>
              <c:f>'VIII.2 Pob. econ.'!$E$4:$E$17</c:f>
              <c:numCache>
                <c:formatCode>#,##0</c:formatCode>
                <c:ptCount val="11"/>
                <c:pt idx="0">
                  <c:v>3276373</c:v>
                </c:pt>
                <c:pt idx="1">
                  <c:v>3435086</c:v>
                </c:pt>
                <c:pt idx="2">
                  <c:v>3548304</c:v>
                </c:pt>
                <c:pt idx="3">
                  <c:v>3653946</c:v>
                </c:pt>
                <c:pt idx="4">
                  <c:v>3593988</c:v>
                </c:pt>
                <c:pt idx="5">
                  <c:v>3753529</c:v>
                </c:pt>
                <c:pt idx="6">
                  <c:v>3912405</c:v>
                </c:pt>
                <c:pt idx="7">
                  <c:v>3990748</c:v>
                </c:pt>
                <c:pt idx="8">
                  <c:v>4018420</c:v>
                </c:pt>
                <c:pt idx="9">
                  <c:v>4199885</c:v>
                </c:pt>
                <c:pt idx="10">
                  <c:v>4309050</c:v>
                </c:pt>
              </c:numCache>
            </c:numRef>
          </c:val>
          <c:smooth val="0"/>
        </c:ser>
        <c:ser>
          <c:idx val="4"/>
          <c:order val="4"/>
          <c:tx>
            <c:strRef>
              <c:f>'VIII.2 Pob. econ.'!$F$3</c:f>
              <c:strCache>
                <c:ptCount val="1"/>
                <c:pt idx="0">
                  <c:v>Ocupada Formal</c:v>
                </c:pt>
              </c:strCache>
            </c:strRef>
          </c:tx>
          <c:dLbls>
            <c:dLbl>
              <c:idx val="8"/>
              <c:layout>
                <c:manualLayout>
                  <c:x val="0.15313945995907227"/>
                  <c:y val="2.7889258491899136E-2"/>
                </c:manualLayout>
              </c:layout>
              <c:tx>
                <c:rich>
                  <a:bodyPr/>
                  <a:lstStyle/>
                  <a:p>
                    <a:r>
                      <a:rPr lang="en-US" sz="1050" b="1">
                        <a:solidFill>
                          <a:srgbClr val="0070C0"/>
                        </a:solidFill>
                      </a:rPr>
                      <a:t>Ocupada Formal</a:t>
                    </a:r>
                  </a:p>
                  <a:p>
                    <a:r>
                      <a:rPr lang="en-US" sz="1050" b="1">
                        <a:solidFill>
                          <a:srgbClr val="0070C0"/>
                        </a:solidFill>
                      </a:rPr>
                      <a:t>1,965,498</a:t>
                    </a:r>
                    <a:endParaRPr lang="en-US" sz="1200"/>
                  </a:p>
                </c:rich>
              </c:tx>
              <c:dLblPos val="r"/>
              <c:showLegendKey val="0"/>
              <c:showVal val="0"/>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050" b="1">
                    <a:solidFill>
                      <a:srgbClr val="0070C0"/>
                    </a:solidFill>
                  </a:defRPr>
                </a:pPr>
                <a:endParaRPr lang="es-E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'VIII.2 Pob. econ.'!$A$4:$A$17</c:f>
              <c:strCache>
                <c:ptCount val="11"/>
                <c:pt idx="0">
                  <c:v> 2005</c:v>
                </c:pt>
                <c:pt idx="1">
                  <c:v> 2006</c:v>
                </c:pt>
                <c:pt idx="2">
                  <c:v> 2007</c:v>
                </c:pt>
                <c:pt idx="3">
                  <c:v> 2008</c:v>
                </c:pt>
                <c:pt idx="4">
                  <c:v> 2009</c:v>
                </c:pt>
                <c:pt idx="5">
                  <c:v> 2010</c:v>
                </c:pt>
                <c:pt idx="6">
                  <c:v>2011</c:v>
                </c:pt>
                <c:pt idx="7">
                  <c:v>2012</c:v>
                </c:pt>
                <c:pt idx="8">
                  <c:v>2013</c:v>
                </c:pt>
                <c:pt idx="9">
                  <c:v>2014</c:v>
                </c:pt>
                <c:pt idx="10">
                  <c:v>2015</c:v>
                </c:pt>
              </c:strCache>
            </c:strRef>
          </c:cat>
          <c:val>
            <c:numRef>
              <c:f>'VIII.2 Pob. econ.'!$F$4:$F$17</c:f>
              <c:numCache>
                <c:formatCode>#,##0</c:formatCode>
                <c:ptCount val="11"/>
                <c:pt idx="0">
                  <c:v>1437260</c:v>
                </c:pt>
                <c:pt idx="1">
                  <c:v>1505582.5</c:v>
                </c:pt>
                <c:pt idx="2">
                  <c:v>1571911.5</c:v>
                </c:pt>
                <c:pt idx="3">
                  <c:v>1566047</c:v>
                </c:pt>
                <c:pt idx="4">
                  <c:v>1560994</c:v>
                </c:pt>
                <c:pt idx="5">
                  <c:v>1631129</c:v>
                </c:pt>
                <c:pt idx="6">
                  <c:v>1686216</c:v>
                </c:pt>
                <c:pt idx="7">
                  <c:v>1716228</c:v>
                </c:pt>
                <c:pt idx="8">
                  <c:v>1769801</c:v>
                </c:pt>
                <c:pt idx="9">
                  <c:v>1865496</c:v>
                </c:pt>
                <c:pt idx="10">
                  <c:v>1965498</c:v>
                </c:pt>
              </c:numCache>
            </c:numRef>
          </c:val>
          <c:smooth val="0"/>
        </c:ser>
        <c:ser>
          <c:idx val="5"/>
          <c:order val="5"/>
          <c:tx>
            <c:strRef>
              <c:f>'VIII.2 Pob. econ.'!$G$3</c:f>
              <c:strCache>
                <c:ptCount val="1"/>
                <c:pt idx="0">
                  <c:v>Ocupada Informal </c:v>
                </c:pt>
              </c:strCache>
            </c:strRef>
          </c:tx>
          <c:marker>
            <c:symbol val="circle"/>
            <c:size val="9"/>
            <c:spPr>
              <a:gradFill>
                <a:gsLst>
                  <a:gs pos="0">
                    <a:srgbClr val="FFF200"/>
                  </a:gs>
                  <a:gs pos="45000">
                    <a:srgbClr val="FF7A00"/>
                  </a:gs>
                  <a:gs pos="70000">
                    <a:srgbClr val="FF0300"/>
                  </a:gs>
                  <a:gs pos="100000">
                    <a:srgbClr val="4D0808"/>
                  </a:gs>
                </a:gsLst>
                <a:lin ang="5400000" scaled="0"/>
              </a:gradFill>
            </c:spPr>
          </c:marker>
          <c:dLbls>
            <c:dLbl>
              <c:idx val="8"/>
              <c:layout>
                <c:manualLayout>
                  <c:x val="0.15784019256589493"/>
                  <c:y val="-1.5377743341568386E-2"/>
                </c:manualLayout>
              </c:layout>
              <c:tx>
                <c:rich>
                  <a:bodyPr/>
                  <a:lstStyle/>
                  <a:p>
                    <a:pPr algn="ctr" rtl="0">
                      <a:defRPr lang="en-US" sz="1050" b="1" i="0" u="none" strike="noStrike" kern="1200" baseline="0">
                        <a:solidFill>
                          <a:schemeClr val="accent2">
                            <a:lumMod val="50000"/>
                          </a:schemeClr>
                        </a:solidFill>
                        <a:latin typeface="+mn-lt"/>
                        <a:ea typeface="+mn-ea"/>
                        <a:cs typeface="+mn-cs"/>
                      </a:defRPr>
                    </a:pPr>
                    <a:r>
                      <a:rPr lang="en-US" sz="1050" b="1" i="0" u="none" strike="noStrike" kern="1200" baseline="0">
                        <a:solidFill>
                          <a:schemeClr val="accent2">
                            <a:lumMod val="50000"/>
                          </a:schemeClr>
                        </a:solidFill>
                        <a:latin typeface="+mn-lt"/>
                        <a:ea typeface="+mn-ea"/>
                        <a:cs typeface="+mn-cs"/>
                      </a:rPr>
                      <a:t>Ocupada Informal</a:t>
                    </a:r>
                  </a:p>
                  <a:p>
                    <a:pPr algn="ctr" rtl="0">
                      <a:defRPr lang="en-US" sz="1050" b="1" i="0" u="none" strike="noStrike" kern="1200" baseline="0">
                        <a:solidFill>
                          <a:schemeClr val="accent2">
                            <a:lumMod val="50000"/>
                          </a:schemeClr>
                        </a:solidFill>
                        <a:latin typeface="+mn-lt"/>
                        <a:ea typeface="+mn-ea"/>
                        <a:cs typeface="+mn-cs"/>
                      </a:defRPr>
                    </a:pPr>
                    <a:r>
                      <a:rPr lang="en-US" sz="1050" b="1" i="0" u="none" strike="noStrike" kern="1200" baseline="0">
                        <a:solidFill>
                          <a:schemeClr val="accent2">
                            <a:lumMod val="50000"/>
                          </a:schemeClr>
                        </a:solidFill>
                        <a:latin typeface="+mn-lt"/>
                        <a:ea typeface="+mn-ea"/>
                        <a:cs typeface="+mn-cs"/>
                      </a:rPr>
                      <a:t>2,343,552</a:t>
                    </a:r>
                    <a:endParaRPr lang="en-US" sz="1200" b="0" i="0" u="none" strike="noStrike" kern="1200" baseline="0">
                      <a:solidFill>
                        <a:sysClr val="windowText" lastClr="000000"/>
                      </a:solidFill>
                      <a:latin typeface="+mn-lt"/>
                      <a:ea typeface="+mn-ea"/>
                      <a:cs typeface="+mn-cs"/>
                    </a:endParaRPr>
                  </a:p>
                </c:rich>
              </c:tx>
              <c:spPr/>
              <c:dLblPos val="r"/>
              <c:showLegendKey val="0"/>
              <c:showVal val="0"/>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050" b="1">
                    <a:solidFill>
                      <a:schemeClr val="accent2">
                        <a:lumMod val="50000"/>
                      </a:schemeClr>
                    </a:solidFill>
                  </a:defRPr>
                </a:pPr>
                <a:endParaRPr lang="es-E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'VIII.2 Pob. econ.'!$A$4:$A$17</c:f>
              <c:strCache>
                <c:ptCount val="11"/>
                <c:pt idx="0">
                  <c:v> 2005</c:v>
                </c:pt>
                <c:pt idx="1">
                  <c:v> 2006</c:v>
                </c:pt>
                <c:pt idx="2">
                  <c:v> 2007</c:v>
                </c:pt>
                <c:pt idx="3">
                  <c:v> 2008</c:v>
                </c:pt>
                <c:pt idx="4">
                  <c:v> 2009</c:v>
                </c:pt>
                <c:pt idx="5">
                  <c:v> 2010</c:v>
                </c:pt>
                <c:pt idx="6">
                  <c:v>2011</c:v>
                </c:pt>
                <c:pt idx="7">
                  <c:v>2012</c:v>
                </c:pt>
                <c:pt idx="8">
                  <c:v>2013</c:v>
                </c:pt>
                <c:pt idx="9">
                  <c:v>2014</c:v>
                </c:pt>
                <c:pt idx="10">
                  <c:v>2015</c:v>
                </c:pt>
              </c:strCache>
            </c:strRef>
          </c:cat>
          <c:val>
            <c:numRef>
              <c:f>'VIII.2 Pob. econ.'!$G$4:$G$17</c:f>
              <c:numCache>
                <c:formatCode>#,##0</c:formatCode>
                <c:ptCount val="11"/>
                <c:pt idx="0">
                  <c:v>1839113</c:v>
                </c:pt>
                <c:pt idx="1">
                  <c:v>1929503.5</c:v>
                </c:pt>
                <c:pt idx="2">
                  <c:v>1976392.5</c:v>
                </c:pt>
                <c:pt idx="3">
                  <c:v>2087899</c:v>
                </c:pt>
                <c:pt idx="4">
                  <c:v>2032994</c:v>
                </c:pt>
                <c:pt idx="5">
                  <c:v>2122400</c:v>
                </c:pt>
                <c:pt idx="6">
                  <c:v>2226189</c:v>
                </c:pt>
                <c:pt idx="7">
                  <c:v>2274520</c:v>
                </c:pt>
                <c:pt idx="8">
                  <c:v>2248619</c:v>
                </c:pt>
                <c:pt idx="9">
                  <c:v>2334389</c:v>
                </c:pt>
                <c:pt idx="10">
                  <c:v>2343552</c:v>
                </c:pt>
              </c:numCache>
            </c:numRef>
          </c:val>
          <c:smooth val="0"/>
        </c:ser>
        <c:dLbls>
          <c:showLegendKey val="0"/>
          <c:showVal val="0"/>
          <c:showCatName val="0"/>
          <c:showSerName val="0"/>
          <c:showPercent val="0"/>
          <c:showBubbleSize val="0"/>
        </c:dLbls>
        <c:marker val="1"/>
        <c:smooth val="0"/>
        <c:axId val="367269560"/>
        <c:axId val="367270344"/>
      </c:lineChart>
      <c:catAx>
        <c:axId val="367269560"/>
        <c:scaling>
          <c:orientation val="minMax"/>
        </c:scaling>
        <c:delete val="0"/>
        <c:axPos val="b"/>
        <c:numFmt formatCode="General" sourceLinked="1"/>
        <c:majorTickMark val="none"/>
        <c:minorTickMark val="none"/>
        <c:tickLblPos val="nextTo"/>
        <c:txPr>
          <a:bodyPr/>
          <a:lstStyle/>
          <a:p>
            <a:pPr>
              <a:defRPr lang="en-US" sz="1200"/>
            </a:pPr>
            <a:endParaRPr lang="es-ES"/>
          </a:p>
        </c:txPr>
        <c:crossAx val="367270344"/>
        <c:crosses val="autoZero"/>
        <c:auto val="1"/>
        <c:lblAlgn val="ctr"/>
        <c:lblOffset val="100"/>
        <c:noMultiLvlLbl val="0"/>
      </c:catAx>
      <c:valAx>
        <c:axId val="367270344"/>
        <c:scaling>
          <c:orientation val="minMax"/>
          <c:max val="10000000"/>
          <c:min val="0"/>
        </c:scaling>
        <c:delete val="1"/>
        <c:axPos val="l"/>
        <c:numFmt formatCode="#,##0" sourceLinked="1"/>
        <c:majorTickMark val="out"/>
        <c:minorTickMark val="none"/>
        <c:tickLblPos val="nextTo"/>
        <c:crossAx val="367269560"/>
        <c:crosses val="autoZero"/>
        <c:crossBetween val="between"/>
        <c:majorUnit val="1000000"/>
        <c:minorUnit val="45000"/>
      </c:valAx>
    </c:plotArea>
    <c:plotVisOnly val="1"/>
    <c:dispBlanksAs val="gap"/>
    <c:showDLblsOverMax val="0"/>
  </c:chart>
  <c:spPr>
    <a:ln>
      <a:noFill/>
    </a:ln>
  </c:spPr>
  <c:printSettings>
    <c:headerFooter/>
    <c:pageMargins b="0.74803149606304709" l="0.70866141732287702" r="0.70866141732287702" t="0.74803149606304709" header="0.31496062992128876" footer="0.31496062992128876"/>
    <c:pageSetup orientation="landscape"/>
  </c:printSettings>
  <c:userShapes r:id="rId1"/>
</c:chartSpace>
</file>

<file path=xl/charts/chart10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Cantidad de Cápitas Pagadas al SFS</a:t>
            </a:r>
          </a:p>
        </c:rich>
      </c:tx>
      <c:layout>
        <c:manualLayout>
          <c:xMode val="edge"/>
          <c:yMode val="edge"/>
          <c:x val="0.28039590023314126"/>
          <c:y val="5.935081168443429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1.8487394957983197E-2"/>
          <c:y val="0.29187793875126028"/>
          <c:w val="0.96302521008403674"/>
          <c:h val="0.61286959070693858"/>
        </c:manualLayout>
      </c:layout>
      <c:bar3DChart>
        <c:barDir val="col"/>
        <c:grouping val="stacked"/>
        <c:varyColors val="0"/>
        <c:ser>
          <c:idx val="0"/>
          <c:order val="0"/>
          <c:tx>
            <c:strRef>
              <c:f>'IX.1.a SDSS Definiciones'!$I$2</c:f>
              <c:strCache>
                <c:ptCount val="1"/>
              </c:strCache>
            </c:strRef>
          </c:tx>
          <c:spPr>
            <a:solidFill>
              <a:schemeClr val="accent1">
                <a:lumMod val="75000"/>
              </a:schemeClr>
            </a:solidFill>
          </c:spPr>
          <c:invertIfNegative val="0"/>
          <c:dLbls>
            <c:dLbl>
              <c:idx val="4"/>
              <c:layout>
                <c:manualLayout>
                  <c:x val="1.7777780040121535E-2"/>
                  <c:y val="8.0857572598177538E-2"/>
                </c:manualLayout>
              </c:layout>
              <c:tx>
                <c:rich>
                  <a:bodyPr/>
                  <a:lstStyle/>
                  <a:p>
                    <a:r>
                      <a:rPr lang="en-US"/>
                      <a:t>62.42%</a:t>
                    </a:r>
                  </a:p>
                </c:rich>
              </c:tx>
              <c:showLegendKey val="0"/>
              <c:showVal val="0"/>
              <c:showCatName val="0"/>
              <c:showSerName val="0"/>
              <c:showPercent val="0"/>
              <c:showBubbleSize val="0"/>
              <c:extLst>
                <c:ext xmlns:c15="http://schemas.microsoft.com/office/drawing/2012/chart" uri="{CE6537A1-D6FC-4f65-9D91-7224C49458BB}"/>
              </c:extLst>
            </c:dLbl>
            <c:dLbl>
              <c:idx val="5"/>
              <c:layout>
                <c:manualLayout>
                  <c:x val="1.6161618218292366E-2"/>
                  <c:y val="9.4333834697873223E-2"/>
                </c:manualLayout>
              </c:layout>
              <c:tx>
                <c:rich>
                  <a:bodyPr/>
                  <a:lstStyle/>
                  <a:p>
                    <a:r>
                      <a:rPr lang="en-US"/>
                      <a:t>61.83%</a:t>
                    </a:r>
                  </a:p>
                </c:rich>
              </c:tx>
              <c:showLegendKey val="0"/>
              <c:showVal val="0"/>
              <c:showCatName val="0"/>
              <c:showSerName val="0"/>
              <c:showPercent val="0"/>
              <c:showBubbleSize val="0"/>
              <c:extLst>
                <c:ext xmlns:c15="http://schemas.microsoft.com/office/drawing/2012/chart" uri="{CE6537A1-D6FC-4f65-9D91-7224C49458BB}"/>
              </c:extLst>
            </c:dLbl>
            <c:dLbl>
              <c:idx val="6"/>
              <c:layout>
                <c:manualLayout>
                  <c:x val="1.1313132752804614E-2"/>
                  <c:y val="0.10658498206123376"/>
                </c:manualLayout>
              </c:layout>
              <c:tx>
                <c:rich>
                  <a:bodyPr/>
                  <a:lstStyle/>
                  <a:p>
                    <a:r>
                      <a:rPr lang="en-US"/>
                      <a:t>61.56%</a:t>
                    </a:r>
                  </a:p>
                </c:rich>
              </c:tx>
              <c:showLegendKey val="0"/>
              <c:showVal val="0"/>
              <c:showCatName val="0"/>
              <c:showSerName val="0"/>
              <c:showPercent val="0"/>
              <c:showBubbleSize val="0"/>
              <c:extLst>
                <c:ext xmlns:c15="http://schemas.microsoft.com/office/drawing/2012/chart" uri="{CE6537A1-D6FC-4f65-9D91-7224C49458BB}"/>
              </c:extLst>
            </c:dLbl>
            <c:dLbl>
              <c:idx val="7"/>
              <c:layout>
                <c:manualLayout>
                  <c:x val="1.1313132752804614E-2"/>
                  <c:y val="0.12251147363360169"/>
                </c:manualLayout>
              </c:layout>
              <c:tx>
                <c:rich>
                  <a:bodyPr/>
                  <a:lstStyle/>
                  <a:p>
                    <a:r>
                      <a:rPr lang="en-US"/>
                      <a:t>56.32%</a:t>
                    </a:r>
                  </a:p>
                </c:rich>
              </c:tx>
              <c:showLegendKey val="0"/>
              <c:showVal val="0"/>
              <c:showCatName val="0"/>
              <c:showSerName val="0"/>
              <c:showPercent val="0"/>
              <c:showBubbleSize val="0"/>
              <c:extLst>
                <c:ext xmlns:c15="http://schemas.microsoft.com/office/drawing/2012/chart" uri="{CE6537A1-D6FC-4f65-9D91-7224C49458BB}"/>
              </c:extLst>
            </c:dLbl>
            <c:dLbl>
              <c:idx val="8"/>
              <c:layout>
                <c:manualLayout>
                  <c:x val="1.1313132752804732E-2"/>
                  <c:y val="0.1237365883699378"/>
                </c:manualLayout>
              </c:layout>
              <c:tx>
                <c:rich>
                  <a:bodyPr/>
                  <a:lstStyle/>
                  <a:p>
                    <a:pPr>
                      <a:defRPr sz="1400" b="1"/>
                    </a:pPr>
                    <a:r>
                      <a:rPr lang="en-US" b="1"/>
                      <a:t>55.38%</a:t>
                    </a:r>
                  </a:p>
                </c:rich>
              </c:tx>
              <c:spPr/>
              <c:showLegendKey val="0"/>
              <c:showVal val="0"/>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'IX.1.a SDSS Definiciones'!$A$3:$A$11</c:f>
              <c:numCache>
                <c:formatCode>_([$€-2]* #,##0_);_([$€-2]* \(#,##0\);_([$€-2]* "-"??_)</c:formatCode>
                <c:ptCount val="9"/>
              </c:numCache>
            </c:numRef>
          </c:cat>
          <c:val>
            <c:numRef>
              <c:f>'IX.1.a SDSS Definiciones'!$I$3:$I$11</c:f>
              <c:numCache>
                <c:formatCode>_([$€-2]* #,##0_);_([$€-2]* \(#,##0\);_([$€-2]* "-"??_)</c:formatCode>
                <c:ptCount val="9"/>
              </c:numCache>
            </c:numRef>
          </c:val>
        </c:ser>
        <c:ser>
          <c:idx val="1"/>
          <c:order val="1"/>
          <c:tx>
            <c:strRef>
              <c:f>'IX.1.a SDSS Definiciones'!$J$2</c:f>
              <c:strCache>
                <c:ptCount val="1"/>
              </c:strCache>
            </c:strRef>
          </c:tx>
          <c:spPr>
            <a:solidFill>
              <a:srgbClr val="92D050"/>
            </a:solidFill>
          </c:spPr>
          <c:invertIfNegative val="0"/>
          <c:dLbls>
            <c:dLbl>
              <c:idx val="0"/>
              <c:layout>
                <c:manualLayout>
                  <c:x val="1.2929294574633838E-2"/>
                  <c:y val="-3.6753442090080492E-3"/>
                </c:manualLayout>
              </c:layout>
              <c:tx>
                <c:rich>
                  <a:bodyPr/>
                  <a:lstStyle/>
                  <a:p>
                    <a:r>
                      <a:rPr lang="en-US"/>
                      <a:t>100.00%</a:t>
                    </a:r>
                  </a:p>
                </c:rich>
              </c:tx>
              <c:showLegendKey val="0"/>
              <c:showVal val="0"/>
              <c:showCatName val="0"/>
              <c:showSerName val="0"/>
              <c:showPercent val="0"/>
              <c:showBubbleSize val="0"/>
              <c:extLst>
                <c:ext xmlns:c15="http://schemas.microsoft.com/office/drawing/2012/chart" uri="{CE6537A1-D6FC-4f65-9D91-7224C49458BB}"/>
              </c:extLst>
            </c:dLbl>
            <c:dLbl>
              <c:idx val="1"/>
              <c:layout>
                <c:manualLayout>
                  <c:x val="1.6161618218292366E-2"/>
                  <c:y val="-7.3506884180160933E-3"/>
                </c:manualLayout>
              </c:layout>
              <c:tx>
                <c:rich>
                  <a:bodyPr/>
                  <a:lstStyle/>
                  <a:p>
                    <a:r>
                      <a:rPr lang="en-US"/>
                      <a:t>100.00%</a:t>
                    </a:r>
                  </a:p>
                </c:rich>
              </c:tx>
              <c:showLegendKey val="0"/>
              <c:showVal val="0"/>
              <c:showCatName val="0"/>
              <c:showSerName val="0"/>
              <c:showPercent val="0"/>
              <c:showBubbleSize val="0"/>
              <c:extLst>
                <c:ext xmlns:c15="http://schemas.microsoft.com/office/drawing/2012/chart" uri="{CE6537A1-D6FC-4f65-9D91-7224C49458BB}"/>
              </c:extLst>
            </c:dLbl>
            <c:dLbl>
              <c:idx val="2"/>
              <c:layout>
                <c:manualLayout>
                  <c:x val="1.7777780040121535E-2"/>
                  <c:y val="0"/>
                </c:manualLayout>
              </c:layout>
              <c:tx>
                <c:rich>
                  <a:bodyPr/>
                  <a:lstStyle/>
                  <a:p>
                    <a:r>
                      <a:rPr lang="en-US"/>
                      <a:t>100.00%</a:t>
                    </a:r>
                  </a:p>
                </c:rich>
              </c:tx>
              <c:showLegendKey val="0"/>
              <c:showVal val="0"/>
              <c:showCatName val="0"/>
              <c:showSerName val="0"/>
              <c:showPercent val="0"/>
              <c:showBubbleSize val="0"/>
              <c:extLst>
                <c:ext xmlns:c15="http://schemas.microsoft.com/office/drawing/2012/chart" uri="{CE6537A1-D6FC-4f65-9D91-7224C49458BB}"/>
              </c:extLst>
            </c:dLbl>
            <c:dLbl>
              <c:idx val="3"/>
              <c:layout>
                <c:manualLayout>
                  <c:x val="1.4545456396463123E-2"/>
                  <c:y val="1.2251147363360165E-2"/>
                </c:manualLayout>
              </c:layout>
              <c:tx>
                <c:rich>
                  <a:bodyPr/>
                  <a:lstStyle/>
                  <a:p>
                    <a:r>
                      <a:rPr lang="en-US"/>
                      <a:t>100.00%</a:t>
                    </a:r>
                  </a:p>
                </c:rich>
              </c:tx>
              <c:showLegendKey val="0"/>
              <c:showVal val="0"/>
              <c:showCatName val="0"/>
              <c:showSerName val="0"/>
              <c:showPercent val="0"/>
              <c:showBubbleSize val="0"/>
              <c:extLst>
                <c:ext xmlns:c15="http://schemas.microsoft.com/office/drawing/2012/chart" uri="{CE6537A1-D6FC-4f65-9D91-7224C49458BB}"/>
              </c:extLst>
            </c:dLbl>
            <c:dLbl>
              <c:idx val="4"/>
              <c:layout>
                <c:manualLayout>
                  <c:x val="1.6161618218292366E-2"/>
                  <c:y val="4.287901577176044E-2"/>
                </c:manualLayout>
              </c:layout>
              <c:tx>
                <c:rich>
                  <a:bodyPr/>
                  <a:lstStyle/>
                  <a:p>
                    <a:r>
                      <a:rPr lang="en-US"/>
                      <a:t>37.58%</a:t>
                    </a:r>
                  </a:p>
                </c:rich>
              </c:tx>
              <c:showLegendKey val="0"/>
              <c:showVal val="0"/>
              <c:showCatName val="0"/>
              <c:showSerName val="0"/>
              <c:showPercent val="0"/>
              <c:showBubbleSize val="0"/>
              <c:extLst>
                <c:ext xmlns:c15="http://schemas.microsoft.com/office/drawing/2012/chart" uri="{CE6537A1-D6FC-4f65-9D91-7224C49458BB}"/>
              </c:extLst>
            </c:dLbl>
            <c:dLbl>
              <c:idx val="5"/>
              <c:layout>
                <c:manualLayout>
                  <c:x val="1.2929294574633838E-2"/>
                  <c:y val="5.2679933662448782E-2"/>
                </c:manualLayout>
              </c:layout>
              <c:tx>
                <c:rich>
                  <a:bodyPr/>
                  <a:lstStyle/>
                  <a:p>
                    <a:r>
                      <a:rPr lang="en-US"/>
                      <a:t>38.17%</a:t>
                    </a:r>
                  </a:p>
                </c:rich>
              </c:tx>
              <c:showLegendKey val="0"/>
              <c:showVal val="0"/>
              <c:showCatName val="0"/>
              <c:showSerName val="0"/>
              <c:showPercent val="0"/>
              <c:showBubbleSize val="0"/>
              <c:extLst>
                <c:ext xmlns:c15="http://schemas.microsoft.com/office/drawing/2012/chart" uri="{CE6537A1-D6FC-4f65-9D91-7224C49458BB}"/>
              </c:extLst>
            </c:dLbl>
            <c:dLbl>
              <c:idx val="6"/>
              <c:layout>
                <c:manualLayout>
                  <c:x val="2.1010103683780052E-2"/>
                  <c:y val="5.6355277871456812E-2"/>
                </c:manualLayout>
              </c:layout>
              <c:tx>
                <c:rich>
                  <a:bodyPr/>
                  <a:lstStyle/>
                  <a:p>
                    <a:r>
                      <a:rPr lang="en-US"/>
                      <a:t>37.77%</a:t>
                    </a:r>
                  </a:p>
                </c:rich>
              </c:tx>
              <c:showLegendKey val="0"/>
              <c:showVal val="0"/>
              <c:showCatName val="0"/>
              <c:showSerName val="0"/>
              <c:showPercent val="0"/>
              <c:showBubbleSize val="0"/>
              <c:extLst>
                <c:ext xmlns:c15="http://schemas.microsoft.com/office/drawing/2012/chart" uri="{CE6537A1-D6FC-4f65-9D91-7224C49458BB}"/>
              </c:extLst>
            </c:dLbl>
            <c:dLbl>
              <c:idx val="7"/>
              <c:layout>
                <c:manualLayout>
                  <c:x val="1.7777780040121535E-2"/>
                  <c:y val="9.310871996153719E-2"/>
                </c:manualLayout>
              </c:layout>
              <c:tx>
                <c:rich>
                  <a:bodyPr/>
                  <a:lstStyle/>
                  <a:p>
                    <a:r>
                      <a:rPr lang="en-US"/>
                      <a:t>43.04%</a:t>
                    </a:r>
                  </a:p>
                </c:rich>
              </c:tx>
              <c:showLegendKey val="0"/>
              <c:showVal val="0"/>
              <c:showCatName val="0"/>
              <c:showSerName val="0"/>
              <c:showPercent val="0"/>
              <c:showBubbleSize val="0"/>
              <c:extLst>
                <c:ext xmlns:c15="http://schemas.microsoft.com/office/drawing/2012/chart" uri="{CE6537A1-D6FC-4f65-9D91-7224C49458BB}"/>
              </c:extLst>
            </c:dLbl>
            <c:dLbl>
              <c:idx val="8"/>
              <c:layout>
                <c:manualLayout>
                  <c:x val="1.6161618218292366E-2"/>
                  <c:y val="9.9234293643217258E-2"/>
                </c:manualLayout>
              </c:layout>
              <c:tx>
                <c:rich>
                  <a:bodyPr/>
                  <a:lstStyle/>
                  <a:p>
                    <a:pPr>
                      <a:defRPr sz="1400" b="1"/>
                    </a:pPr>
                    <a:r>
                      <a:rPr lang="en-US" b="1"/>
                      <a:t>43.98%</a:t>
                    </a:r>
                  </a:p>
                </c:rich>
              </c:tx>
              <c:spPr/>
              <c:showLegendKey val="0"/>
              <c:showVal val="0"/>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'IX.1.a SDSS Definiciones'!$A$3:$A$11</c:f>
              <c:numCache>
                <c:formatCode>_([$€-2]* #,##0_);_([$€-2]* \(#,##0\);_([$€-2]* "-"??_)</c:formatCode>
                <c:ptCount val="9"/>
              </c:numCache>
            </c:numRef>
          </c:cat>
          <c:val>
            <c:numRef>
              <c:f>'IX.1.a SDSS Definiciones'!$J$3:$J$11</c:f>
              <c:numCache>
                <c:formatCode>_([$€-2]* #,##0_);_([$€-2]* \(#,##0\);_([$€-2]* "-"??_)</c:formatCode>
                <c:ptCount val="9"/>
              </c:numCache>
            </c:numRef>
          </c:val>
        </c:ser>
        <c:ser>
          <c:idx val="2"/>
          <c:order val="2"/>
          <c:tx>
            <c:strRef>
              <c:f>'IX.1.a SDSS Definiciones'!$K$2</c:f>
              <c:strCache>
                <c:ptCount val="1"/>
              </c:strCache>
            </c:strRef>
          </c:tx>
          <c:spPr>
            <a:solidFill>
              <a:schemeClr val="accent6">
                <a:lumMod val="75000"/>
              </a:schemeClr>
            </a:solidFill>
          </c:spPr>
          <c:invertIfNegative val="0"/>
          <c:dLbls>
            <c:dLbl>
              <c:idx val="6"/>
              <c:layout>
                <c:manualLayout>
                  <c:x val="1.1313132752804614E-2"/>
                  <c:y val="-9.8009178906881735E-3"/>
                </c:manualLayout>
              </c:layout>
              <c:tx>
                <c:rich>
                  <a:bodyPr/>
                  <a:lstStyle/>
                  <a:p>
                    <a:r>
                      <a:rPr lang="en-US"/>
                      <a:t>0.67%</a:t>
                    </a:r>
                  </a:p>
                </c:rich>
              </c:tx>
              <c:showLegendKey val="0"/>
              <c:showVal val="0"/>
              <c:showCatName val="0"/>
              <c:showSerName val="0"/>
              <c:showPercent val="0"/>
              <c:showBubbleSize val="0"/>
              <c:extLst>
                <c:ext xmlns:c15="http://schemas.microsoft.com/office/drawing/2012/chart" uri="{CE6537A1-D6FC-4f65-9D91-7224C49458BB}"/>
              </c:extLst>
            </c:dLbl>
            <c:dLbl>
              <c:idx val="7"/>
              <c:layout>
                <c:manualLayout>
                  <c:x val="1.2929294574633838E-2"/>
                  <c:y val="-7.3506884180160933E-3"/>
                </c:manualLayout>
              </c:layout>
              <c:tx>
                <c:rich>
                  <a:bodyPr/>
                  <a:lstStyle/>
                  <a:p>
                    <a:r>
                      <a:rPr lang="en-US"/>
                      <a:t>0.64%</a:t>
                    </a:r>
                  </a:p>
                </c:rich>
              </c:tx>
              <c:showLegendKey val="0"/>
              <c:showVal val="0"/>
              <c:showCatName val="0"/>
              <c:showSerName val="0"/>
              <c:showPercent val="0"/>
              <c:showBubbleSize val="0"/>
              <c:extLst>
                <c:ext xmlns:c15="http://schemas.microsoft.com/office/drawing/2012/chart" uri="{CE6537A1-D6FC-4f65-9D91-7224C49458BB}"/>
              </c:extLst>
            </c:dLbl>
            <c:dLbl>
              <c:idx val="8"/>
              <c:layout>
                <c:manualLayout>
                  <c:x val="1.6161618218292366E-2"/>
                  <c:y val="-7.3506884180160534E-3"/>
                </c:manualLayout>
              </c:layout>
              <c:tx>
                <c:rich>
                  <a:bodyPr/>
                  <a:lstStyle/>
                  <a:p>
                    <a:pPr>
                      <a:defRPr sz="1400" b="1"/>
                    </a:pPr>
                    <a:r>
                      <a:rPr lang="en-US" b="1"/>
                      <a:t>0.64%</a:t>
                    </a:r>
                  </a:p>
                </c:rich>
              </c:tx>
              <c:spPr/>
              <c:showLegendKey val="0"/>
              <c:showVal val="0"/>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'IX.1.a SDSS Definiciones'!$A$3:$A$11</c:f>
              <c:numCache>
                <c:formatCode>_([$€-2]* #,##0_);_([$€-2]* \(#,##0\);_([$€-2]* "-"??_)</c:formatCode>
                <c:ptCount val="9"/>
              </c:numCache>
            </c:numRef>
          </c:cat>
          <c:val>
            <c:numRef>
              <c:f>'IX.1.a SDSS Definiciones'!$K$3:$K$11</c:f>
              <c:numCache>
                <c:formatCode>_([$€-2]* #,##0_);_([$€-2]* \(#,##0\);_([$€-2]* "-"??_)</c:formatCode>
                <c:ptCount val="9"/>
              </c:numCache>
            </c:numRef>
          </c:val>
        </c:ser>
        <c:dLbls>
          <c:showLegendKey val="0"/>
          <c:showVal val="0"/>
          <c:showCatName val="0"/>
          <c:showSerName val="0"/>
          <c:showPercent val="0"/>
          <c:showBubbleSize val="0"/>
        </c:dLbls>
        <c:gapWidth val="22"/>
        <c:shape val="cylinder"/>
        <c:axId val="367268776"/>
        <c:axId val="367271520"/>
        <c:axId val="0"/>
      </c:bar3DChart>
      <c:catAx>
        <c:axId val="367268776"/>
        <c:scaling>
          <c:orientation val="minMax"/>
        </c:scaling>
        <c:delete val="0"/>
        <c:axPos val="b"/>
        <c:numFmt formatCode="_([$€-2]* #,##0_);_([$€-2]* \(#,##0\);_([$€-2]* &quot;-&quot;??_)" sourceLinked="1"/>
        <c:majorTickMark val="none"/>
        <c:minorTickMark val="none"/>
        <c:tickLblPos val="nextTo"/>
        <c:crossAx val="367271520"/>
        <c:crosses val="autoZero"/>
        <c:auto val="1"/>
        <c:lblAlgn val="ctr"/>
        <c:lblOffset val="100"/>
        <c:noMultiLvlLbl val="0"/>
      </c:catAx>
      <c:valAx>
        <c:axId val="367271520"/>
        <c:scaling>
          <c:orientation val="minMax"/>
        </c:scaling>
        <c:delete val="0"/>
        <c:axPos val="l"/>
        <c:numFmt formatCode="_([$€-2]* #,##0_);_([$€-2]* \(#,##0\);_([$€-2]* &quot;-&quot;??_)" sourceLinked="1"/>
        <c:majorTickMark val="none"/>
        <c:minorTickMark val="none"/>
        <c:tickLblPos val="none"/>
        <c:spPr>
          <a:ln w="9525">
            <a:noFill/>
          </a:ln>
        </c:spPr>
        <c:crossAx val="367268776"/>
        <c:crosses val="autoZero"/>
        <c:crossBetween val="between"/>
      </c:valAx>
      <c:spPr>
        <a:noFill/>
        <a:ln w="25400">
          <a:noFill/>
        </a:ln>
      </c:spPr>
    </c:plotArea>
    <c:legend>
      <c:legendPos val="b"/>
      <c:layout>
        <c:manualLayout>
          <c:xMode val="edge"/>
          <c:yMode val="edge"/>
          <c:x val="6.7226792181703547E-3"/>
          <c:y val="0.10354869443139628"/>
          <c:w val="0.99327732078182962"/>
          <c:h val="4.8241735202715436E-2"/>
        </c:manualLayout>
      </c:layout>
      <c:overlay val="0"/>
      <c:txPr>
        <a:bodyPr/>
        <a:lstStyle/>
        <a:p>
          <a:pPr>
            <a:defRPr sz="1400"/>
          </a:pPr>
          <a:endParaRPr lang="es-ES"/>
        </a:p>
      </c:txPr>
    </c:legend>
    <c:plotVisOnly val="1"/>
    <c:dispBlanksAs val="gap"/>
    <c:showDLblsOverMax val="0"/>
  </c:chart>
  <c:spPr>
    <a:ln>
      <a:solidFill>
        <a:schemeClr val="tx1"/>
      </a:solidFill>
    </a:ln>
  </c:spPr>
  <c:printSettings>
    <c:headerFooter/>
    <c:pageMargins b="0.750000000000003" l="0.70000000000000062" r="0.70000000000000062" t="0.750000000000003" header="0.30000000000000032" footer="0.30000000000000032"/>
    <c:pageSetup/>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pPr>
            <a:r>
              <a:rPr lang="en-US" sz="2400"/>
              <a:t>Afiliación Mensual por Tipo</a:t>
            </a:r>
          </a:p>
        </c:rich>
      </c:tx>
      <c:layout/>
      <c:overlay val="0"/>
      <c:spPr>
        <a:ln>
          <a:noFill/>
        </a:ln>
      </c:spPr>
    </c:title>
    <c:autoTitleDeleted val="0"/>
    <c:plotArea>
      <c:layout>
        <c:manualLayout>
          <c:layoutTarget val="inner"/>
          <c:xMode val="edge"/>
          <c:yMode val="edge"/>
          <c:x val="4.4144730192768815E-2"/>
          <c:y val="0.18869561813765542"/>
          <c:w val="0.91929525535234946"/>
          <c:h val="0.67901880219379696"/>
        </c:manualLayout>
      </c:layout>
      <c:barChart>
        <c:barDir val="col"/>
        <c:grouping val="clustered"/>
        <c:varyColors val="0"/>
        <c:ser>
          <c:idx val="0"/>
          <c:order val="0"/>
          <c:tx>
            <c:strRef>
              <c:f>'III.2.3. Afil. SFS RC Mensual'!$B$3</c:f>
              <c:strCache>
                <c:ptCount val="1"/>
                <c:pt idx="0">
                  <c:v>Afiliados Titulares RC</c:v>
                </c:pt>
              </c:strCache>
            </c:strRef>
          </c:tx>
          <c:spPr>
            <a:solidFill>
              <a:srgbClr val="0070C0"/>
            </a:solidFill>
          </c:spPr>
          <c:invertIfNegative val="0"/>
          <c:dLbls>
            <c:spPr>
              <a:noFill/>
              <a:ln>
                <a:noFill/>
              </a:ln>
              <a:effectLst/>
            </c:spPr>
            <c:txPr>
              <a:bodyPr/>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'III.2.3. Afil. SFS RC Mensual'!$A$4:$A$16</c:f>
              <c:strCache>
                <c:ptCount val="13"/>
                <c:pt idx="0">
                  <c:v>Nov.14</c:v>
                </c:pt>
                <c:pt idx="1">
                  <c:v>Dic.14</c:v>
                </c:pt>
                <c:pt idx="2">
                  <c:v>Ene.15</c:v>
                </c:pt>
                <c:pt idx="3">
                  <c:v>Feb.15</c:v>
                </c:pt>
                <c:pt idx="4">
                  <c:v>Mar.15</c:v>
                </c:pt>
                <c:pt idx="5">
                  <c:v>Abr.15</c:v>
                </c:pt>
                <c:pt idx="6">
                  <c:v>May.15</c:v>
                </c:pt>
                <c:pt idx="7">
                  <c:v>Jun.15</c:v>
                </c:pt>
                <c:pt idx="8">
                  <c:v>Jul.15</c:v>
                </c:pt>
                <c:pt idx="9">
                  <c:v>Ago.15</c:v>
                </c:pt>
                <c:pt idx="10">
                  <c:v>Sep.15</c:v>
                </c:pt>
                <c:pt idx="11">
                  <c:v>Oct.15</c:v>
                </c:pt>
                <c:pt idx="12">
                  <c:v>Nov.15</c:v>
                </c:pt>
              </c:strCache>
            </c:strRef>
          </c:cat>
          <c:val>
            <c:numRef>
              <c:f>'III.2.3. Afil. SFS RC Mensual'!$B$4:$B$16</c:f>
              <c:numCache>
                <c:formatCode>#,##0</c:formatCode>
                <c:ptCount val="13"/>
                <c:pt idx="0">
                  <c:v>1417590</c:v>
                </c:pt>
                <c:pt idx="1">
                  <c:v>1422986</c:v>
                </c:pt>
                <c:pt idx="2">
                  <c:v>1426010</c:v>
                </c:pt>
                <c:pt idx="3">
                  <c:v>1423951</c:v>
                </c:pt>
                <c:pt idx="4">
                  <c:v>1434238</c:v>
                </c:pt>
                <c:pt idx="5">
                  <c:v>1461443</c:v>
                </c:pt>
                <c:pt idx="6">
                  <c:v>1477288</c:v>
                </c:pt>
                <c:pt idx="7">
                  <c:v>1485480</c:v>
                </c:pt>
                <c:pt idx="8">
                  <c:v>1488733</c:v>
                </c:pt>
                <c:pt idx="9">
                  <c:v>1494881</c:v>
                </c:pt>
                <c:pt idx="10">
                  <c:v>1486725</c:v>
                </c:pt>
                <c:pt idx="11">
                  <c:v>1507727</c:v>
                </c:pt>
                <c:pt idx="12">
                  <c:v>1516835</c:v>
                </c:pt>
              </c:numCache>
            </c:numRef>
          </c:val>
        </c:ser>
        <c:ser>
          <c:idx val="1"/>
          <c:order val="1"/>
          <c:tx>
            <c:strRef>
              <c:f>'III.2.3. Afil. SFS RC Mensual'!$C$3</c:f>
              <c:strCache>
                <c:ptCount val="1"/>
                <c:pt idx="0">
                  <c:v>Dependientes  Totales RC</c:v>
                </c:pt>
              </c:strCache>
            </c:strRef>
          </c:tx>
          <c:spPr>
            <a:solidFill>
              <a:schemeClr val="accent3">
                <a:lumMod val="75000"/>
              </a:schemeClr>
            </a:solidFill>
          </c:spPr>
          <c:invertIfNegative val="0"/>
          <c:dLbls>
            <c:spPr>
              <a:noFill/>
              <a:ln>
                <a:noFill/>
              </a:ln>
              <a:effectLst/>
            </c:spPr>
            <c:txPr>
              <a:bodyPr/>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'III.2.3. Afil. SFS RC Mensual'!$A$4:$A$16</c:f>
              <c:strCache>
                <c:ptCount val="13"/>
                <c:pt idx="0">
                  <c:v>Nov.14</c:v>
                </c:pt>
                <c:pt idx="1">
                  <c:v>Dic.14</c:v>
                </c:pt>
                <c:pt idx="2">
                  <c:v>Ene.15</c:v>
                </c:pt>
                <c:pt idx="3">
                  <c:v>Feb.15</c:v>
                </c:pt>
                <c:pt idx="4">
                  <c:v>Mar.15</c:v>
                </c:pt>
                <c:pt idx="5">
                  <c:v>Abr.15</c:v>
                </c:pt>
                <c:pt idx="6">
                  <c:v>May.15</c:v>
                </c:pt>
                <c:pt idx="7">
                  <c:v>Jun.15</c:v>
                </c:pt>
                <c:pt idx="8">
                  <c:v>Jul.15</c:v>
                </c:pt>
                <c:pt idx="9">
                  <c:v>Ago.15</c:v>
                </c:pt>
                <c:pt idx="10">
                  <c:v>Sep.15</c:v>
                </c:pt>
                <c:pt idx="11">
                  <c:v>Oct.15</c:v>
                </c:pt>
                <c:pt idx="12">
                  <c:v>Nov.15</c:v>
                </c:pt>
              </c:strCache>
            </c:strRef>
          </c:cat>
          <c:val>
            <c:numRef>
              <c:f>'III.2.3. Afil. SFS RC Mensual'!$C$4:$C$16</c:f>
              <c:numCache>
                <c:formatCode>#,##0</c:formatCode>
                <c:ptCount val="13"/>
                <c:pt idx="0">
                  <c:v>1710872</c:v>
                </c:pt>
                <c:pt idx="1">
                  <c:v>1718613</c:v>
                </c:pt>
                <c:pt idx="2">
                  <c:v>1729358</c:v>
                </c:pt>
                <c:pt idx="3">
                  <c:v>1733404</c:v>
                </c:pt>
                <c:pt idx="4">
                  <c:v>1761412</c:v>
                </c:pt>
                <c:pt idx="5">
                  <c:v>1778444</c:v>
                </c:pt>
                <c:pt idx="6">
                  <c:v>1792702</c:v>
                </c:pt>
                <c:pt idx="7">
                  <c:v>1799501</c:v>
                </c:pt>
                <c:pt idx="8">
                  <c:v>1799441</c:v>
                </c:pt>
                <c:pt idx="9">
                  <c:v>1809200</c:v>
                </c:pt>
                <c:pt idx="10">
                  <c:v>1811197</c:v>
                </c:pt>
                <c:pt idx="11">
                  <c:v>1828003</c:v>
                </c:pt>
                <c:pt idx="12">
                  <c:v>1835864</c:v>
                </c:pt>
              </c:numCache>
            </c:numRef>
          </c:val>
        </c:ser>
        <c:dLbls>
          <c:showLegendKey val="0"/>
          <c:showVal val="0"/>
          <c:showCatName val="0"/>
          <c:showSerName val="0"/>
          <c:showPercent val="0"/>
          <c:showBubbleSize val="0"/>
        </c:dLbls>
        <c:gapWidth val="17"/>
        <c:axId val="379983376"/>
        <c:axId val="380010032"/>
      </c:barChart>
      <c:lineChart>
        <c:grouping val="standard"/>
        <c:varyColors val="0"/>
        <c:ser>
          <c:idx val="2"/>
          <c:order val="2"/>
          <c:tx>
            <c:strRef>
              <c:f>'III.2.3. Afil. SFS RC Mensual'!$G$3</c:f>
              <c:strCache>
                <c:ptCount val="1"/>
                <c:pt idx="0">
                  <c:v>Indice de dependencia</c:v>
                </c:pt>
              </c:strCache>
            </c:strRef>
          </c:tx>
          <c:spPr>
            <a:ln>
              <a:noFill/>
            </a:ln>
            <a:effectLst>
              <a:glow rad="228600">
                <a:schemeClr val="accent2">
                  <a:satMod val="175000"/>
                  <a:alpha val="40000"/>
                </a:schemeClr>
              </a:glow>
            </a:effectLst>
          </c:spPr>
          <c:marker>
            <c:symbol val="triangle"/>
            <c:size val="12"/>
            <c:spPr>
              <a:solidFill>
                <a:srgbClr val="FF0000"/>
              </a:solidFill>
              <a:ln>
                <a:noFill/>
              </a:ln>
              <a:effectLst>
                <a:glow rad="228600">
                  <a:schemeClr val="accent2">
                    <a:satMod val="175000"/>
                    <a:alpha val="40000"/>
                  </a:schemeClr>
                </a:glow>
              </a:effectLst>
            </c:spPr>
          </c:marker>
          <c:dLbls>
            <c:dLbl>
              <c:idx val="0"/>
              <c:layout>
                <c:manualLayout>
                  <c:x val="2.5114155702623876E-3"/>
                  <c:y val="8.5669791387986884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8835616776967906E-3"/>
                  <c:y val="-1.713395827759737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3278046905578423E-2"/>
                  <c:y val="-3.581398189455663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3413265764879145E-2"/>
                  <c:y val="-3.944691335987664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1.2557077851311938E-3"/>
                  <c:y val="5.140187483279212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1.8835616776967906E-3"/>
                  <c:y val="6.853583311038950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3.1392694628279844E-3"/>
                  <c:y val="1.542042753678033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6.2785389256559689E-4"/>
                  <c:y val="6.853583311038950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9.2084173812053818E-17"/>
                  <c:y val="8.5669791387986884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3.1392694628279844E-3"/>
                  <c:y val="6.853583311038950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6.2785389256559689E-4"/>
                  <c:y val="1.199377079431816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1.2557077851311938E-3"/>
                  <c:y val="1.542056244983763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2"/>
              <c:layout>
                <c:manualLayout>
                  <c:x val="-6.2785389256559689E-4"/>
                  <c:y val="-1.7198152663794763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'III.2.3. Afil. SFS RC Mensual'!$A$4:$A$16</c:f>
              <c:strCache>
                <c:ptCount val="13"/>
                <c:pt idx="0">
                  <c:v>Nov.14</c:v>
                </c:pt>
                <c:pt idx="1">
                  <c:v>Dic.14</c:v>
                </c:pt>
                <c:pt idx="2">
                  <c:v>Ene.15</c:v>
                </c:pt>
                <c:pt idx="3">
                  <c:v>Feb.15</c:v>
                </c:pt>
                <c:pt idx="4">
                  <c:v>Mar.15</c:v>
                </c:pt>
                <c:pt idx="5">
                  <c:v>Abr.15</c:v>
                </c:pt>
                <c:pt idx="6">
                  <c:v>May.15</c:v>
                </c:pt>
                <c:pt idx="7">
                  <c:v>Jun.15</c:v>
                </c:pt>
                <c:pt idx="8">
                  <c:v>Jul.15</c:v>
                </c:pt>
                <c:pt idx="9">
                  <c:v>Ago.15</c:v>
                </c:pt>
                <c:pt idx="10">
                  <c:v>Sep.15</c:v>
                </c:pt>
                <c:pt idx="11">
                  <c:v>Oct.15</c:v>
                </c:pt>
                <c:pt idx="12">
                  <c:v>Nov.15</c:v>
                </c:pt>
              </c:strCache>
            </c:strRef>
          </c:cat>
          <c:val>
            <c:numRef>
              <c:f>'III.2.3. Afil. SFS RC Mensual'!$G$4:$G$16</c:f>
              <c:numCache>
                <c:formatCode>0.00</c:formatCode>
                <c:ptCount val="13"/>
                <c:pt idx="0">
                  <c:v>1.2068877461043037</c:v>
                </c:pt>
                <c:pt idx="1">
                  <c:v>1.2077511655068989</c:v>
                </c:pt>
                <c:pt idx="2">
                  <c:v>1.2127250159536047</c:v>
                </c:pt>
                <c:pt idx="3">
                  <c:v>1.2173199780048611</c:v>
                </c:pt>
                <c:pt idx="4">
                  <c:v>1.2281169513009695</c:v>
                </c:pt>
                <c:pt idx="5">
                  <c:v>1.2169095886736603</c:v>
                </c:pt>
                <c:pt idx="6">
                  <c:v>1.2135088080320153</c:v>
                </c:pt>
                <c:pt idx="7">
                  <c:v>1.211393623609877</c:v>
                </c:pt>
                <c:pt idx="8">
                  <c:v>1.2087063294761384</c:v>
                </c:pt>
                <c:pt idx="9">
                  <c:v>1.2102635594405173</c:v>
                </c:pt>
                <c:pt idx="10">
                  <c:v>1.2182461450503623</c:v>
                </c:pt>
                <c:pt idx="11">
                  <c:v>1.2124230712854516</c:v>
                </c:pt>
                <c:pt idx="12">
                  <c:v>1.210325447395399</c:v>
                </c:pt>
              </c:numCache>
            </c:numRef>
          </c:val>
          <c:smooth val="0"/>
        </c:ser>
        <c:dLbls>
          <c:showLegendKey val="0"/>
          <c:showVal val="0"/>
          <c:showCatName val="0"/>
          <c:showSerName val="0"/>
          <c:showPercent val="0"/>
          <c:showBubbleSize val="0"/>
        </c:dLbls>
        <c:marker val="1"/>
        <c:smooth val="0"/>
        <c:axId val="379999840"/>
        <c:axId val="379988080"/>
      </c:lineChart>
      <c:catAx>
        <c:axId val="379983376"/>
        <c:scaling>
          <c:orientation val="minMax"/>
        </c:scaling>
        <c:delete val="0"/>
        <c:axPos val="b"/>
        <c:numFmt formatCode="General" sourceLinked="1"/>
        <c:majorTickMark val="none"/>
        <c:minorTickMark val="none"/>
        <c:tickLblPos val="nextTo"/>
        <c:txPr>
          <a:bodyPr/>
          <a:lstStyle/>
          <a:p>
            <a:pPr>
              <a:defRPr sz="1600"/>
            </a:pPr>
            <a:endParaRPr lang="es-ES"/>
          </a:p>
        </c:txPr>
        <c:crossAx val="380010032"/>
        <c:crosses val="autoZero"/>
        <c:auto val="1"/>
        <c:lblAlgn val="ctr"/>
        <c:lblOffset val="100"/>
        <c:noMultiLvlLbl val="0"/>
      </c:catAx>
      <c:valAx>
        <c:axId val="380010032"/>
        <c:scaling>
          <c:orientation val="minMax"/>
        </c:scaling>
        <c:delete val="0"/>
        <c:axPos val="l"/>
        <c:numFmt formatCode="#,##0" sourceLinked="1"/>
        <c:majorTickMark val="none"/>
        <c:minorTickMark val="none"/>
        <c:tickLblPos val="nextTo"/>
        <c:spPr>
          <a:ln w="9525">
            <a:noFill/>
          </a:ln>
        </c:spPr>
        <c:crossAx val="379983376"/>
        <c:crosses val="autoZero"/>
        <c:crossBetween val="between"/>
      </c:valAx>
      <c:valAx>
        <c:axId val="379988080"/>
        <c:scaling>
          <c:orientation val="minMax"/>
        </c:scaling>
        <c:delete val="0"/>
        <c:axPos val="r"/>
        <c:numFmt formatCode="0.00" sourceLinked="1"/>
        <c:majorTickMark val="out"/>
        <c:minorTickMark val="none"/>
        <c:tickLblPos val="nextTo"/>
        <c:crossAx val="379999840"/>
        <c:crosses val="max"/>
        <c:crossBetween val="between"/>
      </c:valAx>
      <c:catAx>
        <c:axId val="379999840"/>
        <c:scaling>
          <c:orientation val="minMax"/>
        </c:scaling>
        <c:delete val="1"/>
        <c:axPos val="b"/>
        <c:numFmt formatCode="General" sourceLinked="1"/>
        <c:majorTickMark val="out"/>
        <c:minorTickMark val="none"/>
        <c:tickLblPos val="nextTo"/>
        <c:crossAx val="379988080"/>
        <c:crosses val="autoZero"/>
        <c:auto val="1"/>
        <c:lblAlgn val="ctr"/>
        <c:lblOffset val="100"/>
        <c:noMultiLvlLbl val="0"/>
      </c:catAx>
    </c:plotArea>
    <c:legend>
      <c:legendPos val="t"/>
      <c:layout>
        <c:manualLayout>
          <c:xMode val="edge"/>
          <c:yMode val="edge"/>
          <c:x val="0.21075403967126954"/>
          <c:y val="8.308512316824071E-2"/>
          <c:w val="0.57158552783923933"/>
          <c:h val="6.8418026349098507E-2"/>
        </c:manualLayout>
      </c:layout>
      <c:overlay val="0"/>
      <c:txPr>
        <a:bodyPr/>
        <a:lstStyle/>
        <a:p>
          <a:pPr>
            <a:defRPr sz="1800"/>
          </a:pPr>
          <a:endParaRPr lang="es-ES"/>
        </a:p>
      </c:txPr>
    </c:legend>
    <c:plotVisOnly val="1"/>
    <c:dispBlanksAs val="gap"/>
    <c:showDLblsOverMax val="0"/>
  </c:chart>
  <c:spPr>
    <a:ln>
      <a:noFill/>
    </a:ln>
    <a:scene3d>
      <a:camera prst="orthographicFront"/>
      <a:lightRig rig="threePt" dir="t">
        <a:rot lat="0" lon="0" rev="1800000"/>
      </a:lightRig>
    </a:scene3d>
  </c:spPr>
  <c:printSettings>
    <c:headerFooter/>
    <c:pageMargins b="0.75" l="0.7" r="0.7" t="0.75" header="0.3" footer="0.3"/>
    <c:pageSetup/>
  </c:printSettings>
</c:chartSpace>
</file>

<file path=xl/charts/chart11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800" b="1" i="0" u="none" strike="noStrike" baseline="0"/>
              <a:t>Afiliación Total  Vs. Cantidad de Cápitas Pagadas</a:t>
            </a:r>
            <a:endParaRPr lang="en-US"/>
          </a:p>
        </c:rich>
      </c:tx>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0.13034559141645771"/>
          <c:y val="0.23141158136482987"/>
          <c:w val="0.84206535721496367"/>
          <c:h val="0.6421594488189003"/>
        </c:manualLayout>
      </c:layout>
      <c:bar3DChart>
        <c:barDir val="col"/>
        <c:grouping val="clustered"/>
        <c:varyColors val="0"/>
        <c:ser>
          <c:idx val="0"/>
          <c:order val="0"/>
          <c:tx>
            <c:strRef>
              <c:f>'IX.1.a SDSS Definiciones'!$E$2</c:f>
              <c:strCache>
                <c:ptCount val="1"/>
              </c:strCache>
            </c:strRef>
          </c:tx>
          <c:invertIfNegative val="0"/>
          <c:dLbls>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'IX.1.a SDSS Definiciones'!$A$3:$A$11</c:f>
              <c:numCache>
                <c:formatCode>_([$€-2]* #,##0_);_([$€-2]* \(#,##0\);_([$€-2]* "-"??_)</c:formatCode>
                <c:ptCount val="9"/>
              </c:numCache>
            </c:numRef>
          </c:cat>
          <c:val>
            <c:numRef>
              <c:f>'IX.1.a SDSS Definiciones'!$E$3:$E$11</c:f>
              <c:numCache>
                <c:formatCode>_([$€-2]* #,##0_);_([$€-2]* \(#,##0\);_([$€-2]* "-"??_)</c:formatCode>
                <c:ptCount val="9"/>
              </c:numCache>
            </c:numRef>
          </c:val>
        </c:ser>
        <c:ser>
          <c:idx val="1"/>
          <c:order val="1"/>
          <c:tx>
            <c:strRef>
              <c:f>'IX.1.a SDSS Definiciones'!$L$2</c:f>
              <c:strCache>
                <c:ptCount val="1"/>
              </c:strCache>
            </c:strRef>
          </c:tx>
          <c:spPr>
            <a:solidFill>
              <a:srgbClr val="00B050"/>
            </a:solidFill>
          </c:spPr>
          <c:invertIfNegative val="0"/>
          <c:dLbls>
            <c:dLbl>
              <c:idx val="0"/>
              <c:layout>
                <c:manualLayout>
                  <c:x val="7.3260073260072965E-3"/>
                  <c:y val="-2.083333333333342E-3"/>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7.3260073260073303E-3"/>
                  <c:y val="0"/>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1.6117216117216171E-2"/>
                  <c:y val="-4.1666666666666683E-3"/>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1.4652014652014652E-2"/>
                  <c:y val="0"/>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2.197802197802199E-2"/>
                  <c:y val="0"/>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2.197802197802199E-2"/>
                  <c:y val="0"/>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1.9047619047619119E-2"/>
                  <c:y val="-2.083333333333342E-3"/>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1.9047619047619008E-2"/>
                  <c:y val="-2.083333333333342E-3"/>
                </c:manualLayout>
              </c:layout>
              <c:showLegendKey val="0"/>
              <c:showVal val="1"/>
              <c:showCatName val="0"/>
              <c:showSerName val="0"/>
              <c:showPercent val="0"/>
              <c:showBubbleSize val="0"/>
              <c:extLst>
                <c:ext xmlns:c15="http://schemas.microsoft.com/office/drawing/2012/chart" uri="{CE6537A1-D6FC-4f65-9D91-7224C49458BB}"/>
              </c:extLst>
            </c:dLbl>
            <c:dLbl>
              <c:idx val="8"/>
              <c:layout>
                <c:manualLayout>
                  <c:x val="1.6117216117216119E-2"/>
                  <c:y val="0"/>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'IX.1.a SDSS Definiciones'!$A$3:$A$11</c:f>
              <c:numCache>
                <c:formatCode>_([$€-2]* #,##0_);_([$€-2]* \(#,##0\);_([$€-2]* "-"??_)</c:formatCode>
                <c:ptCount val="9"/>
              </c:numCache>
            </c:numRef>
          </c:cat>
          <c:val>
            <c:numRef>
              <c:f>'IX.1.a SDSS Definiciones'!$L$3:$L$11</c:f>
              <c:numCache>
                <c:formatCode>_([$€-2]* #,##0_);_([$€-2]* \(#,##0\);_([$€-2]* "-"??_)</c:formatCode>
                <c:ptCount val="9"/>
              </c:numCache>
            </c:numRef>
          </c:val>
        </c:ser>
        <c:dLbls>
          <c:showLegendKey val="0"/>
          <c:showVal val="0"/>
          <c:showCatName val="0"/>
          <c:showSerName val="0"/>
          <c:showPercent val="0"/>
          <c:showBubbleSize val="0"/>
        </c:dLbls>
        <c:gapWidth val="150"/>
        <c:shape val="cylinder"/>
        <c:axId val="238022152"/>
        <c:axId val="238022544"/>
        <c:axId val="0"/>
      </c:bar3DChart>
      <c:catAx>
        <c:axId val="238022152"/>
        <c:scaling>
          <c:orientation val="minMax"/>
        </c:scaling>
        <c:delete val="0"/>
        <c:axPos val="b"/>
        <c:title>
          <c:layout/>
          <c:overlay val="0"/>
        </c:title>
        <c:numFmt formatCode="_([$€-2]* #,##0_);_([$€-2]* \(#,##0\);_([$€-2]* &quot;-&quot;??_)" sourceLinked="1"/>
        <c:majorTickMark val="none"/>
        <c:minorTickMark val="none"/>
        <c:tickLblPos val="nextTo"/>
        <c:crossAx val="238022544"/>
        <c:crosses val="autoZero"/>
        <c:auto val="1"/>
        <c:lblAlgn val="ctr"/>
        <c:lblOffset val="100"/>
        <c:noMultiLvlLbl val="0"/>
      </c:catAx>
      <c:valAx>
        <c:axId val="238022544"/>
        <c:scaling>
          <c:orientation val="minMax"/>
        </c:scaling>
        <c:delete val="0"/>
        <c:axPos val="l"/>
        <c:title>
          <c:layout/>
          <c:overlay val="0"/>
        </c:title>
        <c:numFmt formatCode="_([$€-2]* #,##0_);_([$€-2]* \(#,##0\);_([$€-2]* &quot;-&quot;??_)" sourceLinked="1"/>
        <c:majorTickMark val="out"/>
        <c:minorTickMark val="none"/>
        <c:tickLblPos val="nextTo"/>
        <c:crossAx val="238022152"/>
        <c:crosses val="autoZero"/>
        <c:crossBetween val="between"/>
        <c:dispUnits>
          <c:builtInUnit val="thousands"/>
          <c:dispUnitsLbl>
            <c:layout/>
          </c:dispUnitsLbl>
        </c:dispUnits>
      </c:valAx>
      <c:spPr>
        <a:noFill/>
        <a:ln w="25400">
          <a:noFill/>
        </a:ln>
      </c:spPr>
    </c:plotArea>
    <c:legend>
      <c:legendPos val="r"/>
      <c:layout>
        <c:manualLayout>
          <c:xMode val="edge"/>
          <c:yMode val="edge"/>
          <c:x val="0.33797871419918663"/>
          <c:y val="5.0842859348463797E-2"/>
          <c:w val="0.43931066309019068"/>
          <c:h val="7.5345499459626375E-2"/>
        </c:manualLayout>
      </c:layout>
      <c:overlay val="0"/>
    </c:legend>
    <c:plotVisOnly val="1"/>
    <c:dispBlanksAs val="gap"/>
    <c:showDLblsOverMax val="0"/>
  </c:chart>
  <c:printSettings>
    <c:headerFooter/>
    <c:pageMargins b="0.75000000000000178" l="0.70000000000000062" r="0.70000000000000062" t="0.75000000000000178" header="0.30000000000000032" footer="0.30000000000000032"/>
    <c:pageSetup/>
  </c:printSettings>
</c:chartSpace>
</file>

<file path=xl/charts/chart11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800" b="1" i="0" u="none" strike="noStrike" baseline="0"/>
              <a:t>Afiliación Total  Vs. Cantidad de Cápitas Pagadas</a:t>
            </a:r>
            <a:endParaRPr lang="en-US"/>
          </a:p>
        </c:rich>
      </c:tx>
      <c:layout/>
      <c:overlay val="0"/>
    </c:title>
    <c:autoTitleDeleted val="0"/>
    <c:plotArea>
      <c:layout>
        <c:manualLayout>
          <c:layoutTarget val="inner"/>
          <c:xMode val="edge"/>
          <c:yMode val="edge"/>
          <c:x val="9.6316556182059518E-2"/>
          <c:y val="7.0906036745406825E-2"/>
          <c:w val="0.90368344381793875"/>
          <c:h val="0.75941136931054354"/>
        </c:manualLayout>
      </c:layout>
      <c:lineChart>
        <c:grouping val="standard"/>
        <c:varyColors val="0"/>
        <c:ser>
          <c:idx val="0"/>
          <c:order val="0"/>
          <c:tx>
            <c:strRef>
              <c:f>'IX.1.a SDSS Definiciones'!$E$2</c:f>
              <c:strCache>
                <c:ptCount val="1"/>
              </c:strCache>
            </c:strRef>
          </c:tx>
          <c:dLbls>
            <c:dLbl>
              <c:idx val="0"/>
              <c:layout>
                <c:manualLayout>
                  <c:x val="-3.6241614568685278E-2"/>
                  <c:y val="-1.707317073170737E-2"/>
                </c:manualLayout>
              </c:layout>
              <c:dLblPos val="r"/>
              <c:showLegendKey val="0"/>
              <c:showVal val="1"/>
              <c:showCatName val="0"/>
              <c:showSerName val="0"/>
              <c:showPercent val="0"/>
              <c:showBubbleSize val="0"/>
              <c:extLst>
                <c:ext xmlns:c15="http://schemas.microsoft.com/office/drawing/2012/chart" uri="{CE6537A1-D6FC-4f65-9D91-7224C49458BB}"/>
              </c:extLst>
            </c:dLbl>
            <c:dLbl>
              <c:idx val="1"/>
              <c:layout>
                <c:manualLayout>
                  <c:x val="-5.3691280842496747E-2"/>
                  <c:y val="-2.4390243902438935E-2"/>
                </c:manualLayout>
              </c:layout>
              <c:dLblPos val="r"/>
              <c:showLegendKey val="0"/>
              <c:showVal val="1"/>
              <c:showCatName val="0"/>
              <c:showSerName val="0"/>
              <c:showPercent val="0"/>
              <c:showBubbleSize val="0"/>
              <c:extLst>
                <c:ext xmlns:c15="http://schemas.microsoft.com/office/drawing/2012/chart" uri="{CE6537A1-D6FC-4f65-9D91-7224C49458BB}"/>
              </c:extLst>
            </c:dLbl>
            <c:dLbl>
              <c:idx val="2"/>
              <c:layout>
                <c:manualLayout>
                  <c:x val="-5.9060408926746563E-2"/>
                  <c:y val="-2.1951219512195239E-2"/>
                </c:manualLayout>
              </c:layout>
              <c:dLblPos val="r"/>
              <c:showLegendKey val="0"/>
              <c:showVal val="1"/>
              <c:showCatName val="0"/>
              <c:showSerName val="0"/>
              <c:showPercent val="0"/>
              <c:showBubbleSize val="0"/>
              <c:extLst>
                <c:ext xmlns:c15="http://schemas.microsoft.com/office/drawing/2012/chart" uri="{CE6537A1-D6FC-4f65-9D91-7224C49458BB}"/>
              </c:extLst>
            </c:dLbl>
            <c:dLbl>
              <c:idx val="3"/>
              <c:layout>
                <c:manualLayout>
                  <c:x val="-5.5033562863558982E-2"/>
                  <c:y val="-2.6829268292682926E-2"/>
                </c:manualLayout>
              </c:layout>
              <c:dLblPos val="r"/>
              <c:showLegendKey val="0"/>
              <c:showVal val="1"/>
              <c:showCatName val="0"/>
              <c:showSerName val="0"/>
              <c:showPercent val="0"/>
              <c:showBubbleSize val="0"/>
              <c:extLst>
                <c:ext xmlns:c15="http://schemas.microsoft.com/office/drawing/2012/chart" uri="{CE6537A1-D6FC-4f65-9D91-7224C49458BB}"/>
              </c:extLst>
            </c:dLbl>
            <c:dLbl>
              <c:idx val="4"/>
              <c:layout>
                <c:manualLayout>
                  <c:x val="-5.7718126905683967E-2"/>
                  <c:y val="-1.9512195121951223E-2"/>
                </c:manualLayout>
              </c:layout>
              <c:dLblPos val="r"/>
              <c:showLegendKey val="0"/>
              <c:showVal val="1"/>
              <c:showCatName val="0"/>
              <c:showSerName val="0"/>
              <c:showPercent val="0"/>
              <c:showBubbleSize val="0"/>
              <c:extLst>
                <c:ext xmlns:c15="http://schemas.microsoft.com/office/drawing/2012/chart" uri="{CE6537A1-D6FC-4f65-9D91-7224C49458BB}"/>
              </c:extLst>
            </c:dLbl>
            <c:dLbl>
              <c:idx val="5"/>
              <c:layout>
                <c:manualLayout>
                  <c:x val="-6.7114101053120878E-2"/>
                  <c:y val="-2.4390243902439025E-2"/>
                </c:manualLayout>
              </c:layout>
              <c:dLblPos val="r"/>
              <c:showLegendKey val="0"/>
              <c:showVal val="1"/>
              <c:showCatName val="0"/>
              <c:showSerName val="0"/>
              <c:showPercent val="0"/>
              <c:showBubbleSize val="0"/>
              <c:extLst>
                <c:ext xmlns:c15="http://schemas.microsoft.com/office/drawing/2012/chart" uri="{CE6537A1-D6FC-4f65-9D91-7224C49458BB}"/>
              </c:extLst>
            </c:dLbl>
            <c:dLbl>
              <c:idx val="6"/>
              <c:layout>
                <c:manualLayout>
                  <c:x val="-6.4429537010995824E-2"/>
                  <c:y val="-2.9268292682926911E-2"/>
                </c:manualLayout>
              </c:layout>
              <c:dLblPos val="r"/>
              <c:showLegendKey val="0"/>
              <c:showVal val="1"/>
              <c:showCatName val="0"/>
              <c:showSerName val="0"/>
              <c:showPercent val="0"/>
              <c:showBubbleSize val="0"/>
              <c:extLst>
                <c:ext xmlns:c15="http://schemas.microsoft.com/office/drawing/2012/chart" uri="{CE6537A1-D6FC-4f65-9D91-7224C49458BB}"/>
              </c:extLst>
            </c:dLbl>
            <c:dLbl>
              <c:idx val="7"/>
              <c:layout>
                <c:manualLayout>
                  <c:x val="-6.7114101053120878E-2"/>
                  <c:y val="-1.9512195121951223E-2"/>
                </c:manualLayout>
              </c:layout>
              <c:dLblPos val="r"/>
              <c:showLegendKey val="0"/>
              <c:showVal val="1"/>
              <c:showCatName val="0"/>
              <c:showSerName val="0"/>
              <c:showPercent val="0"/>
              <c:showBubbleSize val="0"/>
              <c:extLst>
                <c:ext xmlns:c15="http://schemas.microsoft.com/office/drawing/2012/chart" uri="{CE6537A1-D6FC-4f65-9D91-7224C49458BB}"/>
              </c:extLst>
            </c:dLbl>
            <c:dLbl>
              <c:idx val="8"/>
              <c:layout>
                <c:manualLayout>
                  <c:x val="-5.100671680037188E-2"/>
                  <c:y val="-1.9512195121951223E-2"/>
                </c:manualLayout>
              </c:layout>
              <c:dLblPos val="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'IX.1.a SDSS Definiciones'!$A$3:$A$11</c:f>
              <c:numCache>
                <c:formatCode>_([$€-2]* #,##0_);_([$€-2]* \(#,##0\);_([$€-2]* "-"??_)</c:formatCode>
                <c:ptCount val="9"/>
              </c:numCache>
            </c:numRef>
          </c:cat>
          <c:val>
            <c:numRef>
              <c:f>'IX.1.a SDSS Definiciones'!$E$3:$E$11</c:f>
              <c:numCache>
                <c:formatCode>_([$€-2]* #,##0_);_([$€-2]* \(#,##0\);_([$€-2]* "-"??_)</c:formatCode>
                <c:ptCount val="9"/>
              </c:numCache>
            </c:numRef>
          </c:val>
          <c:smooth val="0"/>
        </c:ser>
        <c:ser>
          <c:idx val="1"/>
          <c:order val="1"/>
          <c:tx>
            <c:strRef>
              <c:f>'IX.1.a SDSS Definiciones'!$L$2</c:f>
              <c:strCache>
                <c:ptCount val="1"/>
              </c:strCache>
            </c:strRef>
          </c:tx>
          <c:dLbls>
            <c:dLbl>
              <c:idx val="0"/>
              <c:layout>
                <c:manualLayout>
                  <c:x val="-2.2818794358061022E-2"/>
                  <c:y val="-2.6829268292682926E-2"/>
                </c:manualLayout>
              </c:layout>
              <c:dLblPos val="r"/>
              <c:showLegendKey val="0"/>
              <c:showVal val="1"/>
              <c:showCatName val="0"/>
              <c:showSerName val="0"/>
              <c:showPercent val="0"/>
              <c:showBubbleSize val="0"/>
              <c:extLst>
                <c:ext xmlns:c15="http://schemas.microsoft.com/office/drawing/2012/chart" uri="{CE6537A1-D6FC-4f65-9D91-7224C49458BB}"/>
              </c:extLst>
            </c:dLbl>
            <c:dLbl>
              <c:idx val="1"/>
              <c:layout>
                <c:manualLayout>
                  <c:x val="-3.6241614568685257E-2"/>
                  <c:y val="-1.4634146341463415E-2"/>
                </c:manualLayout>
              </c:layout>
              <c:dLblPos val="r"/>
              <c:showLegendKey val="0"/>
              <c:showVal val="1"/>
              <c:showCatName val="0"/>
              <c:showSerName val="0"/>
              <c:showPercent val="0"/>
              <c:showBubbleSize val="0"/>
              <c:extLst>
                <c:ext xmlns:c15="http://schemas.microsoft.com/office/drawing/2012/chart" uri="{CE6537A1-D6FC-4f65-9D91-7224C49458BB}"/>
              </c:extLst>
            </c:dLbl>
            <c:dLbl>
              <c:idx val="2"/>
              <c:layout>
                <c:manualLayout>
                  <c:x val="-3.4899332547622869E-2"/>
                  <c:y val="-1.9512195121951313E-2"/>
                </c:manualLayout>
              </c:layout>
              <c:dLblPos val="r"/>
              <c:showLegendKey val="0"/>
              <c:showVal val="1"/>
              <c:showCatName val="0"/>
              <c:showSerName val="0"/>
              <c:showPercent val="0"/>
              <c:showBubbleSize val="0"/>
              <c:extLst>
                <c:ext xmlns:c15="http://schemas.microsoft.com/office/drawing/2012/chart" uri="{CE6537A1-D6FC-4f65-9D91-7224C49458BB}"/>
              </c:extLst>
            </c:dLbl>
            <c:dLbl>
              <c:idx val="3"/>
              <c:layout>
                <c:manualLayout>
                  <c:x val="-6.0402690947809062E-2"/>
                  <c:y val="-2.4390243902439042E-3"/>
                </c:manualLayout>
              </c:layout>
              <c:dLblPos val="r"/>
              <c:showLegendKey val="0"/>
              <c:showVal val="1"/>
              <c:showCatName val="0"/>
              <c:showSerName val="0"/>
              <c:showPercent val="0"/>
              <c:showBubbleSize val="0"/>
              <c:extLst>
                <c:ext xmlns:c15="http://schemas.microsoft.com/office/drawing/2012/chart" uri="{CE6537A1-D6FC-4f65-9D91-7224C49458BB}"/>
              </c:extLst>
            </c:dLbl>
            <c:dLbl>
              <c:idx val="4"/>
              <c:layout>
                <c:manualLayout>
                  <c:x val="-9.3959741474369252E-3"/>
                  <c:y val="2.4390243902439025E-2"/>
                </c:manualLayout>
              </c:layout>
              <c:dLblPos val="r"/>
              <c:showLegendKey val="0"/>
              <c:showVal val="1"/>
              <c:showCatName val="0"/>
              <c:showSerName val="0"/>
              <c:showPercent val="0"/>
              <c:showBubbleSize val="0"/>
              <c:extLst>
                <c:ext xmlns:c15="http://schemas.microsoft.com/office/drawing/2012/chart" uri="{CE6537A1-D6FC-4f65-9D91-7224C49458BB}"/>
              </c:extLst>
            </c:dLbl>
            <c:dLbl>
              <c:idx val="5"/>
              <c:layout>
                <c:manualLayout>
                  <c:x val="-3.6241614568685278E-2"/>
                  <c:y val="-2.4390243902439025E-2"/>
                </c:manualLayout>
              </c:layout>
              <c:dLblPos val="r"/>
              <c:showLegendKey val="0"/>
              <c:showVal val="1"/>
              <c:showCatName val="0"/>
              <c:showSerName val="0"/>
              <c:showPercent val="0"/>
              <c:showBubbleSize val="0"/>
              <c:extLst>
                <c:ext xmlns:c15="http://schemas.microsoft.com/office/drawing/2012/chart" uri="{CE6537A1-D6FC-4f65-9D91-7224C49458BB}"/>
              </c:extLst>
            </c:dLbl>
            <c:dLbl>
              <c:idx val="6"/>
              <c:layout>
                <c:manualLayout>
                  <c:x val="-4.4295306695059371E-2"/>
                  <c:y val="-2.6829268292682926E-2"/>
                </c:manualLayout>
              </c:layout>
              <c:dLblPos val="r"/>
              <c:showLegendKey val="0"/>
              <c:showVal val="1"/>
              <c:showCatName val="0"/>
              <c:showSerName val="0"/>
              <c:showPercent val="0"/>
              <c:showBubbleSize val="0"/>
              <c:extLst>
                <c:ext xmlns:c15="http://schemas.microsoft.com/office/drawing/2012/chart" uri="{CE6537A1-D6FC-4f65-9D91-7224C49458BB}"/>
              </c:extLst>
            </c:dLbl>
            <c:dLbl>
              <c:idx val="7"/>
              <c:layout>
                <c:manualLayout>
                  <c:x val="-4.2953024673997232E-2"/>
                  <c:y val="-2.4390243902439025E-2"/>
                </c:manualLayout>
              </c:layout>
              <c:dLblPos val="r"/>
              <c:showLegendKey val="0"/>
              <c:showVal val="1"/>
              <c:showCatName val="0"/>
              <c:showSerName val="0"/>
              <c:showPercent val="0"/>
              <c:showBubbleSize val="0"/>
              <c:extLst>
                <c:ext xmlns:c15="http://schemas.microsoft.com/office/drawing/2012/chart" uri="{CE6537A1-D6FC-4f65-9D91-7224C49458BB}"/>
              </c:extLst>
            </c:dLbl>
            <c:dLbl>
              <c:idx val="8"/>
              <c:layout>
                <c:manualLayout>
                  <c:x val="-4.0268460631872387E-2"/>
                  <c:y val="-2.9268292682926911E-2"/>
                </c:manualLayout>
              </c:layout>
              <c:dLblPos val="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'IX.1.a SDSS Definiciones'!$A$3:$A$11</c:f>
              <c:numCache>
                <c:formatCode>_([$€-2]* #,##0_);_([$€-2]* \(#,##0\);_([$€-2]* "-"??_)</c:formatCode>
                <c:ptCount val="9"/>
              </c:numCache>
            </c:numRef>
          </c:cat>
          <c:val>
            <c:numRef>
              <c:f>'IX.1.a SDSS Definiciones'!$L$3:$L$11</c:f>
              <c:numCache>
                <c:formatCode>_([$€-2]* #,##0_);_([$€-2]* \(#,##0\);_([$€-2]* "-"??_)</c:formatCode>
                <c:ptCount val="9"/>
              </c:numCache>
            </c:numRef>
          </c:val>
          <c:smooth val="0"/>
        </c:ser>
        <c:dLbls>
          <c:showLegendKey val="0"/>
          <c:showVal val="0"/>
          <c:showCatName val="0"/>
          <c:showSerName val="0"/>
          <c:showPercent val="0"/>
          <c:showBubbleSize val="0"/>
        </c:dLbls>
        <c:marker val="1"/>
        <c:smooth val="0"/>
        <c:axId val="238023328"/>
        <c:axId val="238023720"/>
      </c:lineChart>
      <c:catAx>
        <c:axId val="238023328"/>
        <c:scaling>
          <c:orientation val="minMax"/>
        </c:scaling>
        <c:delete val="0"/>
        <c:axPos val="b"/>
        <c:numFmt formatCode="_([$€-2]* #,##0_);_([$€-2]* \(#,##0\);_([$€-2]* &quot;-&quot;??_)" sourceLinked="1"/>
        <c:majorTickMark val="none"/>
        <c:minorTickMark val="none"/>
        <c:tickLblPos val="nextTo"/>
        <c:crossAx val="238023720"/>
        <c:crosses val="autoZero"/>
        <c:auto val="1"/>
        <c:lblAlgn val="ctr"/>
        <c:lblOffset val="100"/>
        <c:noMultiLvlLbl val="0"/>
      </c:catAx>
      <c:valAx>
        <c:axId val="238023720"/>
        <c:scaling>
          <c:orientation val="minMax"/>
        </c:scaling>
        <c:delete val="0"/>
        <c:axPos val="l"/>
        <c:numFmt formatCode="_([$€-2]* #,##0_);_([$€-2]* \(#,##0\);_([$€-2]* &quot;-&quot;??_)" sourceLinked="1"/>
        <c:majorTickMark val="none"/>
        <c:minorTickMark val="none"/>
        <c:tickLblPos val="nextTo"/>
        <c:spPr>
          <a:ln w="9525">
            <a:noFill/>
          </a:ln>
        </c:spPr>
        <c:crossAx val="238023328"/>
        <c:crosses val="autoZero"/>
        <c:crossBetween val="between"/>
        <c:dispUnits>
          <c:builtInUnit val="thousands"/>
          <c:dispUnitsLbl>
            <c:layout/>
          </c:dispUnitsLbl>
        </c:dispUnits>
      </c:valAx>
    </c:plotArea>
    <c:legend>
      <c:legendPos val="b"/>
      <c:layout/>
      <c:overlay val="0"/>
    </c:legend>
    <c:plotVisOnly val="1"/>
    <c:dispBlanksAs val="gap"/>
    <c:showDLblsOverMax val="0"/>
  </c:chart>
  <c:printSettings>
    <c:headerFooter/>
    <c:pageMargins b="0.75000000000000178" l="0.70000000000000062" r="0.70000000000000062" t="0.75000000000000178" header="0.30000000000000032" footer="0.30000000000000032"/>
    <c:pageSetup/>
  </c:printSettings>
</c:chartSpace>
</file>

<file path=xl/charts/chart11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Cantidad de Cápitas Pagadas al SFS</a:t>
            </a:r>
          </a:p>
        </c:rich>
      </c:tx>
      <c:layout>
        <c:manualLayout>
          <c:xMode val="edge"/>
          <c:yMode val="edge"/>
          <c:x val="0.28039590023314126"/>
          <c:y val="5.935081168443429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1.8487394957983197E-2"/>
          <c:y val="0.29187793875126028"/>
          <c:w val="0.96302521008403674"/>
          <c:h val="0.61286959070693858"/>
        </c:manualLayout>
      </c:layout>
      <c:bar3DChart>
        <c:barDir val="col"/>
        <c:grouping val="stacked"/>
        <c:varyColors val="0"/>
        <c:ser>
          <c:idx val="0"/>
          <c:order val="0"/>
          <c:tx>
            <c:strRef>
              <c:f>'IX.1.d SDSS Definiciones'!$I$2</c:f>
              <c:strCache>
                <c:ptCount val="1"/>
              </c:strCache>
            </c:strRef>
          </c:tx>
          <c:spPr>
            <a:solidFill>
              <a:schemeClr val="accent1">
                <a:lumMod val="75000"/>
              </a:schemeClr>
            </a:solidFill>
          </c:spPr>
          <c:invertIfNegative val="0"/>
          <c:dLbls>
            <c:dLbl>
              <c:idx val="4"/>
              <c:layout>
                <c:manualLayout>
                  <c:x val="1.7777780040121535E-2"/>
                  <c:y val="8.0857572598177538E-2"/>
                </c:manualLayout>
              </c:layout>
              <c:tx>
                <c:rich>
                  <a:bodyPr/>
                  <a:lstStyle/>
                  <a:p>
                    <a:r>
                      <a:rPr lang="en-US"/>
                      <a:t>62.42%</a:t>
                    </a:r>
                  </a:p>
                </c:rich>
              </c:tx>
              <c:showLegendKey val="0"/>
              <c:showVal val="0"/>
              <c:showCatName val="0"/>
              <c:showSerName val="0"/>
              <c:showPercent val="0"/>
              <c:showBubbleSize val="0"/>
              <c:extLst>
                <c:ext xmlns:c15="http://schemas.microsoft.com/office/drawing/2012/chart" uri="{CE6537A1-D6FC-4f65-9D91-7224C49458BB}"/>
              </c:extLst>
            </c:dLbl>
            <c:dLbl>
              <c:idx val="5"/>
              <c:layout>
                <c:manualLayout>
                  <c:x val="1.6161618218292366E-2"/>
                  <c:y val="9.4333834697873223E-2"/>
                </c:manualLayout>
              </c:layout>
              <c:tx>
                <c:rich>
                  <a:bodyPr/>
                  <a:lstStyle/>
                  <a:p>
                    <a:r>
                      <a:rPr lang="en-US"/>
                      <a:t>61.83%</a:t>
                    </a:r>
                  </a:p>
                </c:rich>
              </c:tx>
              <c:showLegendKey val="0"/>
              <c:showVal val="0"/>
              <c:showCatName val="0"/>
              <c:showSerName val="0"/>
              <c:showPercent val="0"/>
              <c:showBubbleSize val="0"/>
              <c:extLst>
                <c:ext xmlns:c15="http://schemas.microsoft.com/office/drawing/2012/chart" uri="{CE6537A1-D6FC-4f65-9D91-7224C49458BB}"/>
              </c:extLst>
            </c:dLbl>
            <c:dLbl>
              <c:idx val="6"/>
              <c:layout>
                <c:manualLayout>
                  <c:x val="1.1313132752804614E-2"/>
                  <c:y val="0.10658498206123376"/>
                </c:manualLayout>
              </c:layout>
              <c:tx>
                <c:rich>
                  <a:bodyPr/>
                  <a:lstStyle/>
                  <a:p>
                    <a:r>
                      <a:rPr lang="en-US"/>
                      <a:t>61.56%</a:t>
                    </a:r>
                  </a:p>
                </c:rich>
              </c:tx>
              <c:showLegendKey val="0"/>
              <c:showVal val="0"/>
              <c:showCatName val="0"/>
              <c:showSerName val="0"/>
              <c:showPercent val="0"/>
              <c:showBubbleSize val="0"/>
              <c:extLst>
                <c:ext xmlns:c15="http://schemas.microsoft.com/office/drawing/2012/chart" uri="{CE6537A1-D6FC-4f65-9D91-7224C49458BB}"/>
              </c:extLst>
            </c:dLbl>
            <c:dLbl>
              <c:idx val="7"/>
              <c:layout>
                <c:manualLayout>
                  <c:x val="1.1313132752804614E-2"/>
                  <c:y val="0.12251147363360169"/>
                </c:manualLayout>
              </c:layout>
              <c:tx>
                <c:rich>
                  <a:bodyPr/>
                  <a:lstStyle/>
                  <a:p>
                    <a:r>
                      <a:rPr lang="en-US"/>
                      <a:t>56.32%</a:t>
                    </a:r>
                  </a:p>
                </c:rich>
              </c:tx>
              <c:showLegendKey val="0"/>
              <c:showVal val="0"/>
              <c:showCatName val="0"/>
              <c:showSerName val="0"/>
              <c:showPercent val="0"/>
              <c:showBubbleSize val="0"/>
              <c:extLst>
                <c:ext xmlns:c15="http://schemas.microsoft.com/office/drawing/2012/chart" uri="{CE6537A1-D6FC-4f65-9D91-7224C49458BB}"/>
              </c:extLst>
            </c:dLbl>
            <c:dLbl>
              <c:idx val="8"/>
              <c:layout>
                <c:manualLayout>
                  <c:x val="1.1313132752804732E-2"/>
                  <c:y val="0.1237365883699378"/>
                </c:manualLayout>
              </c:layout>
              <c:tx>
                <c:rich>
                  <a:bodyPr/>
                  <a:lstStyle/>
                  <a:p>
                    <a:pPr>
                      <a:defRPr sz="1400" b="1"/>
                    </a:pPr>
                    <a:r>
                      <a:rPr lang="en-US" b="1"/>
                      <a:t>55.38%</a:t>
                    </a:r>
                  </a:p>
                </c:rich>
              </c:tx>
              <c:spPr/>
              <c:showLegendKey val="0"/>
              <c:showVal val="0"/>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'IX.1.d SDSS Definiciones'!$A$3:$A$11</c:f>
              <c:numCache>
                <c:formatCode>_([$€-2]* #,##0_);_([$€-2]* \(#,##0\);_([$€-2]* "-"??_)</c:formatCode>
                <c:ptCount val="9"/>
              </c:numCache>
            </c:numRef>
          </c:cat>
          <c:val>
            <c:numRef>
              <c:f>'IX.1.d SDSS Definiciones'!$I$3:$I$11</c:f>
              <c:numCache>
                <c:formatCode>_([$€-2]* #,##0_);_([$€-2]* \(#,##0\);_([$€-2]* "-"??_)</c:formatCode>
                <c:ptCount val="9"/>
              </c:numCache>
            </c:numRef>
          </c:val>
        </c:ser>
        <c:ser>
          <c:idx val="1"/>
          <c:order val="1"/>
          <c:tx>
            <c:strRef>
              <c:f>'IX.1.d SDSS Definiciones'!$J$2</c:f>
              <c:strCache>
                <c:ptCount val="1"/>
              </c:strCache>
            </c:strRef>
          </c:tx>
          <c:spPr>
            <a:solidFill>
              <a:srgbClr val="92D050"/>
            </a:solidFill>
          </c:spPr>
          <c:invertIfNegative val="0"/>
          <c:dLbls>
            <c:dLbl>
              <c:idx val="0"/>
              <c:layout>
                <c:manualLayout>
                  <c:x val="1.2929294574633838E-2"/>
                  <c:y val="-3.6753442090080492E-3"/>
                </c:manualLayout>
              </c:layout>
              <c:tx>
                <c:rich>
                  <a:bodyPr/>
                  <a:lstStyle/>
                  <a:p>
                    <a:r>
                      <a:rPr lang="en-US"/>
                      <a:t>100.00%</a:t>
                    </a:r>
                  </a:p>
                </c:rich>
              </c:tx>
              <c:showLegendKey val="0"/>
              <c:showVal val="0"/>
              <c:showCatName val="0"/>
              <c:showSerName val="0"/>
              <c:showPercent val="0"/>
              <c:showBubbleSize val="0"/>
              <c:extLst>
                <c:ext xmlns:c15="http://schemas.microsoft.com/office/drawing/2012/chart" uri="{CE6537A1-D6FC-4f65-9D91-7224C49458BB}"/>
              </c:extLst>
            </c:dLbl>
            <c:dLbl>
              <c:idx val="1"/>
              <c:layout>
                <c:manualLayout>
                  <c:x val="1.6161618218292366E-2"/>
                  <c:y val="-7.3506884180160933E-3"/>
                </c:manualLayout>
              </c:layout>
              <c:tx>
                <c:rich>
                  <a:bodyPr/>
                  <a:lstStyle/>
                  <a:p>
                    <a:r>
                      <a:rPr lang="en-US"/>
                      <a:t>100.00%</a:t>
                    </a:r>
                  </a:p>
                </c:rich>
              </c:tx>
              <c:showLegendKey val="0"/>
              <c:showVal val="0"/>
              <c:showCatName val="0"/>
              <c:showSerName val="0"/>
              <c:showPercent val="0"/>
              <c:showBubbleSize val="0"/>
              <c:extLst>
                <c:ext xmlns:c15="http://schemas.microsoft.com/office/drawing/2012/chart" uri="{CE6537A1-D6FC-4f65-9D91-7224C49458BB}"/>
              </c:extLst>
            </c:dLbl>
            <c:dLbl>
              <c:idx val="2"/>
              <c:layout>
                <c:manualLayout>
                  <c:x val="1.7777780040121535E-2"/>
                  <c:y val="0"/>
                </c:manualLayout>
              </c:layout>
              <c:tx>
                <c:rich>
                  <a:bodyPr/>
                  <a:lstStyle/>
                  <a:p>
                    <a:r>
                      <a:rPr lang="en-US"/>
                      <a:t>100.00%</a:t>
                    </a:r>
                  </a:p>
                </c:rich>
              </c:tx>
              <c:showLegendKey val="0"/>
              <c:showVal val="0"/>
              <c:showCatName val="0"/>
              <c:showSerName val="0"/>
              <c:showPercent val="0"/>
              <c:showBubbleSize val="0"/>
              <c:extLst>
                <c:ext xmlns:c15="http://schemas.microsoft.com/office/drawing/2012/chart" uri="{CE6537A1-D6FC-4f65-9D91-7224C49458BB}"/>
              </c:extLst>
            </c:dLbl>
            <c:dLbl>
              <c:idx val="3"/>
              <c:layout>
                <c:manualLayout>
                  <c:x val="1.4545456396463123E-2"/>
                  <c:y val="1.2251147363360165E-2"/>
                </c:manualLayout>
              </c:layout>
              <c:tx>
                <c:rich>
                  <a:bodyPr/>
                  <a:lstStyle/>
                  <a:p>
                    <a:r>
                      <a:rPr lang="en-US"/>
                      <a:t>100.00%</a:t>
                    </a:r>
                  </a:p>
                </c:rich>
              </c:tx>
              <c:showLegendKey val="0"/>
              <c:showVal val="0"/>
              <c:showCatName val="0"/>
              <c:showSerName val="0"/>
              <c:showPercent val="0"/>
              <c:showBubbleSize val="0"/>
              <c:extLst>
                <c:ext xmlns:c15="http://schemas.microsoft.com/office/drawing/2012/chart" uri="{CE6537A1-D6FC-4f65-9D91-7224C49458BB}"/>
              </c:extLst>
            </c:dLbl>
            <c:dLbl>
              <c:idx val="4"/>
              <c:layout>
                <c:manualLayout>
                  <c:x val="1.6161618218292366E-2"/>
                  <c:y val="4.287901577176044E-2"/>
                </c:manualLayout>
              </c:layout>
              <c:tx>
                <c:rich>
                  <a:bodyPr/>
                  <a:lstStyle/>
                  <a:p>
                    <a:r>
                      <a:rPr lang="en-US"/>
                      <a:t>37.58%</a:t>
                    </a:r>
                  </a:p>
                </c:rich>
              </c:tx>
              <c:showLegendKey val="0"/>
              <c:showVal val="0"/>
              <c:showCatName val="0"/>
              <c:showSerName val="0"/>
              <c:showPercent val="0"/>
              <c:showBubbleSize val="0"/>
              <c:extLst>
                <c:ext xmlns:c15="http://schemas.microsoft.com/office/drawing/2012/chart" uri="{CE6537A1-D6FC-4f65-9D91-7224C49458BB}"/>
              </c:extLst>
            </c:dLbl>
            <c:dLbl>
              <c:idx val="5"/>
              <c:layout>
                <c:manualLayout>
                  <c:x val="1.2929294574633838E-2"/>
                  <c:y val="5.2679933662448782E-2"/>
                </c:manualLayout>
              </c:layout>
              <c:tx>
                <c:rich>
                  <a:bodyPr/>
                  <a:lstStyle/>
                  <a:p>
                    <a:r>
                      <a:rPr lang="en-US"/>
                      <a:t>38.17%</a:t>
                    </a:r>
                  </a:p>
                </c:rich>
              </c:tx>
              <c:showLegendKey val="0"/>
              <c:showVal val="0"/>
              <c:showCatName val="0"/>
              <c:showSerName val="0"/>
              <c:showPercent val="0"/>
              <c:showBubbleSize val="0"/>
              <c:extLst>
                <c:ext xmlns:c15="http://schemas.microsoft.com/office/drawing/2012/chart" uri="{CE6537A1-D6FC-4f65-9D91-7224C49458BB}"/>
              </c:extLst>
            </c:dLbl>
            <c:dLbl>
              <c:idx val="6"/>
              <c:layout>
                <c:manualLayout>
                  <c:x val="2.1010103683780052E-2"/>
                  <c:y val="5.6355277871456812E-2"/>
                </c:manualLayout>
              </c:layout>
              <c:tx>
                <c:rich>
                  <a:bodyPr/>
                  <a:lstStyle/>
                  <a:p>
                    <a:r>
                      <a:rPr lang="en-US"/>
                      <a:t>37.77%</a:t>
                    </a:r>
                  </a:p>
                </c:rich>
              </c:tx>
              <c:showLegendKey val="0"/>
              <c:showVal val="0"/>
              <c:showCatName val="0"/>
              <c:showSerName val="0"/>
              <c:showPercent val="0"/>
              <c:showBubbleSize val="0"/>
              <c:extLst>
                <c:ext xmlns:c15="http://schemas.microsoft.com/office/drawing/2012/chart" uri="{CE6537A1-D6FC-4f65-9D91-7224C49458BB}"/>
              </c:extLst>
            </c:dLbl>
            <c:dLbl>
              <c:idx val="7"/>
              <c:layout>
                <c:manualLayout>
                  <c:x val="1.7777780040121535E-2"/>
                  <c:y val="9.310871996153719E-2"/>
                </c:manualLayout>
              </c:layout>
              <c:tx>
                <c:rich>
                  <a:bodyPr/>
                  <a:lstStyle/>
                  <a:p>
                    <a:r>
                      <a:rPr lang="en-US"/>
                      <a:t>43.04%</a:t>
                    </a:r>
                  </a:p>
                </c:rich>
              </c:tx>
              <c:showLegendKey val="0"/>
              <c:showVal val="0"/>
              <c:showCatName val="0"/>
              <c:showSerName val="0"/>
              <c:showPercent val="0"/>
              <c:showBubbleSize val="0"/>
              <c:extLst>
                <c:ext xmlns:c15="http://schemas.microsoft.com/office/drawing/2012/chart" uri="{CE6537A1-D6FC-4f65-9D91-7224C49458BB}"/>
              </c:extLst>
            </c:dLbl>
            <c:dLbl>
              <c:idx val="8"/>
              <c:layout>
                <c:manualLayout>
                  <c:x val="1.6161618218292366E-2"/>
                  <c:y val="9.9234293643217258E-2"/>
                </c:manualLayout>
              </c:layout>
              <c:tx>
                <c:rich>
                  <a:bodyPr/>
                  <a:lstStyle/>
                  <a:p>
                    <a:pPr>
                      <a:defRPr sz="1400" b="1"/>
                    </a:pPr>
                    <a:r>
                      <a:rPr lang="en-US" b="1"/>
                      <a:t>43.98%</a:t>
                    </a:r>
                  </a:p>
                </c:rich>
              </c:tx>
              <c:spPr/>
              <c:showLegendKey val="0"/>
              <c:showVal val="0"/>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'IX.1.d SDSS Definiciones'!$A$3:$A$11</c:f>
              <c:numCache>
                <c:formatCode>_([$€-2]* #,##0_);_([$€-2]* \(#,##0\);_([$€-2]* "-"??_)</c:formatCode>
                <c:ptCount val="9"/>
              </c:numCache>
            </c:numRef>
          </c:cat>
          <c:val>
            <c:numRef>
              <c:f>'IX.1.d SDSS Definiciones'!$J$3:$J$11</c:f>
              <c:numCache>
                <c:formatCode>_([$€-2]* #,##0_);_([$€-2]* \(#,##0\);_([$€-2]* "-"??_)</c:formatCode>
                <c:ptCount val="9"/>
              </c:numCache>
            </c:numRef>
          </c:val>
        </c:ser>
        <c:ser>
          <c:idx val="2"/>
          <c:order val="2"/>
          <c:tx>
            <c:strRef>
              <c:f>'IX.1.d SDSS Definiciones'!$K$2</c:f>
              <c:strCache>
                <c:ptCount val="1"/>
              </c:strCache>
            </c:strRef>
          </c:tx>
          <c:spPr>
            <a:solidFill>
              <a:schemeClr val="accent6">
                <a:lumMod val="75000"/>
              </a:schemeClr>
            </a:solidFill>
          </c:spPr>
          <c:invertIfNegative val="0"/>
          <c:dLbls>
            <c:dLbl>
              <c:idx val="6"/>
              <c:layout>
                <c:manualLayout>
                  <c:x val="1.1313132752804614E-2"/>
                  <c:y val="-9.8009178906881735E-3"/>
                </c:manualLayout>
              </c:layout>
              <c:tx>
                <c:rich>
                  <a:bodyPr/>
                  <a:lstStyle/>
                  <a:p>
                    <a:r>
                      <a:rPr lang="en-US"/>
                      <a:t>0.67%</a:t>
                    </a:r>
                  </a:p>
                </c:rich>
              </c:tx>
              <c:showLegendKey val="0"/>
              <c:showVal val="0"/>
              <c:showCatName val="0"/>
              <c:showSerName val="0"/>
              <c:showPercent val="0"/>
              <c:showBubbleSize val="0"/>
              <c:extLst>
                <c:ext xmlns:c15="http://schemas.microsoft.com/office/drawing/2012/chart" uri="{CE6537A1-D6FC-4f65-9D91-7224C49458BB}"/>
              </c:extLst>
            </c:dLbl>
            <c:dLbl>
              <c:idx val="7"/>
              <c:layout>
                <c:manualLayout>
                  <c:x val="1.2929294574633838E-2"/>
                  <c:y val="-7.3506884180160933E-3"/>
                </c:manualLayout>
              </c:layout>
              <c:tx>
                <c:rich>
                  <a:bodyPr/>
                  <a:lstStyle/>
                  <a:p>
                    <a:r>
                      <a:rPr lang="en-US"/>
                      <a:t>0.64%</a:t>
                    </a:r>
                  </a:p>
                </c:rich>
              </c:tx>
              <c:showLegendKey val="0"/>
              <c:showVal val="0"/>
              <c:showCatName val="0"/>
              <c:showSerName val="0"/>
              <c:showPercent val="0"/>
              <c:showBubbleSize val="0"/>
              <c:extLst>
                <c:ext xmlns:c15="http://schemas.microsoft.com/office/drawing/2012/chart" uri="{CE6537A1-D6FC-4f65-9D91-7224C49458BB}"/>
              </c:extLst>
            </c:dLbl>
            <c:dLbl>
              <c:idx val="8"/>
              <c:layout>
                <c:manualLayout>
                  <c:x val="1.6161618218292366E-2"/>
                  <c:y val="-7.3506884180160534E-3"/>
                </c:manualLayout>
              </c:layout>
              <c:tx>
                <c:rich>
                  <a:bodyPr/>
                  <a:lstStyle/>
                  <a:p>
                    <a:pPr>
                      <a:defRPr sz="1400" b="1"/>
                    </a:pPr>
                    <a:r>
                      <a:rPr lang="en-US" b="1"/>
                      <a:t>0.64%</a:t>
                    </a:r>
                  </a:p>
                </c:rich>
              </c:tx>
              <c:spPr/>
              <c:showLegendKey val="0"/>
              <c:showVal val="0"/>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'IX.1.d SDSS Definiciones'!$A$3:$A$11</c:f>
              <c:numCache>
                <c:formatCode>_([$€-2]* #,##0_);_([$€-2]* \(#,##0\);_([$€-2]* "-"??_)</c:formatCode>
                <c:ptCount val="9"/>
              </c:numCache>
            </c:numRef>
          </c:cat>
          <c:val>
            <c:numRef>
              <c:f>'IX.1.d SDSS Definiciones'!$K$3:$K$11</c:f>
              <c:numCache>
                <c:formatCode>_([$€-2]* #,##0_);_([$€-2]* \(#,##0\);_([$€-2]* "-"??_)</c:formatCode>
                <c:ptCount val="9"/>
              </c:numCache>
            </c:numRef>
          </c:val>
        </c:ser>
        <c:dLbls>
          <c:showLegendKey val="0"/>
          <c:showVal val="0"/>
          <c:showCatName val="0"/>
          <c:showSerName val="0"/>
          <c:showPercent val="0"/>
          <c:showBubbleSize val="0"/>
        </c:dLbls>
        <c:gapWidth val="22"/>
        <c:shape val="cylinder"/>
        <c:axId val="238024504"/>
        <c:axId val="238024896"/>
        <c:axId val="0"/>
      </c:bar3DChart>
      <c:catAx>
        <c:axId val="238024504"/>
        <c:scaling>
          <c:orientation val="minMax"/>
        </c:scaling>
        <c:delete val="0"/>
        <c:axPos val="b"/>
        <c:numFmt formatCode="_([$€-2]* #,##0_);_([$€-2]* \(#,##0\);_([$€-2]* &quot;-&quot;??_)" sourceLinked="1"/>
        <c:majorTickMark val="none"/>
        <c:minorTickMark val="none"/>
        <c:tickLblPos val="nextTo"/>
        <c:crossAx val="238024896"/>
        <c:crosses val="autoZero"/>
        <c:auto val="1"/>
        <c:lblAlgn val="ctr"/>
        <c:lblOffset val="100"/>
        <c:noMultiLvlLbl val="0"/>
      </c:catAx>
      <c:valAx>
        <c:axId val="238024896"/>
        <c:scaling>
          <c:orientation val="minMax"/>
        </c:scaling>
        <c:delete val="0"/>
        <c:axPos val="l"/>
        <c:numFmt formatCode="_([$€-2]* #,##0_);_([$€-2]* \(#,##0\);_([$€-2]* &quot;-&quot;??_)" sourceLinked="1"/>
        <c:majorTickMark val="none"/>
        <c:minorTickMark val="none"/>
        <c:tickLblPos val="none"/>
        <c:spPr>
          <a:ln w="9525">
            <a:noFill/>
          </a:ln>
        </c:spPr>
        <c:crossAx val="238024504"/>
        <c:crosses val="autoZero"/>
        <c:crossBetween val="between"/>
      </c:valAx>
      <c:spPr>
        <a:noFill/>
        <a:ln w="25400">
          <a:noFill/>
        </a:ln>
      </c:spPr>
    </c:plotArea>
    <c:legend>
      <c:legendPos val="b"/>
      <c:layout>
        <c:manualLayout>
          <c:xMode val="edge"/>
          <c:yMode val="edge"/>
          <c:x val="6.7226792181703547E-3"/>
          <c:y val="0.10354869443139628"/>
          <c:w val="0.99327732078182962"/>
          <c:h val="4.8241735202715436E-2"/>
        </c:manualLayout>
      </c:layout>
      <c:overlay val="0"/>
      <c:txPr>
        <a:bodyPr/>
        <a:lstStyle/>
        <a:p>
          <a:pPr>
            <a:defRPr sz="1400"/>
          </a:pPr>
          <a:endParaRPr lang="es-ES"/>
        </a:p>
      </c:txPr>
    </c:legend>
    <c:plotVisOnly val="1"/>
    <c:dispBlanksAs val="gap"/>
    <c:showDLblsOverMax val="0"/>
  </c:chart>
  <c:spPr>
    <a:ln>
      <a:solidFill>
        <a:schemeClr val="tx1"/>
      </a:solidFill>
    </a:ln>
  </c:spPr>
  <c:printSettings>
    <c:headerFooter/>
    <c:pageMargins b="0.750000000000003" l="0.70000000000000062" r="0.70000000000000062" t="0.750000000000003" header="0.30000000000000032" footer="0.30000000000000032"/>
    <c:pageSetup/>
  </c:printSettings>
  <c:userShapes r:id="rId1"/>
</c:chartSpace>
</file>

<file path=xl/charts/chart11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800" b="1" i="0" u="none" strike="noStrike" baseline="0"/>
              <a:t>Afiliación Total  Vs. Cantidad de Cápitas Pagadas</a:t>
            </a:r>
            <a:endParaRPr lang="en-US"/>
          </a:p>
        </c:rich>
      </c:tx>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0.13034559141645771"/>
          <c:y val="0.23141158136482987"/>
          <c:w val="0.84206535721496367"/>
          <c:h val="0.6421594488189003"/>
        </c:manualLayout>
      </c:layout>
      <c:bar3DChart>
        <c:barDir val="col"/>
        <c:grouping val="clustered"/>
        <c:varyColors val="0"/>
        <c:ser>
          <c:idx val="0"/>
          <c:order val="0"/>
          <c:tx>
            <c:strRef>
              <c:f>'IX.1.d SDSS Definiciones'!$E$2</c:f>
              <c:strCache>
                <c:ptCount val="1"/>
              </c:strCache>
            </c:strRef>
          </c:tx>
          <c:invertIfNegative val="0"/>
          <c:dLbls>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'IX.1.d SDSS Definiciones'!$A$3:$A$11</c:f>
              <c:numCache>
                <c:formatCode>_([$€-2]* #,##0_);_([$€-2]* \(#,##0\);_([$€-2]* "-"??_)</c:formatCode>
                <c:ptCount val="9"/>
              </c:numCache>
            </c:numRef>
          </c:cat>
          <c:val>
            <c:numRef>
              <c:f>'IX.1.d SDSS Definiciones'!$E$3:$E$11</c:f>
              <c:numCache>
                <c:formatCode>_([$€-2]* #,##0_);_([$€-2]* \(#,##0\);_([$€-2]* "-"??_)</c:formatCode>
                <c:ptCount val="9"/>
              </c:numCache>
            </c:numRef>
          </c:val>
        </c:ser>
        <c:ser>
          <c:idx val="1"/>
          <c:order val="1"/>
          <c:tx>
            <c:strRef>
              <c:f>'IX.1.d SDSS Definiciones'!$L$2</c:f>
              <c:strCache>
                <c:ptCount val="1"/>
              </c:strCache>
            </c:strRef>
          </c:tx>
          <c:spPr>
            <a:solidFill>
              <a:srgbClr val="00B050"/>
            </a:solidFill>
          </c:spPr>
          <c:invertIfNegative val="0"/>
          <c:dLbls>
            <c:dLbl>
              <c:idx val="0"/>
              <c:layout>
                <c:manualLayout>
                  <c:x val="7.3260073260072965E-3"/>
                  <c:y val="-2.083333333333342E-3"/>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7.3260073260073303E-3"/>
                  <c:y val="0"/>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1.6117216117216171E-2"/>
                  <c:y val="-4.1666666666666683E-3"/>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1.4652014652014652E-2"/>
                  <c:y val="0"/>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2.197802197802199E-2"/>
                  <c:y val="0"/>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2.197802197802199E-2"/>
                  <c:y val="0"/>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1.9047619047619119E-2"/>
                  <c:y val="-2.083333333333342E-3"/>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1.9047619047619008E-2"/>
                  <c:y val="-2.083333333333342E-3"/>
                </c:manualLayout>
              </c:layout>
              <c:showLegendKey val="0"/>
              <c:showVal val="1"/>
              <c:showCatName val="0"/>
              <c:showSerName val="0"/>
              <c:showPercent val="0"/>
              <c:showBubbleSize val="0"/>
              <c:extLst>
                <c:ext xmlns:c15="http://schemas.microsoft.com/office/drawing/2012/chart" uri="{CE6537A1-D6FC-4f65-9D91-7224C49458BB}"/>
              </c:extLst>
            </c:dLbl>
            <c:dLbl>
              <c:idx val="8"/>
              <c:layout>
                <c:manualLayout>
                  <c:x val="1.6117216117216119E-2"/>
                  <c:y val="0"/>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'IX.1.d SDSS Definiciones'!$A$3:$A$11</c:f>
              <c:numCache>
                <c:formatCode>_([$€-2]* #,##0_);_([$€-2]* \(#,##0\);_([$€-2]* "-"??_)</c:formatCode>
                <c:ptCount val="9"/>
              </c:numCache>
            </c:numRef>
          </c:cat>
          <c:val>
            <c:numRef>
              <c:f>'IX.1.d SDSS Definiciones'!$L$3:$L$11</c:f>
              <c:numCache>
                <c:formatCode>_([$€-2]* #,##0_);_([$€-2]* \(#,##0\);_([$€-2]* "-"??_)</c:formatCode>
                <c:ptCount val="9"/>
              </c:numCache>
            </c:numRef>
          </c:val>
        </c:ser>
        <c:dLbls>
          <c:showLegendKey val="0"/>
          <c:showVal val="0"/>
          <c:showCatName val="0"/>
          <c:showSerName val="0"/>
          <c:showPercent val="0"/>
          <c:showBubbleSize val="0"/>
        </c:dLbls>
        <c:gapWidth val="150"/>
        <c:shape val="cylinder"/>
        <c:axId val="238025680"/>
        <c:axId val="238026072"/>
        <c:axId val="0"/>
      </c:bar3DChart>
      <c:catAx>
        <c:axId val="238025680"/>
        <c:scaling>
          <c:orientation val="minMax"/>
        </c:scaling>
        <c:delete val="0"/>
        <c:axPos val="b"/>
        <c:title>
          <c:layout/>
          <c:overlay val="0"/>
        </c:title>
        <c:numFmt formatCode="_([$€-2]* #,##0_);_([$€-2]* \(#,##0\);_([$€-2]* &quot;-&quot;??_)" sourceLinked="1"/>
        <c:majorTickMark val="none"/>
        <c:minorTickMark val="none"/>
        <c:tickLblPos val="nextTo"/>
        <c:crossAx val="238026072"/>
        <c:crosses val="autoZero"/>
        <c:auto val="1"/>
        <c:lblAlgn val="ctr"/>
        <c:lblOffset val="100"/>
        <c:noMultiLvlLbl val="0"/>
      </c:catAx>
      <c:valAx>
        <c:axId val="238026072"/>
        <c:scaling>
          <c:orientation val="minMax"/>
        </c:scaling>
        <c:delete val="0"/>
        <c:axPos val="l"/>
        <c:title>
          <c:layout/>
          <c:overlay val="0"/>
        </c:title>
        <c:numFmt formatCode="_([$€-2]* #,##0_);_([$€-2]* \(#,##0\);_([$€-2]* &quot;-&quot;??_)" sourceLinked="1"/>
        <c:majorTickMark val="out"/>
        <c:minorTickMark val="none"/>
        <c:tickLblPos val="nextTo"/>
        <c:crossAx val="238025680"/>
        <c:crosses val="autoZero"/>
        <c:crossBetween val="between"/>
        <c:dispUnits>
          <c:builtInUnit val="thousands"/>
          <c:dispUnitsLbl>
            <c:layout/>
          </c:dispUnitsLbl>
        </c:dispUnits>
      </c:valAx>
      <c:spPr>
        <a:noFill/>
        <a:ln w="25400">
          <a:noFill/>
        </a:ln>
      </c:spPr>
    </c:plotArea>
    <c:legend>
      <c:legendPos val="r"/>
      <c:layout>
        <c:manualLayout>
          <c:xMode val="edge"/>
          <c:yMode val="edge"/>
          <c:x val="0.33797871419918663"/>
          <c:y val="5.084283705490035E-2"/>
          <c:w val="0.43931066309019068"/>
          <c:h val="7.5345504583330433E-2"/>
        </c:manualLayout>
      </c:layout>
      <c:overlay val="0"/>
    </c:legend>
    <c:plotVisOnly val="1"/>
    <c:dispBlanksAs val="gap"/>
    <c:showDLblsOverMax val="0"/>
  </c:chart>
  <c:printSettings>
    <c:headerFooter/>
    <c:pageMargins b="0.75000000000000178" l="0.70000000000000062" r="0.70000000000000062" t="0.75000000000000178" header="0.30000000000000032" footer="0.30000000000000032"/>
    <c:pageSetup/>
  </c:printSettings>
</c:chartSpace>
</file>

<file path=xl/charts/chart11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800" b="1" i="0" u="none" strike="noStrike" baseline="0"/>
              <a:t>Afiliación Total  Vs. Cantidad de Cápitas Pagadas</a:t>
            </a:r>
            <a:endParaRPr lang="en-US"/>
          </a:p>
        </c:rich>
      </c:tx>
      <c:layout/>
      <c:overlay val="0"/>
    </c:title>
    <c:autoTitleDeleted val="0"/>
    <c:plotArea>
      <c:layout>
        <c:manualLayout>
          <c:layoutTarget val="inner"/>
          <c:xMode val="edge"/>
          <c:yMode val="edge"/>
          <c:x val="9.6316556182059518E-2"/>
          <c:y val="7.0906036745406825E-2"/>
          <c:w val="0.90368344381793875"/>
          <c:h val="0.75941136931054354"/>
        </c:manualLayout>
      </c:layout>
      <c:lineChart>
        <c:grouping val="standard"/>
        <c:varyColors val="0"/>
        <c:ser>
          <c:idx val="0"/>
          <c:order val="0"/>
          <c:tx>
            <c:strRef>
              <c:f>'IX.1.d SDSS Definiciones'!$E$2</c:f>
              <c:strCache>
                <c:ptCount val="1"/>
              </c:strCache>
            </c:strRef>
          </c:tx>
          <c:dLbls>
            <c:dLbl>
              <c:idx val="0"/>
              <c:layout>
                <c:manualLayout>
                  <c:x val="-3.6241614568685278E-2"/>
                  <c:y val="-1.707317073170737E-2"/>
                </c:manualLayout>
              </c:layout>
              <c:dLblPos val="r"/>
              <c:showLegendKey val="0"/>
              <c:showVal val="1"/>
              <c:showCatName val="0"/>
              <c:showSerName val="0"/>
              <c:showPercent val="0"/>
              <c:showBubbleSize val="0"/>
              <c:extLst>
                <c:ext xmlns:c15="http://schemas.microsoft.com/office/drawing/2012/chart" uri="{CE6537A1-D6FC-4f65-9D91-7224C49458BB}"/>
              </c:extLst>
            </c:dLbl>
            <c:dLbl>
              <c:idx val="1"/>
              <c:layout>
                <c:manualLayout>
                  <c:x val="-5.3691280842496747E-2"/>
                  <c:y val="-2.4390243902438935E-2"/>
                </c:manualLayout>
              </c:layout>
              <c:dLblPos val="r"/>
              <c:showLegendKey val="0"/>
              <c:showVal val="1"/>
              <c:showCatName val="0"/>
              <c:showSerName val="0"/>
              <c:showPercent val="0"/>
              <c:showBubbleSize val="0"/>
              <c:extLst>
                <c:ext xmlns:c15="http://schemas.microsoft.com/office/drawing/2012/chart" uri="{CE6537A1-D6FC-4f65-9D91-7224C49458BB}"/>
              </c:extLst>
            </c:dLbl>
            <c:dLbl>
              <c:idx val="2"/>
              <c:layout>
                <c:manualLayout>
                  <c:x val="-5.9060408926746563E-2"/>
                  <c:y val="-2.1951219512195239E-2"/>
                </c:manualLayout>
              </c:layout>
              <c:dLblPos val="r"/>
              <c:showLegendKey val="0"/>
              <c:showVal val="1"/>
              <c:showCatName val="0"/>
              <c:showSerName val="0"/>
              <c:showPercent val="0"/>
              <c:showBubbleSize val="0"/>
              <c:extLst>
                <c:ext xmlns:c15="http://schemas.microsoft.com/office/drawing/2012/chart" uri="{CE6537A1-D6FC-4f65-9D91-7224C49458BB}"/>
              </c:extLst>
            </c:dLbl>
            <c:dLbl>
              <c:idx val="3"/>
              <c:layout>
                <c:manualLayout>
                  <c:x val="-5.5033562863558982E-2"/>
                  <c:y val="-2.6829268292682926E-2"/>
                </c:manualLayout>
              </c:layout>
              <c:dLblPos val="r"/>
              <c:showLegendKey val="0"/>
              <c:showVal val="1"/>
              <c:showCatName val="0"/>
              <c:showSerName val="0"/>
              <c:showPercent val="0"/>
              <c:showBubbleSize val="0"/>
              <c:extLst>
                <c:ext xmlns:c15="http://schemas.microsoft.com/office/drawing/2012/chart" uri="{CE6537A1-D6FC-4f65-9D91-7224C49458BB}"/>
              </c:extLst>
            </c:dLbl>
            <c:dLbl>
              <c:idx val="4"/>
              <c:layout>
                <c:manualLayout>
                  <c:x val="-5.7718126905683967E-2"/>
                  <c:y val="-1.9512195121951223E-2"/>
                </c:manualLayout>
              </c:layout>
              <c:dLblPos val="r"/>
              <c:showLegendKey val="0"/>
              <c:showVal val="1"/>
              <c:showCatName val="0"/>
              <c:showSerName val="0"/>
              <c:showPercent val="0"/>
              <c:showBubbleSize val="0"/>
              <c:extLst>
                <c:ext xmlns:c15="http://schemas.microsoft.com/office/drawing/2012/chart" uri="{CE6537A1-D6FC-4f65-9D91-7224C49458BB}"/>
              </c:extLst>
            </c:dLbl>
            <c:dLbl>
              <c:idx val="5"/>
              <c:layout>
                <c:manualLayout>
                  <c:x val="-6.7114101053120878E-2"/>
                  <c:y val="-2.4390243902439025E-2"/>
                </c:manualLayout>
              </c:layout>
              <c:dLblPos val="r"/>
              <c:showLegendKey val="0"/>
              <c:showVal val="1"/>
              <c:showCatName val="0"/>
              <c:showSerName val="0"/>
              <c:showPercent val="0"/>
              <c:showBubbleSize val="0"/>
              <c:extLst>
                <c:ext xmlns:c15="http://schemas.microsoft.com/office/drawing/2012/chart" uri="{CE6537A1-D6FC-4f65-9D91-7224C49458BB}"/>
              </c:extLst>
            </c:dLbl>
            <c:dLbl>
              <c:idx val="6"/>
              <c:layout>
                <c:manualLayout>
                  <c:x val="-6.4429537010995824E-2"/>
                  <c:y val="-2.9268292682926911E-2"/>
                </c:manualLayout>
              </c:layout>
              <c:dLblPos val="r"/>
              <c:showLegendKey val="0"/>
              <c:showVal val="1"/>
              <c:showCatName val="0"/>
              <c:showSerName val="0"/>
              <c:showPercent val="0"/>
              <c:showBubbleSize val="0"/>
              <c:extLst>
                <c:ext xmlns:c15="http://schemas.microsoft.com/office/drawing/2012/chart" uri="{CE6537A1-D6FC-4f65-9D91-7224C49458BB}"/>
              </c:extLst>
            </c:dLbl>
            <c:dLbl>
              <c:idx val="7"/>
              <c:layout>
                <c:manualLayout>
                  <c:x val="-6.7114101053120878E-2"/>
                  <c:y val="-1.9512195121951223E-2"/>
                </c:manualLayout>
              </c:layout>
              <c:dLblPos val="r"/>
              <c:showLegendKey val="0"/>
              <c:showVal val="1"/>
              <c:showCatName val="0"/>
              <c:showSerName val="0"/>
              <c:showPercent val="0"/>
              <c:showBubbleSize val="0"/>
              <c:extLst>
                <c:ext xmlns:c15="http://schemas.microsoft.com/office/drawing/2012/chart" uri="{CE6537A1-D6FC-4f65-9D91-7224C49458BB}"/>
              </c:extLst>
            </c:dLbl>
            <c:dLbl>
              <c:idx val="8"/>
              <c:layout>
                <c:manualLayout>
                  <c:x val="-5.100671680037188E-2"/>
                  <c:y val="-1.9512195121951223E-2"/>
                </c:manualLayout>
              </c:layout>
              <c:dLblPos val="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'IX.1.d SDSS Definiciones'!$A$3:$A$11</c:f>
              <c:numCache>
                <c:formatCode>_([$€-2]* #,##0_);_([$€-2]* \(#,##0\);_([$€-2]* "-"??_)</c:formatCode>
                <c:ptCount val="9"/>
              </c:numCache>
            </c:numRef>
          </c:cat>
          <c:val>
            <c:numRef>
              <c:f>'IX.1.d SDSS Definiciones'!$E$3:$E$11</c:f>
              <c:numCache>
                <c:formatCode>_([$€-2]* #,##0_);_([$€-2]* \(#,##0\);_([$€-2]* "-"??_)</c:formatCode>
                <c:ptCount val="9"/>
              </c:numCache>
            </c:numRef>
          </c:val>
          <c:smooth val="0"/>
        </c:ser>
        <c:ser>
          <c:idx val="1"/>
          <c:order val="1"/>
          <c:tx>
            <c:strRef>
              <c:f>'IX.1.d SDSS Definiciones'!$L$2</c:f>
              <c:strCache>
                <c:ptCount val="1"/>
              </c:strCache>
            </c:strRef>
          </c:tx>
          <c:dLbls>
            <c:dLbl>
              <c:idx val="0"/>
              <c:layout>
                <c:manualLayout>
                  <c:x val="-2.2818794358061022E-2"/>
                  <c:y val="-2.6829268292682926E-2"/>
                </c:manualLayout>
              </c:layout>
              <c:dLblPos val="r"/>
              <c:showLegendKey val="0"/>
              <c:showVal val="1"/>
              <c:showCatName val="0"/>
              <c:showSerName val="0"/>
              <c:showPercent val="0"/>
              <c:showBubbleSize val="0"/>
              <c:extLst>
                <c:ext xmlns:c15="http://schemas.microsoft.com/office/drawing/2012/chart" uri="{CE6537A1-D6FC-4f65-9D91-7224C49458BB}"/>
              </c:extLst>
            </c:dLbl>
            <c:dLbl>
              <c:idx val="1"/>
              <c:layout>
                <c:manualLayout>
                  <c:x val="-3.6241614568685257E-2"/>
                  <c:y val="-1.4634146341463415E-2"/>
                </c:manualLayout>
              </c:layout>
              <c:dLblPos val="r"/>
              <c:showLegendKey val="0"/>
              <c:showVal val="1"/>
              <c:showCatName val="0"/>
              <c:showSerName val="0"/>
              <c:showPercent val="0"/>
              <c:showBubbleSize val="0"/>
              <c:extLst>
                <c:ext xmlns:c15="http://schemas.microsoft.com/office/drawing/2012/chart" uri="{CE6537A1-D6FC-4f65-9D91-7224C49458BB}"/>
              </c:extLst>
            </c:dLbl>
            <c:dLbl>
              <c:idx val="2"/>
              <c:layout>
                <c:manualLayout>
                  <c:x val="-3.4899332547622869E-2"/>
                  <c:y val="-1.9512195121951313E-2"/>
                </c:manualLayout>
              </c:layout>
              <c:dLblPos val="r"/>
              <c:showLegendKey val="0"/>
              <c:showVal val="1"/>
              <c:showCatName val="0"/>
              <c:showSerName val="0"/>
              <c:showPercent val="0"/>
              <c:showBubbleSize val="0"/>
              <c:extLst>
                <c:ext xmlns:c15="http://schemas.microsoft.com/office/drawing/2012/chart" uri="{CE6537A1-D6FC-4f65-9D91-7224C49458BB}"/>
              </c:extLst>
            </c:dLbl>
            <c:dLbl>
              <c:idx val="3"/>
              <c:layout>
                <c:manualLayout>
                  <c:x val="-6.0402690947809062E-2"/>
                  <c:y val="-2.4390243902439042E-3"/>
                </c:manualLayout>
              </c:layout>
              <c:dLblPos val="r"/>
              <c:showLegendKey val="0"/>
              <c:showVal val="1"/>
              <c:showCatName val="0"/>
              <c:showSerName val="0"/>
              <c:showPercent val="0"/>
              <c:showBubbleSize val="0"/>
              <c:extLst>
                <c:ext xmlns:c15="http://schemas.microsoft.com/office/drawing/2012/chart" uri="{CE6537A1-D6FC-4f65-9D91-7224C49458BB}"/>
              </c:extLst>
            </c:dLbl>
            <c:dLbl>
              <c:idx val="4"/>
              <c:layout>
                <c:manualLayout>
                  <c:x val="-9.3959741474369252E-3"/>
                  <c:y val="2.4390243902439025E-2"/>
                </c:manualLayout>
              </c:layout>
              <c:dLblPos val="r"/>
              <c:showLegendKey val="0"/>
              <c:showVal val="1"/>
              <c:showCatName val="0"/>
              <c:showSerName val="0"/>
              <c:showPercent val="0"/>
              <c:showBubbleSize val="0"/>
              <c:extLst>
                <c:ext xmlns:c15="http://schemas.microsoft.com/office/drawing/2012/chart" uri="{CE6537A1-D6FC-4f65-9D91-7224C49458BB}"/>
              </c:extLst>
            </c:dLbl>
            <c:dLbl>
              <c:idx val="5"/>
              <c:layout>
                <c:manualLayout>
                  <c:x val="-3.6241614568685278E-2"/>
                  <c:y val="-2.4390243902439025E-2"/>
                </c:manualLayout>
              </c:layout>
              <c:dLblPos val="r"/>
              <c:showLegendKey val="0"/>
              <c:showVal val="1"/>
              <c:showCatName val="0"/>
              <c:showSerName val="0"/>
              <c:showPercent val="0"/>
              <c:showBubbleSize val="0"/>
              <c:extLst>
                <c:ext xmlns:c15="http://schemas.microsoft.com/office/drawing/2012/chart" uri="{CE6537A1-D6FC-4f65-9D91-7224C49458BB}"/>
              </c:extLst>
            </c:dLbl>
            <c:dLbl>
              <c:idx val="6"/>
              <c:layout>
                <c:manualLayout>
                  <c:x val="-4.4295306695059371E-2"/>
                  <c:y val="-2.6829268292682926E-2"/>
                </c:manualLayout>
              </c:layout>
              <c:dLblPos val="r"/>
              <c:showLegendKey val="0"/>
              <c:showVal val="1"/>
              <c:showCatName val="0"/>
              <c:showSerName val="0"/>
              <c:showPercent val="0"/>
              <c:showBubbleSize val="0"/>
              <c:extLst>
                <c:ext xmlns:c15="http://schemas.microsoft.com/office/drawing/2012/chart" uri="{CE6537A1-D6FC-4f65-9D91-7224C49458BB}"/>
              </c:extLst>
            </c:dLbl>
            <c:dLbl>
              <c:idx val="7"/>
              <c:layout>
                <c:manualLayout>
                  <c:x val="-4.2953024673997232E-2"/>
                  <c:y val="-2.4390243902439025E-2"/>
                </c:manualLayout>
              </c:layout>
              <c:dLblPos val="r"/>
              <c:showLegendKey val="0"/>
              <c:showVal val="1"/>
              <c:showCatName val="0"/>
              <c:showSerName val="0"/>
              <c:showPercent val="0"/>
              <c:showBubbleSize val="0"/>
              <c:extLst>
                <c:ext xmlns:c15="http://schemas.microsoft.com/office/drawing/2012/chart" uri="{CE6537A1-D6FC-4f65-9D91-7224C49458BB}"/>
              </c:extLst>
            </c:dLbl>
            <c:dLbl>
              <c:idx val="8"/>
              <c:layout>
                <c:manualLayout>
                  <c:x val="-4.0268460631872387E-2"/>
                  <c:y val="-2.9268292682926911E-2"/>
                </c:manualLayout>
              </c:layout>
              <c:dLblPos val="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'IX.1.d SDSS Definiciones'!$A$3:$A$11</c:f>
              <c:numCache>
                <c:formatCode>_([$€-2]* #,##0_);_([$€-2]* \(#,##0\);_([$€-2]* "-"??_)</c:formatCode>
                <c:ptCount val="9"/>
              </c:numCache>
            </c:numRef>
          </c:cat>
          <c:val>
            <c:numRef>
              <c:f>'IX.1.d SDSS Definiciones'!$L$3:$L$11</c:f>
              <c:numCache>
                <c:formatCode>_([$€-2]* #,##0_);_([$€-2]* \(#,##0\);_([$€-2]* "-"??_)</c:formatCode>
                <c:ptCount val="9"/>
              </c:numCache>
            </c:numRef>
          </c:val>
          <c:smooth val="0"/>
        </c:ser>
        <c:dLbls>
          <c:showLegendKey val="0"/>
          <c:showVal val="0"/>
          <c:showCatName val="0"/>
          <c:showSerName val="0"/>
          <c:showPercent val="0"/>
          <c:showBubbleSize val="0"/>
        </c:dLbls>
        <c:marker val="1"/>
        <c:smooth val="0"/>
        <c:axId val="238026856"/>
        <c:axId val="238027248"/>
      </c:lineChart>
      <c:catAx>
        <c:axId val="238026856"/>
        <c:scaling>
          <c:orientation val="minMax"/>
        </c:scaling>
        <c:delete val="0"/>
        <c:axPos val="b"/>
        <c:numFmt formatCode="_([$€-2]* #,##0_);_([$€-2]* \(#,##0\);_([$€-2]* &quot;-&quot;??_)" sourceLinked="1"/>
        <c:majorTickMark val="none"/>
        <c:minorTickMark val="none"/>
        <c:tickLblPos val="nextTo"/>
        <c:crossAx val="238027248"/>
        <c:crosses val="autoZero"/>
        <c:auto val="1"/>
        <c:lblAlgn val="ctr"/>
        <c:lblOffset val="100"/>
        <c:noMultiLvlLbl val="0"/>
      </c:catAx>
      <c:valAx>
        <c:axId val="238027248"/>
        <c:scaling>
          <c:orientation val="minMax"/>
        </c:scaling>
        <c:delete val="0"/>
        <c:axPos val="l"/>
        <c:numFmt formatCode="_([$€-2]* #,##0_);_([$€-2]* \(#,##0\);_([$€-2]* &quot;-&quot;??_)" sourceLinked="1"/>
        <c:majorTickMark val="none"/>
        <c:minorTickMark val="none"/>
        <c:tickLblPos val="nextTo"/>
        <c:spPr>
          <a:ln w="9525">
            <a:noFill/>
          </a:ln>
        </c:spPr>
        <c:crossAx val="238026856"/>
        <c:crosses val="autoZero"/>
        <c:crossBetween val="between"/>
        <c:dispUnits>
          <c:builtInUnit val="thousands"/>
          <c:dispUnitsLbl>
            <c:layout/>
          </c:dispUnitsLbl>
        </c:dispUnits>
      </c:valAx>
    </c:plotArea>
    <c:legend>
      <c:legendPos val="b"/>
      <c:layout/>
      <c:overlay val="0"/>
    </c:legend>
    <c:plotVisOnly val="1"/>
    <c:dispBlanksAs val="gap"/>
    <c:showDLblsOverMax val="0"/>
  </c:chart>
  <c:printSettings>
    <c:headerFooter/>
    <c:pageMargins b="0.75000000000000178" l="0.70000000000000062" r="0.70000000000000062" t="0.75000000000000178" header="0.30000000000000032" footer="0.30000000000000032"/>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400"/>
            </a:pPr>
            <a:r>
              <a:rPr lang="en-US" sz="2400"/>
              <a:t>Cobertura de Afiliación Anual por Tipo </a:t>
            </a:r>
          </a:p>
        </c:rich>
      </c:tx>
      <c:layout>
        <c:manualLayout>
          <c:xMode val="edge"/>
          <c:yMode val="edge"/>
          <c:x val="0.43611642539763457"/>
          <c:y val="1.7452972719491176E-2"/>
        </c:manualLayout>
      </c:layout>
      <c:overlay val="0"/>
    </c:title>
    <c:autoTitleDeleted val="0"/>
    <c:plotArea>
      <c:layout>
        <c:manualLayout>
          <c:layoutTarget val="inner"/>
          <c:xMode val="edge"/>
          <c:yMode val="edge"/>
          <c:x val="5.8128989587396616E-2"/>
          <c:y val="0.18580740739139903"/>
          <c:w val="0.88081952636893446"/>
          <c:h val="0.67820978226044792"/>
        </c:manualLayout>
      </c:layout>
      <c:barChart>
        <c:barDir val="col"/>
        <c:grouping val="clustered"/>
        <c:varyColors val="0"/>
        <c:ser>
          <c:idx val="0"/>
          <c:order val="0"/>
          <c:tx>
            <c:strRef>
              <c:f>'III.2.4.Cob.Afil. SFS RC Anual'!$B$3</c:f>
              <c:strCache>
                <c:ptCount val="1"/>
                <c:pt idx="0">
                  <c:v>Cobertura de Afiliación de Titulares del SFS RC</c:v>
                </c:pt>
              </c:strCache>
            </c:strRef>
          </c:tx>
          <c:spPr>
            <a:solidFill>
              <a:schemeClr val="accent3">
                <a:lumMod val="75000"/>
              </a:schemeClr>
            </a:solidFill>
          </c:spPr>
          <c:invertIfNegative val="0"/>
          <c:dLbls>
            <c:dLbl>
              <c:idx val="3"/>
              <c:layout>
                <c:manualLayout>
                  <c:x val="-5.0314465408805029E-3"/>
                  <c:y val="1.3994909819886612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1.2578616352201257E-3"/>
                  <c:y val="2.7989819639772711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3.1446540880502223E-3"/>
                  <c:y val="5.5979639279546446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'III.2.4.Cob.Afil. SFS RC Anual'!$A$4:$A$12</c:f>
              <c:strCache>
                <c:ptCount val="9"/>
                <c:pt idx="0">
                  <c:v>Dic.2007</c:v>
                </c:pt>
                <c:pt idx="1">
                  <c:v>Dic.2008</c:v>
                </c:pt>
                <c:pt idx="2">
                  <c:v>Dic.2009</c:v>
                </c:pt>
                <c:pt idx="3">
                  <c:v>Dic.2010</c:v>
                </c:pt>
                <c:pt idx="4">
                  <c:v>Dic.2011</c:v>
                </c:pt>
                <c:pt idx="5">
                  <c:v>Dic.2012</c:v>
                </c:pt>
                <c:pt idx="6">
                  <c:v>Dic.2013</c:v>
                </c:pt>
                <c:pt idx="7">
                  <c:v>Dic.2014</c:v>
                </c:pt>
                <c:pt idx="8">
                  <c:v>Nov.2015</c:v>
                </c:pt>
              </c:strCache>
            </c:strRef>
          </c:cat>
          <c:val>
            <c:numRef>
              <c:f>'III.2.4.Cob.Afil. SFS RC Anual'!$B$4:$B$12</c:f>
              <c:numCache>
                <c:formatCode>#,##0</c:formatCode>
                <c:ptCount val="9"/>
                <c:pt idx="0">
                  <c:v>1005990</c:v>
                </c:pt>
                <c:pt idx="1">
                  <c:v>992746</c:v>
                </c:pt>
                <c:pt idx="2">
                  <c:v>1084705</c:v>
                </c:pt>
                <c:pt idx="3">
                  <c:v>1183463</c:v>
                </c:pt>
                <c:pt idx="4">
                  <c:v>1224959</c:v>
                </c:pt>
                <c:pt idx="5">
                  <c:v>1270865</c:v>
                </c:pt>
                <c:pt idx="6">
                  <c:v>1353109</c:v>
                </c:pt>
                <c:pt idx="7">
                  <c:v>1451773</c:v>
                </c:pt>
                <c:pt idx="8">
                  <c:v>1548000</c:v>
                </c:pt>
              </c:numCache>
            </c:numRef>
          </c:val>
        </c:ser>
        <c:ser>
          <c:idx val="1"/>
          <c:order val="1"/>
          <c:tx>
            <c:strRef>
              <c:f>'III.2.4.Cob.Afil. SFS RC Anual'!$C$3</c:f>
              <c:strCache>
                <c:ptCount val="1"/>
                <c:pt idx="0">
                  <c:v>Cobertura de Afiliación de Depend. Totales del SFS RC</c:v>
                </c:pt>
              </c:strCache>
            </c:strRef>
          </c:tx>
          <c:spPr>
            <a:solidFill>
              <a:srgbClr val="0070C0"/>
            </a:solidFill>
          </c:spPr>
          <c:invertIfNegative val="0"/>
          <c:dLbls>
            <c:dLbl>
              <c:idx val="0"/>
              <c:layout>
                <c:manualLayout>
                  <c:x val="0"/>
                  <c:y val="-5.113008560665947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4.5381565493785486E-17"/>
                  <c:y val="5.113008560665947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8969444857128246E-3"/>
                  <c:y val="-1.8844641955108737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'III.2.4.Cob.Afil. SFS RC Anual'!$A$4:$A$12</c:f>
              <c:strCache>
                <c:ptCount val="9"/>
                <c:pt idx="0">
                  <c:v>Dic.2007</c:v>
                </c:pt>
                <c:pt idx="1">
                  <c:v>Dic.2008</c:v>
                </c:pt>
                <c:pt idx="2">
                  <c:v>Dic.2009</c:v>
                </c:pt>
                <c:pt idx="3">
                  <c:v>Dic.2010</c:v>
                </c:pt>
                <c:pt idx="4">
                  <c:v>Dic.2011</c:v>
                </c:pt>
                <c:pt idx="5">
                  <c:v>Dic.2012</c:v>
                </c:pt>
                <c:pt idx="6">
                  <c:v>Dic.2013</c:v>
                </c:pt>
                <c:pt idx="7">
                  <c:v>Dic.2014</c:v>
                </c:pt>
                <c:pt idx="8">
                  <c:v>Nov.2015</c:v>
                </c:pt>
              </c:strCache>
            </c:strRef>
          </c:cat>
          <c:val>
            <c:numRef>
              <c:f>'III.2.4.Cob.Afil. SFS RC Anual'!$C$4:$C$12</c:f>
              <c:numCache>
                <c:formatCode>#,##0</c:formatCode>
                <c:ptCount val="9"/>
                <c:pt idx="0">
                  <c:v>593477</c:v>
                </c:pt>
                <c:pt idx="1">
                  <c:v>736925</c:v>
                </c:pt>
                <c:pt idx="2">
                  <c:v>1011527</c:v>
                </c:pt>
                <c:pt idx="3">
                  <c:v>1234529</c:v>
                </c:pt>
                <c:pt idx="4">
                  <c:v>1361984</c:v>
                </c:pt>
                <c:pt idx="5">
                  <c:v>1476870</c:v>
                </c:pt>
                <c:pt idx="6">
                  <c:v>1612217</c:v>
                </c:pt>
                <c:pt idx="7">
                  <c:v>1773174</c:v>
                </c:pt>
                <c:pt idx="8">
                  <c:v>1887291</c:v>
                </c:pt>
              </c:numCache>
            </c:numRef>
          </c:val>
        </c:ser>
        <c:dLbls>
          <c:showLegendKey val="0"/>
          <c:showVal val="0"/>
          <c:showCatName val="0"/>
          <c:showSerName val="0"/>
          <c:showPercent val="0"/>
          <c:showBubbleSize val="0"/>
        </c:dLbls>
        <c:gapWidth val="54"/>
        <c:overlap val="-6"/>
        <c:axId val="379995528"/>
        <c:axId val="379997096"/>
      </c:barChart>
      <c:lineChart>
        <c:grouping val="standard"/>
        <c:varyColors val="0"/>
        <c:ser>
          <c:idx val="2"/>
          <c:order val="2"/>
          <c:tx>
            <c:strRef>
              <c:f>'III.2.4.Cob.Afil. SFS RC Anual'!$G$3</c:f>
              <c:strCache>
                <c:ptCount val="1"/>
                <c:pt idx="0">
                  <c:v>Indice de dependencia</c:v>
                </c:pt>
              </c:strCache>
            </c:strRef>
          </c:tx>
          <c:spPr>
            <a:ln>
              <a:noFill/>
            </a:ln>
            <a:effectLst>
              <a:glow rad="228600">
                <a:schemeClr val="accent2">
                  <a:satMod val="175000"/>
                  <a:alpha val="40000"/>
                </a:schemeClr>
              </a:glow>
            </a:effectLst>
          </c:spPr>
          <c:marker>
            <c:symbol val="circle"/>
            <c:size val="14"/>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ln>
              <a:effectLst>
                <a:glow rad="228600">
                  <a:schemeClr val="accent2">
                    <a:satMod val="175000"/>
                    <a:alpha val="40000"/>
                  </a:schemeClr>
                </a:glow>
              </a:effectLst>
            </c:spPr>
          </c:marker>
          <c:dLbls>
            <c:dLbl>
              <c:idx val="0"/>
              <c:layout>
                <c:manualLayout>
                  <c:x val="-3.2822462698579954E-2"/>
                  <c:y val="2.777777473996329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3.5189963511592787E-2"/>
                  <c:y val="2.7777774739963391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3.4006213105086412E-2"/>
                  <c:y val="2.777777473996329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3.3414337901833117E-2"/>
                  <c:y val="2.9166663476961459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3.5781838714845991E-2"/>
                  <c:y val="2.777777473996329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3.4006213105086454E-2"/>
                  <c:y val="3.3333329687956069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3.6373713918099113E-2"/>
                  <c:y val="1.5277776106979916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3.6373713918099196E-2"/>
                  <c:y val="2.3611108528968833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3.6373713918099196E-2"/>
                  <c:y val="2.3611108528968833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2000"/>
                </a:pPr>
                <a:endParaRPr lang="es-ES"/>
              </a:p>
            </c:txPr>
            <c:dLblPos val="l"/>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'III.2.4.Cob.Afil. SFS RC Anual'!$A$4:$A$12</c:f>
              <c:strCache>
                <c:ptCount val="9"/>
                <c:pt idx="0">
                  <c:v>Dic.2007</c:v>
                </c:pt>
                <c:pt idx="1">
                  <c:v>Dic.2008</c:v>
                </c:pt>
                <c:pt idx="2">
                  <c:v>Dic.2009</c:v>
                </c:pt>
                <c:pt idx="3">
                  <c:v>Dic.2010</c:v>
                </c:pt>
                <c:pt idx="4">
                  <c:v>Dic.2011</c:v>
                </c:pt>
                <c:pt idx="5">
                  <c:v>Dic.2012</c:v>
                </c:pt>
                <c:pt idx="6">
                  <c:v>Dic.2013</c:v>
                </c:pt>
                <c:pt idx="7">
                  <c:v>Dic.2014</c:v>
                </c:pt>
                <c:pt idx="8">
                  <c:v>Nov.2015</c:v>
                </c:pt>
              </c:strCache>
            </c:strRef>
          </c:cat>
          <c:val>
            <c:numRef>
              <c:f>'III.2.4.Cob.Afil. SFS RC Anual'!$G$4:$G$12</c:f>
              <c:numCache>
                <c:formatCode>0.00</c:formatCode>
                <c:ptCount val="9"/>
                <c:pt idx="0">
                  <c:v>0.58994323999244525</c:v>
                </c:pt>
                <c:pt idx="1">
                  <c:v>0.74230971467021778</c:v>
                </c:pt>
                <c:pt idx="2">
                  <c:v>0.93253649609801748</c:v>
                </c:pt>
                <c:pt idx="3">
                  <c:v>1.043149637969248</c:v>
                </c:pt>
                <c:pt idx="4">
                  <c:v>1.1118608867725368</c:v>
                </c:pt>
                <c:pt idx="5">
                  <c:v>1.1620982559123116</c:v>
                </c:pt>
                <c:pt idx="6">
                  <c:v>1.1914908555038803</c:v>
                </c:pt>
                <c:pt idx="7">
                  <c:v>1.2213851614543045</c:v>
                </c:pt>
                <c:pt idx="8">
                  <c:v>1.2191802325581396</c:v>
                </c:pt>
              </c:numCache>
            </c:numRef>
          </c:val>
          <c:smooth val="0"/>
        </c:ser>
        <c:dLbls>
          <c:showLegendKey val="0"/>
          <c:showVal val="0"/>
          <c:showCatName val="0"/>
          <c:showSerName val="0"/>
          <c:showPercent val="0"/>
          <c:showBubbleSize val="0"/>
        </c:dLbls>
        <c:marker val="1"/>
        <c:smooth val="0"/>
        <c:axId val="379990432"/>
        <c:axId val="379996704"/>
      </c:lineChart>
      <c:catAx>
        <c:axId val="379995528"/>
        <c:scaling>
          <c:orientation val="minMax"/>
        </c:scaling>
        <c:delete val="0"/>
        <c:axPos val="b"/>
        <c:numFmt formatCode="General" sourceLinked="0"/>
        <c:majorTickMark val="none"/>
        <c:minorTickMark val="none"/>
        <c:tickLblPos val="nextTo"/>
        <c:txPr>
          <a:bodyPr/>
          <a:lstStyle/>
          <a:p>
            <a:pPr>
              <a:defRPr sz="1600"/>
            </a:pPr>
            <a:endParaRPr lang="es-ES"/>
          </a:p>
        </c:txPr>
        <c:crossAx val="379997096"/>
        <c:crosses val="autoZero"/>
        <c:auto val="1"/>
        <c:lblAlgn val="ctr"/>
        <c:lblOffset val="100"/>
        <c:noMultiLvlLbl val="0"/>
      </c:catAx>
      <c:valAx>
        <c:axId val="379997096"/>
        <c:scaling>
          <c:orientation val="minMax"/>
        </c:scaling>
        <c:delete val="0"/>
        <c:axPos val="l"/>
        <c:numFmt formatCode="#,##0" sourceLinked="1"/>
        <c:majorTickMark val="none"/>
        <c:minorTickMark val="none"/>
        <c:tickLblPos val="nextTo"/>
        <c:crossAx val="379995528"/>
        <c:crosses val="autoZero"/>
        <c:crossBetween val="between"/>
      </c:valAx>
      <c:valAx>
        <c:axId val="379996704"/>
        <c:scaling>
          <c:orientation val="minMax"/>
          <c:max val="2"/>
        </c:scaling>
        <c:delete val="0"/>
        <c:axPos val="r"/>
        <c:numFmt formatCode="0.00" sourceLinked="1"/>
        <c:majorTickMark val="out"/>
        <c:minorTickMark val="none"/>
        <c:tickLblPos val="nextTo"/>
        <c:txPr>
          <a:bodyPr/>
          <a:lstStyle/>
          <a:p>
            <a:pPr>
              <a:defRPr sz="1200"/>
            </a:pPr>
            <a:endParaRPr lang="es-ES"/>
          </a:p>
        </c:txPr>
        <c:crossAx val="379990432"/>
        <c:crosses val="max"/>
        <c:crossBetween val="between"/>
      </c:valAx>
      <c:catAx>
        <c:axId val="379990432"/>
        <c:scaling>
          <c:orientation val="minMax"/>
        </c:scaling>
        <c:delete val="1"/>
        <c:axPos val="b"/>
        <c:numFmt formatCode="General" sourceLinked="1"/>
        <c:majorTickMark val="out"/>
        <c:minorTickMark val="none"/>
        <c:tickLblPos val="nextTo"/>
        <c:crossAx val="379996704"/>
        <c:crosses val="autoZero"/>
        <c:auto val="1"/>
        <c:lblAlgn val="ctr"/>
        <c:lblOffset val="100"/>
        <c:noMultiLvlLbl val="0"/>
      </c:catAx>
    </c:plotArea>
    <c:legend>
      <c:legendPos val="t"/>
      <c:layout>
        <c:manualLayout>
          <c:xMode val="edge"/>
          <c:yMode val="edge"/>
          <c:x val="0.19752506241678486"/>
          <c:y val="7.5050500646071508E-2"/>
          <c:w val="0.60422942234901922"/>
          <c:h val="3.4525755869148612E-2"/>
        </c:manualLayout>
      </c:layout>
      <c:overlay val="0"/>
      <c:txPr>
        <a:bodyPr/>
        <a:lstStyle/>
        <a:p>
          <a:pPr>
            <a:defRPr sz="18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pPr>
            <a:r>
              <a:rPr lang="en-US" sz="2400"/>
              <a:t>Cobertura Afiliación Mensual por Tipo</a:t>
            </a:r>
          </a:p>
        </c:rich>
      </c:tx>
      <c:layout>
        <c:manualLayout>
          <c:xMode val="edge"/>
          <c:yMode val="edge"/>
          <c:x val="0.38622547496831189"/>
          <c:y val="1.1000001154855764E-2"/>
        </c:manualLayout>
      </c:layout>
      <c:overlay val="0"/>
      <c:spPr>
        <a:ln>
          <a:noFill/>
        </a:ln>
      </c:spPr>
    </c:title>
    <c:autoTitleDeleted val="0"/>
    <c:plotArea>
      <c:layout>
        <c:manualLayout>
          <c:layoutTarget val="inner"/>
          <c:xMode val="edge"/>
          <c:yMode val="edge"/>
          <c:x val="5.3215536131378076E-2"/>
          <c:y val="0.23579552615609095"/>
          <c:w val="0.9036034993000448"/>
          <c:h val="0.59760938257873897"/>
        </c:manualLayout>
      </c:layout>
      <c:barChart>
        <c:barDir val="col"/>
        <c:grouping val="clustered"/>
        <c:varyColors val="0"/>
        <c:ser>
          <c:idx val="0"/>
          <c:order val="0"/>
          <c:tx>
            <c:strRef>
              <c:f>' III.2.5.Cob.Afil.SFSRC Mens'!$B$3</c:f>
              <c:strCache>
                <c:ptCount val="1"/>
                <c:pt idx="0">
                  <c:v>Cobertura de Afiliación de Titulares del SFS RC</c:v>
                </c:pt>
              </c:strCache>
            </c:strRef>
          </c:tx>
          <c:spPr>
            <a:solidFill>
              <a:schemeClr val="accent3">
                <a:lumMod val="75000"/>
              </a:schemeClr>
            </a:solidFill>
          </c:spPr>
          <c:invertIfNegative val="0"/>
          <c:dLbls>
            <c:spPr>
              <a:noFill/>
              <a:ln>
                <a:noFill/>
              </a:ln>
              <a:effectLst/>
            </c:spPr>
            <c:txPr>
              <a:bodyPr/>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III.2.5.Cob.Afil.SFSRC Mens'!$A$4:$A$16</c:f>
              <c:strCache>
                <c:ptCount val="13"/>
                <c:pt idx="0">
                  <c:v>Nov.14</c:v>
                </c:pt>
                <c:pt idx="1">
                  <c:v>Dic.14</c:v>
                </c:pt>
                <c:pt idx="2">
                  <c:v>Ene.15</c:v>
                </c:pt>
                <c:pt idx="3">
                  <c:v>Feb.15</c:v>
                </c:pt>
                <c:pt idx="4">
                  <c:v>Mar.15</c:v>
                </c:pt>
                <c:pt idx="5">
                  <c:v>Abr.15</c:v>
                </c:pt>
                <c:pt idx="6">
                  <c:v>May.15</c:v>
                </c:pt>
                <c:pt idx="7">
                  <c:v>Jun.15</c:v>
                </c:pt>
                <c:pt idx="8">
                  <c:v>Jul.15</c:v>
                </c:pt>
                <c:pt idx="9">
                  <c:v>Ago.15</c:v>
                </c:pt>
                <c:pt idx="10">
                  <c:v>Sep.15</c:v>
                </c:pt>
                <c:pt idx="11">
                  <c:v>Oct.15</c:v>
                </c:pt>
                <c:pt idx="12">
                  <c:v>Nov.15</c:v>
                </c:pt>
              </c:strCache>
            </c:strRef>
          </c:cat>
          <c:val>
            <c:numRef>
              <c:f>' III.2.5.Cob.Afil.SFSRC Mens'!$B$4:$B$16</c:f>
              <c:numCache>
                <c:formatCode>#,##0</c:formatCode>
                <c:ptCount val="13"/>
                <c:pt idx="0">
                  <c:v>1448467</c:v>
                </c:pt>
                <c:pt idx="1">
                  <c:v>1451773</c:v>
                </c:pt>
                <c:pt idx="2">
                  <c:v>1459038</c:v>
                </c:pt>
                <c:pt idx="3">
                  <c:v>1460791</c:v>
                </c:pt>
                <c:pt idx="4">
                  <c:v>1482487</c:v>
                </c:pt>
                <c:pt idx="5">
                  <c:v>1507945</c:v>
                </c:pt>
                <c:pt idx="6">
                  <c:v>1511271</c:v>
                </c:pt>
                <c:pt idx="7">
                  <c:v>1516017</c:v>
                </c:pt>
                <c:pt idx="8">
                  <c:v>1521859</c:v>
                </c:pt>
                <c:pt idx="9">
                  <c:v>1529646</c:v>
                </c:pt>
                <c:pt idx="10">
                  <c:v>1520902</c:v>
                </c:pt>
                <c:pt idx="11">
                  <c:v>1551732</c:v>
                </c:pt>
                <c:pt idx="12">
                  <c:v>1548000</c:v>
                </c:pt>
              </c:numCache>
            </c:numRef>
          </c:val>
        </c:ser>
        <c:ser>
          <c:idx val="1"/>
          <c:order val="1"/>
          <c:tx>
            <c:strRef>
              <c:f>' III.2.5.Cob.Afil.SFSRC Mens'!$C$3</c:f>
              <c:strCache>
                <c:ptCount val="1"/>
                <c:pt idx="0">
                  <c:v>Cobertura de Afiliación de Depend. Totales del SFS RC</c:v>
                </c:pt>
              </c:strCache>
            </c:strRef>
          </c:tx>
          <c:spPr>
            <a:solidFill>
              <a:srgbClr val="0070C0"/>
            </a:solidFill>
          </c:spPr>
          <c:invertIfNegative val="0"/>
          <c:dLbls>
            <c:spPr>
              <a:noFill/>
              <a:ln>
                <a:noFill/>
              </a:ln>
              <a:effectLst/>
            </c:spPr>
            <c:txPr>
              <a:bodyPr/>
              <a:lstStyle/>
              <a:p>
                <a:pPr>
                  <a:defRPr sz="1600"/>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III.2.5.Cob.Afil.SFSRC Mens'!$A$4:$A$16</c:f>
              <c:strCache>
                <c:ptCount val="13"/>
                <c:pt idx="0">
                  <c:v>Nov.14</c:v>
                </c:pt>
                <c:pt idx="1">
                  <c:v>Dic.14</c:v>
                </c:pt>
                <c:pt idx="2">
                  <c:v>Ene.15</c:v>
                </c:pt>
                <c:pt idx="3">
                  <c:v>Feb.15</c:v>
                </c:pt>
                <c:pt idx="4">
                  <c:v>Mar.15</c:v>
                </c:pt>
                <c:pt idx="5">
                  <c:v>Abr.15</c:v>
                </c:pt>
                <c:pt idx="6">
                  <c:v>May.15</c:v>
                </c:pt>
                <c:pt idx="7">
                  <c:v>Jun.15</c:v>
                </c:pt>
                <c:pt idx="8">
                  <c:v>Jul.15</c:v>
                </c:pt>
                <c:pt idx="9">
                  <c:v>Ago.15</c:v>
                </c:pt>
                <c:pt idx="10">
                  <c:v>Sep.15</c:v>
                </c:pt>
                <c:pt idx="11">
                  <c:v>Oct.15</c:v>
                </c:pt>
                <c:pt idx="12">
                  <c:v>Nov.15</c:v>
                </c:pt>
              </c:strCache>
            </c:strRef>
          </c:cat>
          <c:val>
            <c:numRef>
              <c:f>' III.2.5.Cob.Afil.SFSRC Mens'!$C$4:$C$16</c:f>
              <c:numCache>
                <c:formatCode>#,##0</c:formatCode>
                <c:ptCount val="13"/>
                <c:pt idx="0">
                  <c:v>1752260</c:v>
                </c:pt>
                <c:pt idx="1">
                  <c:v>1773174</c:v>
                </c:pt>
                <c:pt idx="2">
                  <c:v>1778842</c:v>
                </c:pt>
                <c:pt idx="3">
                  <c:v>1787686</c:v>
                </c:pt>
                <c:pt idx="4">
                  <c:v>1831900</c:v>
                </c:pt>
                <c:pt idx="5">
                  <c:v>1822106</c:v>
                </c:pt>
                <c:pt idx="6">
                  <c:v>1837354</c:v>
                </c:pt>
                <c:pt idx="7">
                  <c:v>1843989</c:v>
                </c:pt>
                <c:pt idx="8">
                  <c:v>1843786</c:v>
                </c:pt>
                <c:pt idx="9">
                  <c:v>1856437</c:v>
                </c:pt>
                <c:pt idx="10">
                  <c:v>1853985</c:v>
                </c:pt>
                <c:pt idx="11">
                  <c:v>1877660</c:v>
                </c:pt>
                <c:pt idx="12">
                  <c:v>1887291</c:v>
                </c:pt>
              </c:numCache>
            </c:numRef>
          </c:val>
        </c:ser>
        <c:dLbls>
          <c:showLegendKey val="0"/>
          <c:showVal val="0"/>
          <c:showCatName val="0"/>
          <c:showSerName val="0"/>
          <c:showPercent val="0"/>
          <c:showBubbleSize val="0"/>
        </c:dLbls>
        <c:gapWidth val="30"/>
        <c:overlap val="-5"/>
        <c:axId val="379995136"/>
        <c:axId val="379994744"/>
      </c:barChart>
      <c:lineChart>
        <c:grouping val="standard"/>
        <c:varyColors val="0"/>
        <c:ser>
          <c:idx val="2"/>
          <c:order val="2"/>
          <c:tx>
            <c:strRef>
              <c:f>' III.2.5.Cob.Afil.SFSRC Mens'!$G$3</c:f>
              <c:strCache>
                <c:ptCount val="1"/>
                <c:pt idx="0">
                  <c:v>Índice de dependencia</c:v>
                </c:pt>
              </c:strCache>
            </c:strRef>
          </c:tx>
          <c:spPr>
            <a:ln>
              <a:noFill/>
            </a:ln>
            <a:effectLst>
              <a:glow rad="228600">
                <a:schemeClr val="accent2">
                  <a:satMod val="175000"/>
                  <a:alpha val="40000"/>
                </a:schemeClr>
              </a:glow>
            </a:effectLst>
          </c:spPr>
          <c:marker>
            <c:symbol val="triangle"/>
            <c:size val="12"/>
            <c:spPr>
              <a:solidFill>
                <a:srgbClr val="FF0000"/>
              </a:solidFill>
              <a:ln>
                <a:noFill/>
              </a:ln>
              <a:effectLst>
                <a:glow rad="228600">
                  <a:schemeClr val="accent2">
                    <a:satMod val="175000"/>
                    <a:alpha val="40000"/>
                  </a:schemeClr>
                </a:glow>
              </a:effectLst>
            </c:spPr>
          </c:marker>
          <c:dLbls>
            <c:spPr>
              <a:noFill/>
              <a:ln>
                <a:noFill/>
              </a:ln>
              <a:effectLst/>
            </c:spPr>
            <c:txPr>
              <a:bodyPr/>
              <a:lstStyle/>
              <a:p>
                <a:pPr>
                  <a:defRPr sz="1200"/>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III.2.5.Cob.Afil.SFSRC Mens'!$A$4:$A$16</c:f>
              <c:strCache>
                <c:ptCount val="13"/>
                <c:pt idx="0">
                  <c:v>Nov.14</c:v>
                </c:pt>
                <c:pt idx="1">
                  <c:v>Dic.14</c:v>
                </c:pt>
                <c:pt idx="2">
                  <c:v>Ene.15</c:v>
                </c:pt>
                <c:pt idx="3">
                  <c:v>Feb.15</c:v>
                </c:pt>
                <c:pt idx="4">
                  <c:v>Mar.15</c:v>
                </c:pt>
                <c:pt idx="5">
                  <c:v>Abr.15</c:v>
                </c:pt>
                <c:pt idx="6">
                  <c:v>May.15</c:v>
                </c:pt>
                <c:pt idx="7">
                  <c:v>Jun.15</c:v>
                </c:pt>
                <c:pt idx="8">
                  <c:v>Jul.15</c:v>
                </c:pt>
                <c:pt idx="9">
                  <c:v>Ago.15</c:v>
                </c:pt>
                <c:pt idx="10">
                  <c:v>Sep.15</c:v>
                </c:pt>
                <c:pt idx="11">
                  <c:v>Oct.15</c:v>
                </c:pt>
                <c:pt idx="12">
                  <c:v>Nov.15</c:v>
                </c:pt>
              </c:strCache>
            </c:strRef>
          </c:cat>
          <c:val>
            <c:numRef>
              <c:f>' III.2.5.Cob.Afil.SFSRC Mens'!$G$4:$G$16</c:f>
              <c:numCache>
                <c:formatCode>0.00</c:formatCode>
                <c:ptCount val="13"/>
                <c:pt idx="0">
                  <c:v>1.2097341534187525</c:v>
                </c:pt>
                <c:pt idx="1">
                  <c:v>1.2213851614543045</c:v>
                </c:pt>
                <c:pt idx="2">
                  <c:v>1.2191882596615029</c:v>
                </c:pt>
                <c:pt idx="3">
                  <c:v>1.223779445519585</c:v>
                </c:pt>
                <c:pt idx="4">
                  <c:v>1.235693803723068</c:v>
                </c:pt>
                <c:pt idx="5">
                  <c:v>1.2083371741011775</c:v>
                </c:pt>
                <c:pt idx="6">
                  <c:v>1.215767390494491</c:v>
                </c:pt>
                <c:pt idx="7">
                  <c:v>1.2163379434399482</c:v>
                </c:pt>
                <c:pt idx="8">
                  <c:v>1.2115353656284846</c:v>
                </c:pt>
                <c:pt idx="9">
                  <c:v>1.2136383189313082</c:v>
                </c:pt>
                <c:pt idx="10">
                  <c:v>1.2190035912899055</c:v>
                </c:pt>
                <c:pt idx="11">
                  <c:v>1.2100414246790039</c:v>
                </c:pt>
                <c:pt idx="12">
                  <c:v>1.2191802325581396</c:v>
                </c:pt>
              </c:numCache>
            </c:numRef>
          </c:val>
          <c:smooth val="0"/>
        </c:ser>
        <c:dLbls>
          <c:showLegendKey val="0"/>
          <c:showVal val="0"/>
          <c:showCatName val="0"/>
          <c:showSerName val="0"/>
          <c:showPercent val="0"/>
          <c:showBubbleSize val="0"/>
        </c:dLbls>
        <c:marker val="1"/>
        <c:smooth val="0"/>
        <c:axId val="380004936"/>
        <c:axId val="379994352"/>
      </c:lineChart>
      <c:catAx>
        <c:axId val="379995136"/>
        <c:scaling>
          <c:orientation val="minMax"/>
        </c:scaling>
        <c:delete val="0"/>
        <c:axPos val="b"/>
        <c:numFmt formatCode="General" sourceLinked="1"/>
        <c:majorTickMark val="none"/>
        <c:minorTickMark val="none"/>
        <c:tickLblPos val="nextTo"/>
        <c:txPr>
          <a:bodyPr/>
          <a:lstStyle/>
          <a:p>
            <a:pPr>
              <a:defRPr sz="1600"/>
            </a:pPr>
            <a:endParaRPr lang="es-ES"/>
          </a:p>
        </c:txPr>
        <c:crossAx val="379994744"/>
        <c:crosses val="autoZero"/>
        <c:auto val="1"/>
        <c:lblAlgn val="ctr"/>
        <c:lblOffset val="100"/>
        <c:noMultiLvlLbl val="1"/>
      </c:catAx>
      <c:valAx>
        <c:axId val="379994744"/>
        <c:scaling>
          <c:orientation val="minMax"/>
        </c:scaling>
        <c:delete val="0"/>
        <c:axPos val="l"/>
        <c:numFmt formatCode="#,##0" sourceLinked="1"/>
        <c:majorTickMark val="none"/>
        <c:minorTickMark val="none"/>
        <c:tickLblPos val="nextTo"/>
        <c:spPr>
          <a:ln w="9525">
            <a:noFill/>
          </a:ln>
        </c:spPr>
        <c:crossAx val="379995136"/>
        <c:crosses val="autoZero"/>
        <c:crossBetween val="between"/>
      </c:valAx>
      <c:valAx>
        <c:axId val="379994352"/>
        <c:scaling>
          <c:orientation val="minMax"/>
          <c:max val="1.4"/>
        </c:scaling>
        <c:delete val="0"/>
        <c:axPos val="r"/>
        <c:numFmt formatCode="0.00" sourceLinked="1"/>
        <c:majorTickMark val="out"/>
        <c:minorTickMark val="none"/>
        <c:tickLblPos val="nextTo"/>
        <c:crossAx val="380004936"/>
        <c:crosses val="max"/>
        <c:crossBetween val="between"/>
      </c:valAx>
      <c:catAx>
        <c:axId val="380004936"/>
        <c:scaling>
          <c:orientation val="minMax"/>
        </c:scaling>
        <c:delete val="1"/>
        <c:axPos val="b"/>
        <c:numFmt formatCode="General" sourceLinked="1"/>
        <c:majorTickMark val="out"/>
        <c:minorTickMark val="none"/>
        <c:tickLblPos val="nextTo"/>
        <c:crossAx val="379994352"/>
        <c:crosses val="autoZero"/>
        <c:auto val="1"/>
        <c:lblAlgn val="ctr"/>
        <c:lblOffset val="100"/>
        <c:noMultiLvlLbl val="1"/>
      </c:catAx>
    </c:plotArea>
    <c:legend>
      <c:legendPos val="t"/>
      <c:layout>
        <c:manualLayout>
          <c:xMode val="edge"/>
          <c:yMode val="edge"/>
          <c:x val="8.6536859855206941E-2"/>
          <c:y val="8.2190729708745455E-2"/>
          <c:w val="0.84298511138872934"/>
          <c:h val="4.902594604870647E-2"/>
        </c:manualLayout>
      </c:layout>
      <c:overlay val="0"/>
      <c:txPr>
        <a:bodyPr/>
        <a:lstStyle/>
        <a:p>
          <a:pPr>
            <a:defRPr sz="20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pPr>
            <a:r>
              <a:rPr lang="en-US" sz="2400"/>
              <a:t>Afiliados al  Seguro Familiar de  Salud del Régimen Contributivo por Sexo y Tipo de Afiliación</a:t>
            </a:r>
          </a:p>
        </c:rich>
      </c:tx>
      <c:layout>
        <c:manualLayout>
          <c:xMode val="edge"/>
          <c:yMode val="edge"/>
          <c:x val="0.19091729872246757"/>
          <c:y val="6.2946270406929973E-3"/>
        </c:manualLayout>
      </c:layout>
      <c:overlay val="0"/>
    </c:title>
    <c:autoTitleDeleted val="0"/>
    <c:view3D>
      <c:rotX val="0"/>
      <c:rotY val="0"/>
      <c:rAngAx val="0"/>
      <c:perspective val="40"/>
    </c:view3D>
    <c:floor>
      <c:thickness val="0"/>
    </c:floor>
    <c:sideWall>
      <c:thickness val="0"/>
    </c:sideWall>
    <c:backWall>
      <c:thickness val="0"/>
    </c:backWall>
    <c:plotArea>
      <c:layout>
        <c:manualLayout>
          <c:layoutTarget val="inner"/>
          <c:xMode val="edge"/>
          <c:yMode val="edge"/>
          <c:x val="4.9744453824414883E-3"/>
          <c:y val="0.1533718411123742"/>
          <c:w val="0.9746837036071524"/>
          <c:h val="0.63748556093199005"/>
        </c:manualLayout>
      </c:layout>
      <c:bar3DChart>
        <c:barDir val="col"/>
        <c:grouping val="stacked"/>
        <c:varyColors val="0"/>
        <c:ser>
          <c:idx val="0"/>
          <c:order val="0"/>
          <c:tx>
            <c:strRef>
              <c:f>'III.2.6.Afil. SFS RC X sex.tipo'!$A$5</c:f>
              <c:strCache>
                <c:ptCount val="1"/>
                <c:pt idx="0">
                  <c:v>Feb-12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sex.tipo'!$B$5:$D$5,'III.2.6.Afil. SFS RC X sex.tipo'!$F$5:$H$5)</c:f>
            </c:numRef>
          </c:val>
          <c:shape val="box"/>
        </c:ser>
        <c:ser>
          <c:idx val="1"/>
          <c:order val="1"/>
          <c:tx>
            <c:strRef>
              <c:f>'III.2.6.Afil. SFS RC X sex.tipo'!$A$6</c:f>
              <c:strCache>
                <c:ptCount val="1"/>
                <c:pt idx="0">
                  <c:v>Mar-12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sex.tipo'!$B$6:$D$6,'III.2.6.Afil. SFS RC X sex.tipo'!$F$6:$H$6)</c:f>
            </c:numRef>
          </c:val>
          <c:shape val="box"/>
        </c:ser>
        <c:ser>
          <c:idx val="2"/>
          <c:order val="2"/>
          <c:tx>
            <c:strRef>
              <c:f>'III.2.6.Afil. SFS RC X sex.tipo'!$A$7</c:f>
              <c:strCache>
                <c:ptCount val="1"/>
                <c:pt idx="0">
                  <c:v>Apr-12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sex.tipo'!$B$7:$D$7,'III.2.6.Afil. SFS RC X sex.tipo'!$F$7:$H$7)</c:f>
            </c:numRef>
          </c:val>
          <c:shape val="box"/>
        </c:ser>
        <c:ser>
          <c:idx val="3"/>
          <c:order val="3"/>
          <c:tx>
            <c:strRef>
              <c:f>'III.2.6.Afil. SFS RC X sex.tipo'!$A$8</c:f>
              <c:strCache>
                <c:ptCount val="1"/>
                <c:pt idx="0">
                  <c:v>May-12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sex.tipo'!$B$8:$D$8,'III.2.6.Afil. SFS RC X sex.tipo'!$F$8:$H$8)</c:f>
            </c:numRef>
          </c:val>
          <c:shape val="box"/>
        </c:ser>
        <c:ser>
          <c:idx val="4"/>
          <c:order val="4"/>
          <c:tx>
            <c:strRef>
              <c:f>'III.2.6.Afil. SFS RC X sex.tipo'!$A$9</c:f>
              <c:strCache>
                <c:ptCount val="1"/>
                <c:pt idx="0">
                  <c:v>Jun-12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sex.tipo'!$B$9:$D$9,'III.2.6.Afil. SFS RC X sex.tipo'!$F$9:$H$9)</c:f>
            </c:numRef>
          </c:val>
          <c:shape val="box"/>
        </c:ser>
        <c:ser>
          <c:idx val="5"/>
          <c:order val="5"/>
          <c:tx>
            <c:strRef>
              <c:f>'III.2.6.Afil. SFS RC X sex.tipo'!$A$10</c:f>
              <c:strCache>
                <c:ptCount val="1"/>
                <c:pt idx="0">
                  <c:v>Aug-12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sex.tipo'!$B$10:$D$10,'III.2.6.Afil. SFS RC X sex.tipo'!$F$10:$H$10)</c:f>
            </c:numRef>
          </c:val>
          <c:shape val="box"/>
        </c:ser>
        <c:ser>
          <c:idx val="6"/>
          <c:order val="6"/>
          <c:tx>
            <c:strRef>
              <c:f>'III.2.6.Afil. SFS RC X sex.tipo'!$A$11</c:f>
              <c:strCache>
                <c:ptCount val="1"/>
                <c:pt idx="0">
                  <c:v>Sep-12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sex.tipo'!$B$11:$D$11,'III.2.6.Afil. SFS RC X sex.tipo'!$F$11:$H$11)</c:f>
            </c:numRef>
          </c:val>
          <c:shape val="box"/>
        </c:ser>
        <c:ser>
          <c:idx val="7"/>
          <c:order val="7"/>
          <c:tx>
            <c:strRef>
              <c:f>'III.2.6.Afil. SFS RC X sex.tipo'!$A$12</c:f>
              <c:strCache>
                <c:ptCount val="1"/>
                <c:pt idx="0">
                  <c:v>Oct-12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sex.tipo'!$B$12:$D$12,'III.2.6.Afil. SFS RC X sex.tipo'!$F$12:$H$12)</c:f>
            </c:numRef>
          </c:val>
          <c:shape val="box"/>
        </c:ser>
        <c:ser>
          <c:idx val="8"/>
          <c:order val="8"/>
          <c:tx>
            <c:strRef>
              <c:f>'III.2.6.Afil. SFS RC X sex.tipo'!$A$13</c:f>
              <c:strCache>
                <c:ptCount val="1"/>
                <c:pt idx="0">
                  <c:v>Nov-12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sex.tipo'!$B$13:$D$13,'III.2.6.Afil. SFS RC X sex.tipo'!$F$13:$H$13)</c:f>
            </c:numRef>
          </c:val>
          <c:shape val="box"/>
        </c:ser>
        <c:ser>
          <c:idx val="9"/>
          <c:order val="9"/>
          <c:tx>
            <c:strRef>
              <c:f>'III.2.6.Afil. SFS RC X sex.tipo'!$A$14</c:f>
              <c:strCache>
                <c:ptCount val="1"/>
                <c:pt idx="0">
                  <c:v>Dec-12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sex.tipo'!$B$14:$D$14,'III.2.6.Afil. SFS RC X sex.tipo'!$F$14:$H$14)</c:f>
            </c:numRef>
          </c:val>
          <c:shape val="box"/>
        </c:ser>
        <c:ser>
          <c:idx val="10"/>
          <c:order val="10"/>
          <c:tx>
            <c:strRef>
              <c:f>'III.2.6.Afil. SFS RC X sex.tipo'!$A$15</c:f>
              <c:strCache>
                <c:ptCount val="1"/>
                <c:pt idx="0">
                  <c:v>Jan-13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sex.tipo'!$B$15:$D$15,'III.2.6.Afil. SFS RC X sex.tipo'!$F$15:$H$15)</c:f>
            </c:numRef>
          </c:val>
          <c:shape val="box"/>
        </c:ser>
        <c:ser>
          <c:idx val="11"/>
          <c:order val="11"/>
          <c:tx>
            <c:strRef>
              <c:f>'III.2.6.Afil. SFS RC X sex.tipo'!$A$16</c:f>
              <c:strCache>
                <c:ptCount val="1"/>
                <c:pt idx="0">
                  <c:v>Feb-13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sex.tipo'!$B$16:$D$16,'III.2.6.Afil. SFS RC X sex.tipo'!$F$16:$H$16)</c:f>
            </c:numRef>
          </c:val>
          <c:shape val="box"/>
        </c:ser>
        <c:ser>
          <c:idx val="12"/>
          <c:order val="12"/>
          <c:tx>
            <c:strRef>
              <c:f>'III.2.6.Afil. SFS RC X sex.tipo'!$A$17</c:f>
              <c:strCache>
                <c:ptCount val="1"/>
                <c:pt idx="0">
                  <c:v>Mar-13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sex.tipo'!$B$17:$D$17,'III.2.6.Afil. SFS RC X sex.tipo'!$F$17:$H$17)</c:f>
            </c:numRef>
          </c:val>
          <c:shape val="box"/>
        </c:ser>
        <c:ser>
          <c:idx val="13"/>
          <c:order val="13"/>
          <c:tx>
            <c:strRef>
              <c:f>'III.2.6.Afil. SFS RC X sex.tipo'!$A$18</c:f>
              <c:strCache>
                <c:ptCount val="1"/>
                <c:pt idx="0">
                  <c:v>Apr-13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sex.tipo'!$B$18:$D$18,'III.2.6.Afil. SFS RC X sex.tipo'!$F$18:$H$18)</c:f>
            </c:numRef>
          </c:val>
          <c:shape val="box"/>
        </c:ser>
        <c:ser>
          <c:idx val="14"/>
          <c:order val="14"/>
          <c:tx>
            <c:strRef>
              <c:f>'III.2.6.Afil. SFS RC X sex.tipo'!$A$19</c:f>
              <c:strCache>
                <c:ptCount val="1"/>
                <c:pt idx="0">
                  <c:v>May-13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sex.tipo'!$B$19:$D$19,'III.2.6.Afil. SFS RC X sex.tipo'!$F$19:$H$19)</c:f>
            </c:numRef>
          </c:val>
          <c:shape val="box"/>
        </c:ser>
        <c:ser>
          <c:idx val="15"/>
          <c:order val="15"/>
          <c:tx>
            <c:strRef>
              <c:f>'III.2.6.Afil. SFS RC X sex.tipo'!$A$20</c:f>
              <c:strCache>
                <c:ptCount val="1"/>
                <c:pt idx="0">
                  <c:v>Jun-13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sex.tipo'!$B$20:$D$20,'III.2.6.Afil. SFS RC X sex.tipo'!$F$20:$H$20)</c:f>
            </c:numRef>
          </c:val>
          <c:shape val="box"/>
        </c:ser>
        <c:ser>
          <c:idx val="16"/>
          <c:order val="16"/>
          <c:tx>
            <c:strRef>
              <c:f>'III.2.6.Afil. SFS RC X sex.tipo'!$A$21</c:f>
              <c:strCache>
                <c:ptCount val="1"/>
                <c:pt idx="0">
                  <c:v>Jul-13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sex.tipo'!$B$21:$D$21,'III.2.6.Afil. SFS RC X sex.tipo'!$F$21:$H$21)</c:f>
            </c:numRef>
          </c:val>
          <c:shape val="box"/>
        </c:ser>
        <c:ser>
          <c:idx val="17"/>
          <c:order val="17"/>
          <c:tx>
            <c:strRef>
              <c:f>'III.2.6.Afil. SFS RC X sex.tipo'!$A$22</c:f>
              <c:strCache>
                <c:ptCount val="1"/>
                <c:pt idx="0">
                  <c:v>Aug-13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sex.tipo'!$B$22:$D$22,'III.2.6.Afil. SFS RC X sex.tipo'!$F$22:$H$22)</c:f>
            </c:numRef>
          </c:val>
          <c:shape val="box"/>
        </c:ser>
        <c:ser>
          <c:idx val="18"/>
          <c:order val="18"/>
          <c:tx>
            <c:strRef>
              <c:f>'III.2.6.Afil. SFS RC X sex.tipo'!$A$23</c:f>
              <c:strCache>
                <c:ptCount val="1"/>
                <c:pt idx="0">
                  <c:v>Sep-13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sex.tipo'!$B$23:$D$23,'III.2.6.Afil. SFS RC X sex.tipo'!$F$23:$H$23)</c:f>
            </c:numRef>
          </c:val>
          <c:shape val="box"/>
        </c:ser>
        <c:ser>
          <c:idx val="19"/>
          <c:order val="19"/>
          <c:tx>
            <c:strRef>
              <c:f>'III.2.6.Afil. SFS RC X sex.tipo'!$A$24</c:f>
              <c:strCache>
                <c:ptCount val="1"/>
                <c:pt idx="0">
                  <c:v>Oct-13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sex.tipo'!$B$24:$D$24,'III.2.6.Afil. SFS RC X sex.tipo'!$F$24:$H$24)</c:f>
            </c:numRef>
          </c:val>
          <c:shape val="box"/>
        </c:ser>
        <c:ser>
          <c:idx val="20"/>
          <c:order val="20"/>
          <c:tx>
            <c:strRef>
              <c:f>'III.2.6.Afil. SFS RC X sex.tipo'!$A$25</c:f>
              <c:strCache>
                <c:ptCount val="1"/>
                <c:pt idx="0">
                  <c:v>Nov-13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sex.tipo'!$B$25:$D$25,'III.2.6.Afil. SFS RC X sex.tipo'!$F$25:$H$25)</c:f>
            </c:numRef>
          </c:val>
          <c:shape val="box"/>
        </c:ser>
        <c:ser>
          <c:idx val="21"/>
          <c:order val="21"/>
          <c:tx>
            <c:strRef>
              <c:f>'III.2.6.Afil. SFS RC X sex.tipo'!$A$26</c:f>
              <c:strCache>
                <c:ptCount val="1"/>
                <c:pt idx="0">
                  <c:v>Dec-13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sex.tipo'!$B$26:$D$26,'III.2.6.Afil. SFS RC X sex.tipo'!$F$26:$H$26)</c:f>
            </c:numRef>
          </c:val>
          <c:shape val="box"/>
        </c:ser>
        <c:ser>
          <c:idx val="22"/>
          <c:order val="22"/>
          <c:tx>
            <c:strRef>
              <c:f>'III.2.6.Afil. SFS RC X sex.tipo'!$A$27</c:f>
              <c:strCache>
                <c:ptCount val="1"/>
                <c:pt idx="0">
                  <c:v>Dic.07</c:v>
                </c:pt>
              </c:strCache>
            </c:strRef>
          </c:tx>
          <c:invertIfNegative val="0"/>
          <c:dLbls>
            <c:dLbl>
              <c:idx val="0"/>
              <c:layout>
                <c:manualLayout>
                  <c:x val="5.5713837935464508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7.5362789378183755E-3"/>
                  <c:y val="3.479223283948452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delete val="1"/>
              <c:extLst>
                <c:ext xmlns:c15="http://schemas.microsoft.com/office/drawing/2012/chart" uri="{CE6537A1-D6FC-4f65-9D91-7224C49458BB}"/>
              </c:extLst>
            </c:dLbl>
            <c:dLbl>
              <c:idx val="3"/>
              <c:layout>
                <c:manualLayout>
                  <c:x val="8.3570756903196767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delete val="1"/>
              <c:extLst>
                <c:ext xmlns:c15="http://schemas.microsoft.com/office/drawing/2012/chart" uri="{CE6537A1-D6FC-4f65-9D91-7224C49458BB}"/>
              </c:extLst>
            </c:dLbl>
            <c:spPr>
              <a:noFill/>
              <a:ln>
                <a:noFill/>
              </a:ln>
              <a:effectLst/>
            </c:spPr>
            <c:txPr>
              <a:bodyPr/>
              <a:lstStyle/>
              <a:p>
                <a:pPr>
                  <a:defRPr sz="1400" b="1"/>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sex.tipo'!$B$27:$D$27,'III.2.6.Afil. SFS RC X sex.tipo'!$F$27:$H$27)</c:f>
              <c:numCache>
                <c:formatCode>#,##0</c:formatCode>
                <c:ptCount val="6"/>
                <c:pt idx="0">
                  <c:v>531330</c:v>
                </c:pt>
                <c:pt idx="1">
                  <c:v>259903</c:v>
                </c:pt>
                <c:pt idx="2">
                  <c:v>1282</c:v>
                </c:pt>
                <c:pt idx="3">
                  <c:v>388581</c:v>
                </c:pt>
                <c:pt idx="4">
                  <c:v>293112</c:v>
                </c:pt>
                <c:pt idx="5">
                  <c:v>2973</c:v>
                </c:pt>
              </c:numCache>
            </c:numRef>
          </c:val>
        </c:ser>
        <c:ser>
          <c:idx val="23"/>
          <c:order val="23"/>
          <c:tx>
            <c:strRef>
              <c:f>'III.2.6.Afil. SFS RC X sex.tipo'!$A$28</c:f>
              <c:strCache>
                <c:ptCount val="1"/>
                <c:pt idx="0">
                  <c:v>Dic.08</c:v>
                </c:pt>
              </c:strCache>
            </c:strRef>
          </c:tx>
          <c:invertIfNegative val="0"/>
          <c:dLbls>
            <c:dLbl>
              <c:idx val="0"/>
              <c:layout>
                <c:manualLayout>
                  <c:x val="6.267806767739758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delete val="1"/>
              <c:extLst>
                <c:ext xmlns:c15="http://schemas.microsoft.com/office/drawing/2012/chart" uri="{CE6537A1-D6FC-4f65-9D91-7224C49458BB}"/>
              </c:extLst>
            </c:dLbl>
            <c:dLbl>
              <c:idx val="3"/>
              <c:layout>
                <c:manualLayout>
                  <c:x val="6.9642297419330642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delete val="1"/>
              <c:extLst>
                <c:ext xmlns:c15="http://schemas.microsoft.com/office/drawing/2012/chart" uri="{CE6537A1-D6FC-4f65-9D91-7224C49458BB}"/>
              </c:extLst>
            </c:dLbl>
            <c:spPr>
              <a:noFill/>
              <a:ln>
                <a:noFill/>
              </a:ln>
              <a:effectLst/>
            </c:spPr>
            <c:txPr>
              <a:bodyPr/>
              <a:lstStyle/>
              <a:p>
                <a:pPr>
                  <a:defRPr sz="1400" b="1"/>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sex.tipo'!$B$28:$D$28,'III.2.6.Afil. SFS RC X sex.tipo'!$F$28:$H$28)</c:f>
              <c:numCache>
                <c:formatCode>#,##0</c:formatCode>
                <c:ptCount val="6"/>
                <c:pt idx="0">
                  <c:v>554588</c:v>
                </c:pt>
                <c:pt idx="1">
                  <c:v>330370</c:v>
                </c:pt>
                <c:pt idx="2">
                  <c:v>5444</c:v>
                </c:pt>
                <c:pt idx="3">
                  <c:v>411558</c:v>
                </c:pt>
                <c:pt idx="4">
                  <c:v>376958</c:v>
                </c:pt>
                <c:pt idx="5">
                  <c:v>13341</c:v>
                </c:pt>
              </c:numCache>
            </c:numRef>
          </c:val>
        </c:ser>
        <c:ser>
          <c:idx val="24"/>
          <c:order val="24"/>
          <c:tx>
            <c:strRef>
              <c:f>'III.2.6.Afil. SFS RC X sex.tipo'!$A$29</c:f>
              <c:strCache>
                <c:ptCount val="1"/>
                <c:pt idx="0">
                  <c:v>Dic.09</c:v>
                </c:pt>
              </c:strCache>
            </c:strRef>
          </c:tx>
          <c:spPr>
            <a:solidFill>
              <a:srgbClr val="FFFF00"/>
            </a:solidFill>
          </c:spPr>
          <c:invertIfNegative val="0"/>
          <c:dLbls>
            <c:dLbl>
              <c:idx val="0"/>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delete val="1"/>
              <c:extLst>
                <c:ext xmlns:c15="http://schemas.microsoft.com/office/drawing/2012/chart" uri="{CE6537A1-D6FC-4f65-9D91-7224C49458BB}"/>
              </c:extLst>
            </c:dLbl>
            <c:dLbl>
              <c:idx val="3"/>
              <c:layout>
                <c:manualLayout>
                  <c:x val="6.267806767739758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delete val="1"/>
              <c:extLst>
                <c:ext xmlns:c15="http://schemas.microsoft.com/office/drawing/2012/chart" uri="{CE6537A1-D6FC-4f65-9D91-7224C49458BB}"/>
              </c:extLst>
            </c:dLbl>
            <c:spPr>
              <a:noFill/>
              <a:ln>
                <a:noFill/>
              </a:ln>
              <a:effectLst/>
            </c:spPr>
            <c:txPr>
              <a:bodyPr/>
              <a:lstStyle/>
              <a:p>
                <a:pPr>
                  <a:defRPr sz="1400" b="1"/>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sex.tipo'!$B$29:$D$29,'III.2.6.Afil. SFS RC X sex.tipo'!$F$29:$H$29)</c:f>
              <c:numCache>
                <c:formatCode>#,##0</c:formatCode>
                <c:ptCount val="6"/>
                <c:pt idx="0">
                  <c:v>621549</c:v>
                </c:pt>
                <c:pt idx="1">
                  <c:v>444129</c:v>
                </c:pt>
                <c:pt idx="2">
                  <c:v>13199</c:v>
                </c:pt>
                <c:pt idx="3">
                  <c:v>458053</c:v>
                </c:pt>
                <c:pt idx="4">
                  <c:v>518280</c:v>
                </c:pt>
                <c:pt idx="5">
                  <c:v>33089</c:v>
                </c:pt>
              </c:numCache>
            </c:numRef>
          </c:val>
        </c:ser>
        <c:ser>
          <c:idx val="25"/>
          <c:order val="25"/>
          <c:tx>
            <c:strRef>
              <c:f>'III.2.6.Afil. SFS RC X sex.tipo'!$A$30</c:f>
              <c:strCache>
                <c:ptCount val="1"/>
                <c:pt idx="0">
                  <c:v>Dic.10</c:v>
                </c:pt>
              </c:strCache>
            </c:strRef>
          </c:tx>
          <c:invertIfNegative val="0"/>
          <c:dLbls>
            <c:dLbl>
              <c:idx val="0"/>
              <c:layout>
                <c:manualLayout>
                  <c:x val="6.9642297419330642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delete val="1"/>
              <c:extLst>
                <c:ext xmlns:c15="http://schemas.microsoft.com/office/drawing/2012/chart" uri="{CE6537A1-D6FC-4f65-9D91-7224C49458BB}"/>
              </c:extLst>
            </c:dLbl>
            <c:dLbl>
              <c:idx val="3"/>
              <c:layout>
                <c:manualLayout>
                  <c:x val="6.267806767739758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delete val="1"/>
              <c:extLst>
                <c:ext xmlns:c15="http://schemas.microsoft.com/office/drawing/2012/chart" uri="{CE6537A1-D6FC-4f65-9D91-7224C49458BB}"/>
              </c:extLst>
            </c:dLbl>
            <c:spPr>
              <a:noFill/>
              <a:ln>
                <a:noFill/>
              </a:ln>
              <a:effectLst/>
            </c:spPr>
            <c:txPr>
              <a:bodyPr/>
              <a:lstStyle/>
              <a:p>
                <a:pPr>
                  <a:defRPr sz="1400" b="1"/>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sex.tipo'!$B$30:$D$30,'III.2.6.Afil. SFS RC X sex.tipo'!$F$30:$H$30)</c:f>
              <c:numCache>
                <c:formatCode>#,##0</c:formatCode>
                <c:ptCount val="6"/>
                <c:pt idx="0">
                  <c:v>666490</c:v>
                </c:pt>
                <c:pt idx="1">
                  <c:v>523408</c:v>
                </c:pt>
                <c:pt idx="2">
                  <c:v>20284</c:v>
                </c:pt>
                <c:pt idx="3">
                  <c:v>486371</c:v>
                </c:pt>
                <c:pt idx="4">
                  <c:v>617395</c:v>
                </c:pt>
                <c:pt idx="5">
                  <c:v>50135</c:v>
                </c:pt>
              </c:numCache>
            </c:numRef>
          </c:val>
        </c:ser>
        <c:ser>
          <c:idx val="26"/>
          <c:order val="26"/>
          <c:tx>
            <c:strRef>
              <c:f>'III.2.6.Afil. SFS RC X sex.tipo'!$A$31</c:f>
              <c:strCache>
                <c:ptCount val="1"/>
                <c:pt idx="0">
                  <c:v>Dic.11</c:v>
                </c:pt>
              </c:strCache>
            </c:strRef>
          </c:tx>
          <c:spPr>
            <a:solidFill>
              <a:srgbClr val="92D050"/>
            </a:solidFill>
          </c:spPr>
          <c:invertIfNegative val="0"/>
          <c:dLbls>
            <c:dLbl>
              <c:idx val="0"/>
              <c:layout>
                <c:manualLayout>
                  <c:x val="6.267806767739758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6.267806767739758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delete val="1"/>
              <c:extLst>
                <c:ext xmlns:c15="http://schemas.microsoft.com/office/drawing/2012/chart" uri="{CE6537A1-D6FC-4f65-9D91-7224C49458BB}"/>
              </c:extLst>
            </c:dLbl>
            <c:dLbl>
              <c:idx val="3"/>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delete val="1"/>
              <c:extLst>
                <c:ext xmlns:c15="http://schemas.microsoft.com/office/drawing/2012/chart" uri="{CE6537A1-D6FC-4f65-9D91-7224C49458BB}"/>
              </c:extLst>
            </c:dLbl>
            <c:spPr>
              <a:noFill/>
              <a:ln>
                <a:noFill/>
              </a:ln>
              <a:effectLst/>
            </c:spPr>
            <c:txPr>
              <a:bodyPr/>
              <a:lstStyle/>
              <a:p>
                <a:pPr>
                  <a:defRPr sz="1400" b="1"/>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sex.tipo'!$B$31:$D$31,'III.2.6.Afil. SFS RC X sex.tipo'!$F$31:$H$31)</c:f>
              <c:numCache>
                <c:formatCode>#,##0</c:formatCode>
                <c:ptCount val="6"/>
                <c:pt idx="0">
                  <c:v>688507</c:v>
                </c:pt>
                <c:pt idx="1">
                  <c:v>563079</c:v>
                </c:pt>
                <c:pt idx="2">
                  <c:v>27872</c:v>
                </c:pt>
                <c:pt idx="3">
                  <c:v>499838</c:v>
                </c:pt>
                <c:pt idx="4">
                  <c:v>670940</c:v>
                </c:pt>
                <c:pt idx="5">
                  <c:v>67187</c:v>
                </c:pt>
              </c:numCache>
            </c:numRef>
          </c:val>
        </c:ser>
        <c:ser>
          <c:idx val="27"/>
          <c:order val="27"/>
          <c:tx>
            <c:strRef>
              <c:f>'III.2.6.Afil. SFS RC X sex.tipo'!$A$32</c:f>
              <c:strCache>
                <c:ptCount val="1"/>
                <c:pt idx="0">
                  <c:v>Dic.12</c:v>
                </c:pt>
              </c:strCache>
            </c:strRef>
          </c:tx>
          <c:spPr>
            <a:solidFill>
              <a:srgbClr val="7030A0"/>
            </a:solidFill>
          </c:spPr>
          <c:invertIfNegative val="0"/>
          <c:dLbls>
            <c:dLbl>
              <c:idx val="0"/>
              <c:layout>
                <c:manualLayout>
                  <c:x val="9.7499216387062892E-3"/>
                  <c:y val="-3.389569041651397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8.3570756903196767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delete val="1"/>
              <c:extLst>
                <c:ext xmlns:c15="http://schemas.microsoft.com/office/drawing/2012/chart" uri="{CE6537A1-D6FC-4f65-9D91-7224C49458BB}"/>
              </c:extLst>
            </c:dLbl>
            <c:dLbl>
              <c:idx val="3"/>
              <c:layout>
                <c:manualLayout>
                  <c:x val="5.5713837935464508E-3"/>
                  <c:y val="-6.7791380833028582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delete val="1"/>
              <c:extLst>
                <c:ext xmlns:c15="http://schemas.microsoft.com/office/drawing/2012/chart" uri="{CE6537A1-D6FC-4f65-9D91-7224C49458BB}"/>
              </c:extLst>
            </c:dLbl>
            <c:spPr>
              <a:noFill/>
              <a:ln>
                <a:noFill/>
              </a:ln>
              <a:effectLst/>
            </c:spPr>
            <c:txPr>
              <a:bodyPr/>
              <a:lstStyle/>
              <a:p>
                <a:pPr>
                  <a:defRPr sz="1400" b="1"/>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sex.tipo'!$B$32:$D$32,'III.2.6.Afil. SFS RC X sex.tipo'!$F$32:$H$32)</c:f>
              <c:numCache>
                <c:formatCode>#,##0</c:formatCode>
                <c:ptCount val="6"/>
                <c:pt idx="0">
                  <c:v>719477</c:v>
                </c:pt>
                <c:pt idx="1">
                  <c:v>607781</c:v>
                </c:pt>
                <c:pt idx="2">
                  <c:v>33530</c:v>
                </c:pt>
                <c:pt idx="3">
                  <c:v>523353</c:v>
                </c:pt>
                <c:pt idx="4">
                  <c:v>724697</c:v>
                </c:pt>
                <c:pt idx="5">
                  <c:v>79573</c:v>
                </c:pt>
              </c:numCache>
            </c:numRef>
          </c:val>
        </c:ser>
        <c:ser>
          <c:idx val="28"/>
          <c:order val="28"/>
          <c:tx>
            <c:strRef>
              <c:f>'III.2.6.Afil. SFS RC X sex.tipo'!$A$33</c:f>
              <c:strCache>
                <c:ptCount val="1"/>
                <c:pt idx="0">
                  <c:v>Dic.13</c:v>
                </c:pt>
              </c:strCache>
            </c:strRef>
          </c:tx>
          <c:spPr>
            <a:solidFill>
              <a:schemeClr val="bg2">
                <a:lumMod val="50000"/>
              </a:schemeClr>
            </a:solidFill>
          </c:spPr>
          <c:invertIfNegative val="0"/>
          <c:dLbls>
            <c:dLbl>
              <c:idx val="0"/>
              <c:layout>
                <c:manualLayout>
                  <c:x val="9.0534986645129829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6.9642297419330642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delete val="1"/>
              <c:extLst>
                <c:ext xmlns:c15="http://schemas.microsoft.com/office/drawing/2012/chart" uri="{CE6537A1-D6FC-4f65-9D91-7224C49458BB}"/>
              </c:extLst>
            </c:dLbl>
            <c:dLbl>
              <c:idx val="3"/>
              <c:layout>
                <c:manualLayout>
                  <c:x val="6.267806767739758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0"/>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delete val="1"/>
              <c:extLst>
                <c:ext xmlns:c15="http://schemas.microsoft.com/office/drawing/2012/chart" uri="{CE6537A1-D6FC-4f65-9D91-7224C49458BB}"/>
              </c:extLst>
            </c:dLbl>
            <c:spPr>
              <a:noFill/>
              <a:ln>
                <a:noFill/>
              </a:ln>
              <a:effectLst/>
            </c:spPr>
            <c:txPr>
              <a:bodyPr/>
              <a:lstStyle/>
              <a:p>
                <a:pPr>
                  <a:defRPr sz="1400" b="1"/>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sex.tipo'!$B$33:$D$33,'III.2.6.Afil. SFS RC X sex.tipo'!$F$33:$H$33)</c:f>
              <c:numCache>
                <c:formatCode>#,##0</c:formatCode>
                <c:ptCount val="6"/>
                <c:pt idx="0">
                  <c:v>761550</c:v>
                </c:pt>
                <c:pt idx="1">
                  <c:v>660882</c:v>
                </c:pt>
                <c:pt idx="2">
                  <c:v>39966</c:v>
                </c:pt>
                <c:pt idx="3">
                  <c:v>557229</c:v>
                </c:pt>
                <c:pt idx="4">
                  <c:v>788545</c:v>
                </c:pt>
                <c:pt idx="5">
                  <c:v>92804</c:v>
                </c:pt>
              </c:numCache>
            </c:numRef>
          </c:val>
        </c:ser>
        <c:ser>
          <c:idx val="29"/>
          <c:order val="29"/>
          <c:tx>
            <c:strRef>
              <c:f>'III.2.6.Afil. SFS RC X sex.tipo'!$A$34</c:f>
              <c:strCache>
                <c:ptCount val="1"/>
                <c:pt idx="0">
                  <c:v>Dic.14</c:v>
                </c:pt>
              </c:strCache>
            </c:strRef>
          </c:tx>
          <c:spPr>
            <a:solidFill>
              <a:srgbClr val="FF6600"/>
            </a:solidFill>
          </c:spPr>
          <c:invertIfNegative val="0"/>
          <c:dLbls>
            <c:dLbl>
              <c:idx val="0"/>
              <c:layout>
                <c:manualLayout>
                  <c:x val="9.0534986645129829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6.9642297419330642E-3"/>
                  <c:y val="-3.389569041651335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delete val="1"/>
              <c:extLst>
                <c:ext xmlns:c15="http://schemas.microsoft.com/office/drawing/2012/chart" uri="{CE6537A1-D6FC-4f65-9D91-7224C49458BB}"/>
              </c:extLst>
            </c:dLbl>
            <c:dLbl>
              <c:idx val="3"/>
              <c:layout>
                <c:manualLayout>
                  <c:x val="3.4821148709665321E-3"/>
                  <c:y val="-6.779138083302795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6.9642297419330635E-4"/>
                  <c:y val="-3.389569041651397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delete val="1"/>
              <c:extLst>
                <c:ext xmlns:c15="http://schemas.microsoft.com/office/drawing/2012/chart" uri="{CE6537A1-D6FC-4f65-9D91-7224C49458BB}"/>
              </c:extLst>
            </c:dLbl>
            <c:spPr>
              <a:noFill/>
              <a:ln>
                <a:noFill/>
              </a:ln>
              <a:effectLst/>
            </c:spPr>
            <c:txPr>
              <a:bodyPr/>
              <a:lstStyle/>
              <a:p>
                <a:pPr>
                  <a:defRPr sz="1400" b="1"/>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sex.tipo'!$B$34:$D$34,'III.2.6.Afil. SFS RC X sex.tipo'!$F$34:$H$34)</c:f>
              <c:numCache>
                <c:formatCode>#,##0</c:formatCode>
                <c:ptCount val="6"/>
                <c:pt idx="0">
                  <c:v>816912</c:v>
                </c:pt>
                <c:pt idx="1">
                  <c:v>715603</c:v>
                </c:pt>
                <c:pt idx="2">
                  <c:v>45810</c:v>
                </c:pt>
                <c:pt idx="3">
                  <c:v>606074</c:v>
                </c:pt>
                <c:pt idx="4">
                  <c:v>852938</c:v>
                </c:pt>
                <c:pt idx="5">
                  <c:v>104262</c:v>
                </c:pt>
              </c:numCache>
            </c:numRef>
          </c:val>
        </c:ser>
        <c:ser>
          <c:idx val="30"/>
          <c:order val="30"/>
          <c:tx>
            <c:strRef>
              <c:f>'III.2.6.Afil. SFS RC X sex.tipo'!$A$35</c:f>
              <c:strCache>
                <c:ptCount val="1"/>
                <c:pt idx="0">
                  <c:v>Nov.15</c:v>
                </c:pt>
              </c:strCache>
            </c:strRef>
          </c:tx>
          <c:spPr>
            <a:solidFill>
              <a:schemeClr val="bg1">
                <a:lumMod val="50000"/>
              </a:schemeClr>
            </a:solidFill>
          </c:spPr>
          <c:invertIfNegative val="0"/>
          <c:dLbls>
            <c:dLbl>
              <c:idx val="0"/>
              <c:layout>
                <c:manualLayout>
                  <c:x val="7.088613752881545E-3"/>
                  <c:y val="1.8623395917693332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5.5713837935464508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5.372405243277107E-3"/>
                  <c:y val="-4.590807403272072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39285951292474E-3"/>
                  <c:y val="1.7878675941848162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4.1785378451598383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1.4450765422332753E-2"/>
                  <c:y val="-4.5963928030909117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600" b="1"/>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sex.tipo'!$B$35:$D$35,'III.2.6.Afil. SFS RC X sex.tipo'!$F$35:$H$35)</c:f>
              <c:numCache>
                <c:formatCode>#,##0</c:formatCode>
                <c:ptCount val="6"/>
                <c:pt idx="0">
                  <c:v>868824</c:v>
                </c:pt>
                <c:pt idx="1">
                  <c:v>758417</c:v>
                </c:pt>
                <c:pt idx="2">
                  <c:v>54981</c:v>
                </c:pt>
                <c:pt idx="3">
                  <c:v>648011</c:v>
                </c:pt>
                <c:pt idx="4">
                  <c:v>901526</c:v>
                </c:pt>
                <c:pt idx="5">
                  <c:v>120940</c:v>
                </c:pt>
              </c:numCache>
            </c:numRef>
          </c:val>
        </c:ser>
        <c:dLbls>
          <c:showLegendKey val="0"/>
          <c:showVal val="0"/>
          <c:showCatName val="0"/>
          <c:showSerName val="0"/>
          <c:showPercent val="0"/>
          <c:showBubbleSize val="0"/>
        </c:dLbls>
        <c:gapWidth val="75"/>
        <c:shape val="cylinder"/>
        <c:axId val="379993568"/>
        <c:axId val="379984552"/>
        <c:axId val="0"/>
      </c:bar3DChart>
      <c:catAx>
        <c:axId val="379993568"/>
        <c:scaling>
          <c:orientation val="minMax"/>
        </c:scaling>
        <c:delete val="0"/>
        <c:axPos val="b"/>
        <c:numFmt formatCode="General" sourceLinked="0"/>
        <c:majorTickMark val="none"/>
        <c:minorTickMark val="none"/>
        <c:tickLblPos val="nextTo"/>
        <c:txPr>
          <a:bodyPr/>
          <a:lstStyle/>
          <a:p>
            <a:pPr>
              <a:defRPr sz="1600" b="1"/>
            </a:pPr>
            <a:endParaRPr lang="es-ES"/>
          </a:p>
        </c:txPr>
        <c:crossAx val="379984552"/>
        <c:crosses val="autoZero"/>
        <c:auto val="1"/>
        <c:lblAlgn val="ctr"/>
        <c:lblOffset val="100"/>
        <c:noMultiLvlLbl val="0"/>
      </c:catAx>
      <c:valAx>
        <c:axId val="379984552"/>
        <c:scaling>
          <c:orientation val="minMax"/>
        </c:scaling>
        <c:delete val="1"/>
        <c:axPos val="l"/>
        <c:numFmt formatCode="#,##0" sourceLinked="1"/>
        <c:majorTickMark val="none"/>
        <c:minorTickMark val="none"/>
        <c:tickLblPos val="nextTo"/>
        <c:crossAx val="379993568"/>
        <c:crosses val="autoZero"/>
        <c:crossBetween val="between"/>
      </c:valAx>
    </c:plotArea>
    <c:legend>
      <c:legendPos val="t"/>
      <c:layout>
        <c:manualLayout>
          <c:xMode val="edge"/>
          <c:yMode val="edge"/>
          <c:x val="0.14517668153228691"/>
          <c:y val="6.7714834610856936E-2"/>
          <c:w val="0.72955046299995185"/>
          <c:h val="5.5306089462610689E-2"/>
        </c:manualLayout>
      </c:layout>
      <c:overlay val="0"/>
      <c:txPr>
        <a:bodyPr/>
        <a:lstStyle/>
        <a:p>
          <a:pPr>
            <a:defRPr sz="2000"/>
          </a:pPr>
          <a:endParaRPr lang="es-ES"/>
        </a:p>
      </c:txPr>
    </c:legend>
    <c:plotVisOnly val="1"/>
    <c:dispBlanksAs val="gap"/>
    <c:showDLblsOverMax val="0"/>
  </c:chart>
  <c:spPr>
    <a:ln>
      <a:noFill/>
    </a:ln>
  </c:sp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800"/>
            </a:pPr>
            <a:r>
              <a:rPr lang="en-US" sz="1800"/>
              <a:t>Afiliación del Seguro Familiar de Salud del Régimen Subsidiado por Tipo</a:t>
            </a:r>
          </a:p>
        </c:rich>
      </c:tx>
      <c:layout>
        <c:manualLayout>
          <c:xMode val="edge"/>
          <c:yMode val="edge"/>
          <c:x val="0.29766888263690827"/>
          <c:y val="7.9340400496555104E-3"/>
        </c:manualLayout>
      </c:layout>
      <c:overlay val="0"/>
    </c:title>
    <c:autoTitleDeleted val="0"/>
    <c:plotArea>
      <c:layout>
        <c:manualLayout>
          <c:layoutTarget val="inner"/>
          <c:xMode val="edge"/>
          <c:yMode val="edge"/>
          <c:x val="7.9746694968019685E-2"/>
          <c:y val="0.1948537803391053"/>
          <c:w val="0.84552119027445183"/>
          <c:h val="0.62921584173326106"/>
        </c:manualLayout>
      </c:layout>
      <c:barChart>
        <c:barDir val="col"/>
        <c:grouping val="clustered"/>
        <c:varyColors val="0"/>
        <c:ser>
          <c:idx val="1"/>
          <c:order val="0"/>
          <c:tx>
            <c:strRef>
              <c:f>'III.3.2. Afil anual SFS RS '!$C$3</c:f>
              <c:strCache>
                <c:ptCount val="1"/>
                <c:pt idx="0">
                  <c:v>Afiliados Dependientes </c:v>
                </c:pt>
              </c:strCache>
            </c:strRef>
          </c:tx>
          <c:spPr>
            <a:solidFill>
              <a:srgbClr val="0070C0"/>
            </a:solidFill>
          </c:spPr>
          <c:invertIfNegative val="0"/>
          <c:dLbls>
            <c:dLbl>
              <c:idx val="0"/>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0"/>
                  <c:y val="1.826273897944363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0"/>
                  <c:y val="1.826273897944353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9.5318195402901008E-4"/>
                  <c:y val="1.3044608126610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0"/>
                  <c:y val="1.826273897944363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6.9899202480575614E-17"/>
                  <c:y val="1.565377626809454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0"/>
                  <c:y val="1.826273897944363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2646794094126404E-2"/>
                  <c:y val="1.086410603831790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8.7519349735100671E-3"/>
                  <c:y val="1.3472996108008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0"/>
                  <c:y val="1.826273897944358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0"/>
                  <c:y val="1.30446081266107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'III.3.2. Afil anual SFS RS '!$A$4:$A$14</c:f>
              <c:strCache>
                <c:ptCount val="11"/>
                <c:pt idx="0">
                  <c:v>Dic. 2005</c:v>
                </c:pt>
                <c:pt idx="1">
                  <c:v>Dic. 2006</c:v>
                </c:pt>
                <c:pt idx="2">
                  <c:v>Dic. 2007</c:v>
                </c:pt>
                <c:pt idx="3">
                  <c:v>Dic. 2008</c:v>
                </c:pt>
                <c:pt idx="4">
                  <c:v>Dic. 2009</c:v>
                </c:pt>
                <c:pt idx="5">
                  <c:v>Dic. 2010</c:v>
                </c:pt>
                <c:pt idx="6">
                  <c:v>Dic. 2011</c:v>
                </c:pt>
                <c:pt idx="7">
                  <c:v>Dic. 2012</c:v>
                </c:pt>
                <c:pt idx="8">
                  <c:v>Dic. 2013</c:v>
                </c:pt>
                <c:pt idx="9">
                  <c:v>Dic. 2014</c:v>
                </c:pt>
                <c:pt idx="10">
                  <c:v>Nov. 2015</c:v>
                </c:pt>
              </c:strCache>
            </c:strRef>
          </c:cat>
          <c:val>
            <c:numRef>
              <c:f>'III.3.2. Afil anual SFS RS '!$C$4:$C$14</c:f>
              <c:numCache>
                <c:formatCode>_(* #,##0_);_(* \(#,##0\);_(* "-"??_);_(@_)</c:formatCode>
                <c:ptCount val="11"/>
                <c:pt idx="0">
                  <c:v>147182</c:v>
                </c:pt>
                <c:pt idx="1">
                  <c:v>255339</c:v>
                </c:pt>
                <c:pt idx="2">
                  <c:v>608289</c:v>
                </c:pt>
                <c:pt idx="3">
                  <c:v>734949</c:v>
                </c:pt>
                <c:pt idx="4">
                  <c:v>782176</c:v>
                </c:pt>
                <c:pt idx="5">
                  <c:v>1110536</c:v>
                </c:pt>
                <c:pt idx="6">
                  <c:v>1119652</c:v>
                </c:pt>
                <c:pt idx="7">
                  <c:v>1125311</c:v>
                </c:pt>
                <c:pt idx="8">
                  <c:v>1183528</c:v>
                </c:pt>
                <c:pt idx="9">
                  <c:v>1220432</c:v>
                </c:pt>
                <c:pt idx="10">
                  <c:v>1113802</c:v>
                </c:pt>
              </c:numCache>
            </c:numRef>
          </c:val>
        </c:ser>
        <c:ser>
          <c:idx val="0"/>
          <c:order val="1"/>
          <c:tx>
            <c:strRef>
              <c:f>'III.3.2. Afil anual SFS RS '!$B$3</c:f>
              <c:strCache>
                <c:ptCount val="1"/>
                <c:pt idx="0">
                  <c:v>Afiliados Titulares </c:v>
                </c:pt>
              </c:strCache>
            </c:strRef>
          </c:tx>
          <c:spPr>
            <a:solidFill>
              <a:schemeClr val="accent3">
                <a:lumMod val="75000"/>
              </a:schemeClr>
            </a:solidFill>
          </c:spPr>
          <c:invertIfNegative val="0"/>
          <c:dLbls>
            <c:dLbl>
              <c:idx val="0"/>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0"/>
                  <c:y val="2.087170169079272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9.5318195402901008E-4"/>
                  <c:y val="2.087170169079262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9.5318195402901008E-4"/>
                  <c:y val="7.826888134047367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5.0587176376506856E-3"/>
                  <c:y val="1.172075481935768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5.9018372439257789E-3"/>
                  <c:y val="8.683420626571016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0"/>
                  <c:y val="1.304481355674545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'III.3.2. Afil anual SFS RS '!$A$4:$A$14</c:f>
              <c:strCache>
                <c:ptCount val="11"/>
                <c:pt idx="0">
                  <c:v>Dic. 2005</c:v>
                </c:pt>
                <c:pt idx="1">
                  <c:v>Dic. 2006</c:v>
                </c:pt>
                <c:pt idx="2">
                  <c:v>Dic. 2007</c:v>
                </c:pt>
                <c:pt idx="3">
                  <c:v>Dic. 2008</c:v>
                </c:pt>
                <c:pt idx="4">
                  <c:v>Dic. 2009</c:v>
                </c:pt>
                <c:pt idx="5">
                  <c:v>Dic. 2010</c:v>
                </c:pt>
                <c:pt idx="6">
                  <c:v>Dic. 2011</c:v>
                </c:pt>
                <c:pt idx="7">
                  <c:v>Dic. 2012</c:v>
                </c:pt>
                <c:pt idx="8">
                  <c:v>Dic. 2013</c:v>
                </c:pt>
                <c:pt idx="9">
                  <c:v>Dic. 2014</c:v>
                </c:pt>
                <c:pt idx="10">
                  <c:v>Nov. 2015</c:v>
                </c:pt>
              </c:strCache>
            </c:strRef>
          </c:cat>
          <c:val>
            <c:numRef>
              <c:f>'III.3.2. Afil anual SFS RS '!$B$4:$B$14</c:f>
              <c:numCache>
                <c:formatCode>_(* #,##0_);_(* \(#,##0\);_(* "-"??_);_(@_)</c:formatCode>
                <c:ptCount val="11"/>
                <c:pt idx="0">
                  <c:v>106192</c:v>
                </c:pt>
                <c:pt idx="1">
                  <c:v>258701</c:v>
                </c:pt>
                <c:pt idx="2">
                  <c:v>473647</c:v>
                </c:pt>
                <c:pt idx="3">
                  <c:v>489949</c:v>
                </c:pt>
                <c:pt idx="4">
                  <c:v>622049</c:v>
                </c:pt>
                <c:pt idx="5">
                  <c:v>903250</c:v>
                </c:pt>
                <c:pt idx="6">
                  <c:v>883775</c:v>
                </c:pt>
                <c:pt idx="7">
                  <c:v>1178040</c:v>
                </c:pt>
                <c:pt idx="8">
                  <c:v>1568225</c:v>
                </c:pt>
                <c:pt idx="9">
                  <c:v>1795214</c:v>
                </c:pt>
                <c:pt idx="10">
                  <c:v>1993874</c:v>
                </c:pt>
              </c:numCache>
            </c:numRef>
          </c:val>
        </c:ser>
        <c:dLbls>
          <c:showLegendKey val="0"/>
          <c:showVal val="0"/>
          <c:showCatName val="0"/>
          <c:showSerName val="0"/>
          <c:showPercent val="0"/>
          <c:showBubbleSize val="0"/>
        </c:dLbls>
        <c:gapWidth val="42"/>
        <c:overlap val="30"/>
        <c:axId val="379984160"/>
        <c:axId val="379983768"/>
      </c:barChart>
      <c:lineChart>
        <c:grouping val="standard"/>
        <c:varyColors val="0"/>
        <c:ser>
          <c:idx val="2"/>
          <c:order val="2"/>
          <c:tx>
            <c:strRef>
              <c:f>'III.3.2. Afil anual SFS RS '!$G$3</c:f>
              <c:strCache>
                <c:ptCount val="1"/>
                <c:pt idx="0">
                  <c:v>Índice de dependencia</c:v>
                </c:pt>
              </c:strCache>
            </c:strRef>
          </c:tx>
          <c:spPr>
            <a:ln>
              <a:noFill/>
            </a:ln>
            <a:effectLst>
              <a:glow rad="228600">
                <a:schemeClr val="accent2">
                  <a:satMod val="175000"/>
                  <a:alpha val="40000"/>
                </a:schemeClr>
              </a:glow>
            </a:effectLst>
          </c:spPr>
          <c:marker>
            <c:symbol val="circle"/>
            <c:size val="12"/>
            <c:spPr>
              <a:gradFill>
                <a:gsLst>
                  <a:gs pos="0">
                    <a:srgbClr val="FFF200"/>
                  </a:gs>
                  <a:gs pos="45000">
                    <a:srgbClr val="FF7A00"/>
                  </a:gs>
                  <a:gs pos="70000">
                    <a:srgbClr val="FF0300"/>
                  </a:gs>
                  <a:gs pos="100000">
                    <a:srgbClr val="4D0808"/>
                  </a:gs>
                </a:gsLst>
                <a:lin ang="5400000" scaled="0"/>
              </a:gradFill>
              <a:ln>
                <a:noFill/>
              </a:ln>
              <a:effectLst>
                <a:glow rad="228600">
                  <a:schemeClr val="accent2">
                    <a:satMod val="175000"/>
                    <a:alpha val="40000"/>
                  </a:schemeClr>
                </a:glow>
              </a:effectLst>
            </c:spPr>
          </c:marker>
          <c:dLbls>
            <c:dLbl>
              <c:idx val="0"/>
              <c:layout>
                <c:manualLayout>
                  <c:x val="-2.5735912758783272E-2"/>
                  <c:y val="-4.174340338158544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2.0970002988638221E-2"/>
                  <c:y val="-4.174340338158535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2.4782730804754297E-2"/>
                  <c:y val="-5.478821693833085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2.4782730804754263E-2"/>
                  <c:y val="-3.913444067023635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2.85954586208703E-2"/>
                  <c:y val="-4.435236609293453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2.0016821034609212E-2"/>
                  <c:y val="-4.696132880428362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2.0970002988638152E-2"/>
                  <c:y val="-5.478821693833085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2.8450099385935658E-2"/>
                  <c:y val="2.761022463291938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2.8159394657494643E-2"/>
                  <c:y val="2.897375399155576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2.5517884961906233E-2"/>
                  <c:y val="3.691453962554377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2.0016821034609212E-2"/>
                  <c:y val="-5.47882169383309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'III.3.2. Afil anual SFS RS '!$A$4:$A$14</c:f>
              <c:strCache>
                <c:ptCount val="11"/>
                <c:pt idx="0">
                  <c:v>Dic. 2005</c:v>
                </c:pt>
                <c:pt idx="1">
                  <c:v>Dic. 2006</c:v>
                </c:pt>
                <c:pt idx="2">
                  <c:v>Dic. 2007</c:v>
                </c:pt>
                <c:pt idx="3">
                  <c:v>Dic. 2008</c:v>
                </c:pt>
                <c:pt idx="4">
                  <c:v>Dic. 2009</c:v>
                </c:pt>
                <c:pt idx="5">
                  <c:v>Dic. 2010</c:v>
                </c:pt>
                <c:pt idx="6">
                  <c:v>Dic. 2011</c:v>
                </c:pt>
                <c:pt idx="7">
                  <c:v>Dic. 2012</c:v>
                </c:pt>
                <c:pt idx="8">
                  <c:v>Dic. 2013</c:v>
                </c:pt>
                <c:pt idx="9">
                  <c:v>Dic. 2014</c:v>
                </c:pt>
                <c:pt idx="10">
                  <c:v>Nov. 2015</c:v>
                </c:pt>
              </c:strCache>
            </c:strRef>
          </c:cat>
          <c:val>
            <c:numRef>
              <c:f>'III.3.2. Afil anual SFS RS '!$G$4:$G$14</c:f>
              <c:numCache>
                <c:formatCode>_(* #,##0.00_);_(* \(#,##0.00\);_(* "-"??_);_(@_)</c:formatCode>
                <c:ptCount val="11"/>
                <c:pt idx="0">
                  <c:v>1.3859989453066144</c:v>
                </c:pt>
                <c:pt idx="1">
                  <c:v>0.9870043022640036</c:v>
                </c:pt>
                <c:pt idx="2">
                  <c:v>1.2842665529392143</c:v>
                </c:pt>
                <c:pt idx="3">
                  <c:v>1.5000520462333835</c:v>
                </c:pt>
                <c:pt idx="4">
                  <c:v>1.2574186277929873</c:v>
                </c:pt>
                <c:pt idx="5">
                  <c:v>1.229489067257127</c:v>
                </c:pt>
                <c:pt idx="6">
                  <c:v>1.2668971174789962</c:v>
                </c:pt>
                <c:pt idx="7">
                  <c:v>0.95524005976027981</c:v>
                </c:pt>
                <c:pt idx="8">
                  <c:v>0.75469272585247649</c:v>
                </c:pt>
                <c:pt idx="9">
                  <c:v>0.67982535786819842</c:v>
                </c:pt>
                <c:pt idx="10">
                  <c:v>0.55861202864373571</c:v>
                </c:pt>
              </c:numCache>
            </c:numRef>
          </c:val>
          <c:smooth val="0"/>
        </c:ser>
        <c:dLbls>
          <c:showLegendKey val="0"/>
          <c:showVal val="0"/>
          <c:showCatName val="0"/>
          <c:showSerName val="0"/>
          <c:showPercent val="0"/>
          <c:showBubbleSize val="0"/>
        </c:dLbls>
        <c:marker val="1"/>
        <c:smooth val="0"/>
        <c:axId val="379982200"/>
        <c:axId val="379982984"/>
      </c:lineChart>
      <c:catAx>
        <c:axId val="379984160"/>
        <c:scaling>
          <c:orientation val="minMax"/>
        </c:scaling>
        <c:delete val="0"/>
        <c:axPos val="b"/>
        <c:numFmt formatCode="General" sourceLinked="0"/>
        <c:majorTickMark val="none"/>
        <c:minorTickMark val="none"/>
        <c:tickLblPos val="nextTo"/>
        <c:txPr>
          <a:bodyPr/>
          <a:lstStyle/>
          <a:p>
            <a:pPr>
              <a:defRPr sz="1400"/>
            </a:pPr>
            <a:endParaRPr lang="es-ES"/>
          </a:p>
        </c:txPr>
        <c:crossAx val="379983768"/>
        <c:crosses val="autoZero"/>
        <c:auto val="1"/>
        <c:lblAlgn val="ctr"/>
        <c:lblOffset val="100"/>
        <c:noMultiLvlLbl val="0"/>
      </c:catAx>
      <c:valAx>
        <c:axId val="379983768"/>
        <c:scaling>
          <c:orientation val="minMax"/>
        </c:scaling>
        <c:delete val="0"/>
        <c:axPos val="l"/>
        <c:numFmt formatCode="_(* #,##0_);_(* \(#,##0\);_(* &quot;-&quot;??_);_(@_)" sourceLinked="1"/>
        <c:majorTickMark val="none"/>
        <c:minorTickMark val="none"/>
        <c:tickLblPos val="nextTo"/>
        <c:crossAx val="379984160"/>
        <c:crosses val="autoZero"/>
        <c:crossBetween val="between"/>
        <c:dispUnits>
          <c:builtInUnit val="thousands"/>
          <c:dispUnitsLbl>
            <c:layout>
              <c:manualLayout>
                <c:xMode val="edge"/>
                <c:yMode val="edge"/>
                <c:x val="5.8666683223492127E-3"/>
                <c:y val="0.47706337294627787"/>
              </c:manualLayout>
            </c:layout>
            <c:txPr>
              <a:bodyPr/>
              <a:lstStyle/>
              <a:p>
                <a:pPr>
                  <a:defRPr sz="1600"/>
                </a:pPr>
                <a:endParaRPr lang="es-ES"/>
              </a:p>
            </c:txPr>
          </c:dispUnitsLbl>
        </c:dispUnits>
      </c:valAx>
      <c:valAx>
        <c:axId val="379982984"/>
        <c:scaling>
          <c:orientation val="minMax"/>
          <c:max val="2"/>
        </c:scaling>
        <c:delete val="0"/>
        <c:axPos val="r"/>
        <c:numFmt formatCode="_(* #,##0.00_);_(* \(#,##0.00\);_(* &quot;-&quot;??_);_(@_)" sourceLinked="1"/>
        <c:majorTickMark val="out"/>
        <c:minorTickMark val="none"/>
        <c:tickLblPos val="nextTo"/>
        <c:crossAx val="379982200"/>
        <c:crosses val="max"/>
        <c:crossBetween val="between"/>
      </c:valAx>
      <c:catAx>
        <c:axId val="379982200"/>
        <c:scaling>
          <c:orientation val="minMax"/>
        </c:scaling>
        <c:delete val="1"/>
        <c:axPos val="b"/>
        <c:numFmt formatCode="General" sourceLinked="1"/>
        <c:majorTickMark val="out"/>
        <c:minorTickMark val="none"/>
        <c:tickLblPos val="nextTo"/>
        <c:crossAx val="379982984"/>
        <c:crosses val="autoZero"/>
        <c:auto val="1"/>
        <c:lblAlgn val="ctr"/>
        <c:lblOffset val="100"/>
        <c:noMultiLvlLbl val="0"/>
      </c:catAx>
    </c:plotArea>
    <c:legend>
      <c:legendPos val="t"/>
      <c:layout>
        <c:manualLayout>
          <c:xMode val="edge"/>
          <c:yMode val="edge"/>
          <c:x val="0.32420649376923394"/>
          <c:y val="6.2082250629853057E-2"/>
          <c:w val="0.36424851554520032"/>
          <c:h val="4.5018447396630787E-2"/>
        </c:manualLayout>
      </c:layout>
      <c:overlay val="0"/>
      <c:txPr>
        <a:bodyPr/>
        <a:lstStyle/>
        <a:p>
          <a:pPr>
            <a:defRPr sz="16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600"/>
            </a:pPr>
            <a:r>
              <a:rPr lang="en-US" sz="1600"/>
              <a:t>Afiliación Mensual al Seguro Familiar de Salud del Régimen Subsidiado por Tipo</a:t>
            </a:r>
          </a:p>
        </c:rich>
      </c:tx>
      <c:layout>
        <c:manualLayout>
          <c:xMode val="edge"/>
          <c:yMode val="edge"/>
          <c:x val="0.25082666889891775"/>
          <c:y val="2.3832761511190653E-2"/>
        </c:manualLayout>
      </c:layout>
      <c:overlay val="0"/>
    </c:title>
    <c:autoTitleDeleted val="0"/>
    <c:plotArea>
      <c:layout>
        <c:manualLayout>
          <c:layoutTarget val="inner"/>
          <c:xMode val="edge"/>
          <c:yMode val="edge"/>
          <c:x val="6.6788040787029365E-2"/>
          <c:y val="0.21419481994826337"/>
          <c:w val="0.89653224137341814"/>
          <c:h val="0.63479453378712269"/>
        </c:manualLayout>
      </c:layout>
      <c:barChart>
        <c:barDir val="col"/>
        <c:grouping val="clustered"/>
        <c:varyColors val="0"/>
        <c:ser>
          <c:idx val="0"/>
          <c:order val="0"/>
          <c:tx>
            <c:strRef>
              <c:f>' III.3.3.Afil.mensual SFS RS '!$B$3</c:f>
              <c:strCache>
                <c:ptCount val="1"/>
                <c:pt idx="0">
                  <c:v>Afiliados Titulares </c:v>
                </c:pt>
              </c:strCache>
            </c:strRef>
          </c:tx>
          <c:spPr>
            <a:solidFill>
              <a:srgbClr val="0070C0"/>
            </a:solidFill>
          </c:spPr>
          <c:invertIfNegative val="0"/>
          <c:dPt>
            <c:idx val="11"/>
            <c:invertIfNegative val="0"/>
            <c:bubble3D val="0"/>
            <c:spPr>
              <a:solidFill>
                <a:srgbClr val="0070C0"/>
              </a:solidFill>
              <a:ln>
                <a:noFill/>
              </a:ln>
            </c:spPr>
          </c:dPt>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III.3.3.Afil.mensual SFS RS '!$A$4:$A$16</c:f>
              <c:strCache>
                <c:ptCount val="13"/>
                <c:pt idx="0">
                  <c:v>Nov.14</c:v>
                </c:pt>
                <c:pt idx="1">
                  <c:v>Dic.14</c:v>
                </c:pt>
                <c:pt idx="2">
                  <c:v>Ene.15</c:v>
                </c:pt>
                <c:pt idx="3">
                  <c:v>Feb.15</c:v>
                </c:pt>
                <c:pt idx="4">
                  <c:v>Mar.15</c:v>
                </c:pt>
                <c:pt idx="5">
                  <c:v>Abr.15</c:v>
                </c:pt>
                <c:pt idx="6">
                  <c:v>May.15</c:v>
                </c:pt>
                <c:pt idx="7">
                  <c:v>Jun.15</c:v>
                </c:pt>
                <c:pt idx="8">
                  <c:v>Jul.15</c:v>
                </c:pt>
                <c:pt idx="9">
                  <c:v>Ago.15</c:v>
                </c:pt>
                <c:pt idx="10">
                  <c:v>Sep.15</c:v>
                </c:pt>
                <c:pt idx="11">
                  <c:v>Oct.15</c:v>
                </c:pt>
                <c:pt idx="12">
                  <c:v>Nov.15</c:v>
                </c:pt>
              </c:strCache>
            </c:strRef>
          </c:cat>
          <c:val>
            <c:numRef>
              <c:f>' III.3.3.Afil.mensual SFS RS '!$B$4:$B$16</c:f>
              <c:numCache>
                <c:formatCode>_(* #,##0_);_(* \(#,##0\);_(* "-"??_);_(@_)</c:formatCode>
                <c:ptCount val="13"/>
                <c:pt idx="0">
                  <c:v>1627454</c:v>
                </c:pt>
                <c:pt idx="1">
                  <c:v>1795214</c:v>
                </c:pt>
                <c:pt idx="2">
                  <c:v>1786117</c:v>
                </c:pt>
                <c:pt idx="3">
                  <c:v>1782070</c:v>
                </c:pt>
                <c:pt idx="4">
                  <c:v>1806581</c:v>
                </c:pt>
                <c:pt idx="5">
                  <c:v>1811780</c:v>
                </c:pt>
                <c:pt idx="6">
                  <c:v>1806574</c:v>
                </c:pt>
                <c:pt idx="7">
                  <c:v>1832898</c:v>
                </c:pt>
                <c:pt idx="8">
                  <c:v>1847595</c:v>
                </c:pt>
                <c:pt idx="9">
                  <c:v>1855392</c:v>
                </c:pt>
                <c:pt idx="10">
                  <c:v>1966061</c:v>
                </c:pt>
                <c:pt idx="11">
                  <c:v>1962747</c:v>
                </c:pt>
                <c:pt idx="12">
                  <c:v>1993874</c:v>
                </c:pt>
              </c:numCache>
            </c:numRef>
          </c:val>
        </c:ser>
        <c:ser>
          <c:idx val="1"/>
          <c:order val="1"/>
          <c:tx>
            <c:strRef>
              <c:f>' III.3.3.Afil.mensual SFS RS '!$C$3</c:f>
              <c:strCache>
                <c:ptCount val="1"/>
                <c:pt idx="0">
                  <c:v>Afiliados Dependientes </c:v>
                </c:pt>
              </c:strCache>
            </c:strRef>
          </c:tx>
          <c:spPr>
            <a:solidFill>
              <a:schemeClr val="accent3">
                <a:lumMod val="75000"/>
              </a:schemeClr>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III.3.3.Afil.mensual SFS RS '!$A$4:$A$16</c:f>
              <c:strCache>
                <c:ptCount val="13"/>
                <c:pt idx="0">
                  <c:v>Nov.14</c:v>
                </c:pt>
                <c:pt idx="1">
                  <c:v>Dic.14</c:v>
                </c:pt>
                <c:pt idx="2">
                  <c:v>Ene.15</c:v>
                </c:pt>
                <c:pt idx="3">
                  <c:v>Feb.15</c:v>
                </c:pt>
                <c:pt idx="4">
                  <c:v>Mar.15</c:v>
                </c:pt>
                <c:pt idx="5">
                  <c:v>Abr.15</c:v>
                </c:pt>
                <c:pt idx="6">
                  <c:v>May.15</c:v>
                </c:pt>
                <c:pt idx="7">
                  <c:v>Jun.15</c:v>
                </c:pt>
                <c:pt idx="8">
                  <c:v>Jul.15</c:v>
                </c:pt>
                <c:pt idx="9">
                  <c:v>Ago.15</c:v>
                </c:pt>
                <c:pt idx="10">
                  <c:v>Sep.15</c:v>
                </c:pt>
                <c:pt idx="11">
                  <c:v>Oct.15</c:v>
                </c:pt>
                <c:pt idx="12">
                  <c:v>Nov.15</c:v>
                </c:pt>
              </c:strCache>
            </c:strRef>
          </c:cat>
          <c:val>
            <c:numRef>
              <c:f>' III.3.3.Afil.mensual SFS RS '!$C$4:$C$16</c:f>
              <c:numCache>
                <c:formatCode>_(* #,##0_);_(* \(#,##0\);_(* "-"??_);_(@_)</c:formatCode>
                <c:ptCount val="13"/>
                <c:pt idx="0">
                  <c:v>1204555</c:v>
                </c:pt>
                <c:pt idx="1">
                  <c:v>1220432</c:v>
                </c:pt>
                <c:pt idx="2">
                  <c:v>1214864</c:v>
                </c:pt>
                <c:pt idx="3">
                  <c:v>1219963</c:v>
                </c:pt>
                <c:pt idx="4">
                  <c:v>1225984</c:v>
                </c:pt>
                <c:pt idx="5">
                  <c:v>1221857</c:v>
                </c:pt>
                <c:pt idx="6">
                  <c:v>1211157</c:v>
                </c:pt>
                <c:pt idx="7">
                  <c:v>1210455</c:v>
                </c:pt>
                <c:pt idx="8">
                  <c:v>1215547</c:v>
                </c:pt>
                <c:pt idx="9">
                  <c:v>1220552</c:v>
                </c:pt>
                <c:pt idx="10">
                  <c:v>1109948</c:v>
                </c:pt>
                <c:pt idx="11">
                  <c:v>1118089</c:v>
                </c:pt>
                <c:pt idx="12">
                  <c:v>1113802</c:v>
                </c:pt>
              </c:numCache>
            </c:numRef>
          </c:val>
        </c:ser>
        <c:dLbls>
          <c:showLegendKey val="0"/>
          <c:showVal val="0"/>
          <c:showCatName val="0"/>
          <c:showSerName val="0"/>
          <c:showPercent val="0"/>
          <c:showBubbleSize val="0"/>
        </c:dLbls>
        <c:gapWidth val="13"/>
        <c:axId val="379981416"/>
        <c:axId val="379981024"/>
      </c:barChart>
      <c:lineChart>
        <c:grouping val="standard"/>
        <c:varyColors val="0"/>
        <c:ser>
          <c:idx val="2"/>
          <c:order val="2"/>
          <c:tx>
            <c:strRef>
              <c:f>' III.3.3.Afil.mensual SFS RS '!$E$3</c:f>
              <c:strCache>
                <c:ptCount val="1"/>
                <c:pt idx="0">
                  <c:v>Índice de Dependencia</c:v>
                </c:pt>
              </c:strCache>
            </c:strRef>
          </c:tx>
          <c:spPr>
            <a:ln>
              <a:noFill/>
            </a:ln>
            <a:effectLst>
              <a:glow rad="228600">
                <a:schemeClr val="accent2">
                  <a:satMod val="175000"/>
                  <a:alpha val="40000"/>
                </a:schemeClr>
              </a:glow>
            </a:effectLst>
          </c:spPr>
          <c:marker>
            <c:spPr>
              <a:solidFill>
                <a:srgbClr val="FF0000"/>
              </a:solidFill>
              <a:ln>
                <a:noFill/>
              </a:ln>
              <a:effectLst>
                <a:glow rad="228600">
                  <a:schemeClr val="accent2">
                    <a:satMod val="175000"/>
                    <a:alpha val="40000"/>
                  </a:schemeClr>
                </a:glow>
              </a:effectLst>
            </c:spPr>
          </c:marker>
          <c:dLbls>
            <c:dLbl>
              <c:idx val="0"/>
              <c:layout>
                <c:manualLayout>
                  <c:x val="-2.279655581736692E-2"/>
                  <c:y val="-4.230760163305805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2.8495694771708647E-2"/>
                  <c:y val="-3.905317073820743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2.5076211399103612E-2"/>
                  <c:y val="-4.556203252790866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2.5076211399103612E-2"/>
                  <c:y val="-5.207089431760990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2.8495694771708647E-2"/>
                  <c:y val="-5.207089431760990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2.9635522562576993E-2"/>
                  <c:y val="-6.183418700216176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2.7355866980840301E-2"/>
                  <c:y val="-5.207089431760984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2.8495694771708647E-2"/>
                  <c:y val="-5.857975610731114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2.963552256257691E-2"/>
                  <c:y val="-5.532532521246052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2.9635522562576993E-2"/>
                  <c:y val="-5.532532521246052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2.8495694771708647E-2"/>
                  <c:y val="-4.881646342275928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2.3936383608235266E-2"/>
                  <c:y val="-4.556203252790860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2"/>
              <c:layout>
                <c:manualLayout>
                  <c:x val="-2.7355866980840301E-2"/>
                  <c:y val="-6.1834187002161763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III.3.3.Afil.mensual SFS RS '!$A$4:$A$16</c:f>
              <c:strCache>
                <c:ptCount val="13"/>
                <c:pt idx="0">
                  <c:v>Nov.14</c:v>
                </c:pt>
                <c:pt idx="1">
                  <c:v>Dic.14</c:v>
                </c:pt>
                <c:pt idx="2">
                  <c:v>Ene.15</c:v>
                </c:pt>
                <c:pt idx="3">
                  <c:v>Feb.15</c:v>
                </c:pt>
                <c:pt idx="4">
                  <c:v>Mar.15</c:v>
                </c:pt>
                <c:pt idx="5">
                  <c:v>Abr.15</c:v>
                </c:pt>
                <c:pt idx="6">
                  <c:v>May.15</c:v>
                </c:pt>
                <c:pt idx="7">
                  <c:v>Jun.15</c:v>
                </c:pt>
                <c:pt idx="8">
                  <c:v>Jul.15</c:v>
                </c:pt>
                <c:pt idx="9">
                  <c:v>Ago.15</c:v>
                </c:pt>
                <c:pt idx="10">
                  <c:v>Sep.15</c:v>
                </c:pt>
                <c:pt idx="11">
                  <c:v>Oct.15</c:v>
                </c:pt>
                <c:pt idx="12">
                  <c:v>Nov.15</c:v>
                </c:pt>
              </c:strCache>
            </c:strRef>
          </c:cat>
          <c:val>
            <c:numRef>
              <c:f>' III.3.3.Afil.mensual SFS RS '!$E$4:$E$16</c:f>
              <c:numCache>
                <c:formatCode>0.00</c:formatCode>
                <c:ptCount val="13"/>
                <c:pt idx="0">
                  <c:v>0.74014687972747617</c:v>
                </c:pt>
                <c:pt idx="1">
                  <c:v>0.67982535786819842</c:v>
                </c:pt>
                <c:pt idx="2">
                  <c:v>0.68017044796057591</c:v>
                </c:pt>
                <c:pt idx="3">
                  <c:v>0.68457636344251349</c:v>
                </c:pt>
                <c:pt idx="4">
                  <c:v>0.67862110804885034</c:v>
                </c:pt>
                <c:pt idx="5">
                  <c:v>0.67439589795670551</c:v>
                </c:pt>
                <c:pt idx="6">
                  <c:v>0.67041648999708836</c:v>
                </c:pt>
                <c:pt idx="7">
                  <c:v>0.66040499798679464</c:v>
                </c:pt>
                <c:pt idx="8">
                  <c:v>0.65790771245862867</c:v>
                </c:pt>
                <c:pt idx="9">
                  <c:v>0.65784049947396561</c:v>
                </c:pt>
                <c:pt idx="10">
                  <c:v>0.56455420254000255</c:v>
                </c:pt>
                <c:pt idx="11">
                  <c:v>0.569655182252221</c:v>
                </c:pt>
                <c:pt idx="12">
                  <c:v>0.55861202864373571</c:v>
                </c:pt>
              </c:numCache>
            </c:numRef>
          </c:val>
          <c:smooth val="0"/>
        </c:ser>
        <c:dLbls>
          <c:showLegendKey val="0"/>
          <c:showVal val="0"/>
          <c:showCatName val="0"/>
          <c:showSerName val="0"/>
          <c:showPercent val="0"/>
          <c:showBubbleSize val="0"/>
        </c:dLbls>
        <c:marker val="1"/>
        <c:smooth val="0"/>
        <c:axId val="379980240"/>
        <c:axId val="379980632"/>
      </c:lineChart>
      <c:catAx>
        <c:axId val="379981416"/>
        <c:scaling>
          <c:orientation val="minMax"/>
        </c:scaling>
        <c:delete val="0"/>
        <c:axPos val="b"/>
        <c:numFmt formatCode="General" sourceLinked="0"/>
        <c:majorTickMark val="none"/>
        <c:minorTickMark val="none"/>
        <c:tickLblPos val="nextTo"/>
        <c:crossAx val="379981024"/>
        <c:crosses val="autoZero"/>
        <c:auto val="1"/>
        <c:lblAlgn val="ctr"/>
        <c:lblOffset val="100"/>
        <c:noMultiLvlLbl val="0"/>
      </c:catAx>
      <c:valAx>
        <c:axId val="379981024"/>
        <c:scaling>
          <c:orientation val="minMax"/>
        </c:scaling>
        <c:delete val="0"/>
        <c:axPos val="l"/>
        <c:numFmt formatCode="_(* #,##0_);_(* \(#,##0\);_(* &quot;-&quot;??_);_(@_)" sourceLinked="1"/>
        <c:majorTickMark val="none"/>
        <c:minorTickMark val="none"/>
        <c:tickLblPos val="nextTo"/>
        <c:crossAx val="379981416"/>
        <c:crosses val="autoZero"/>
        <c:crossBetween val="between"/>
        <c:dispUnits>
          <c:builtInUnit val="thousands"/>
          <c:dispUnitsLbl>
            <c:layout>
              <c:manualLayout>
                <c:xMode val="edge"/>
                <c:yMode val="edge"/>
                <c:x val="1.0828647374547067E-3"/>
                <c:y val="0.47195036563477277"/>
              </c:manualLayout>
            </c:layout>
          </c:dispUnitsLbl>
        </c:dispUnits>
      </c:valAx>
      <c:valAx>
        <c:axId val="379980632"/>
        <c:scaling>
          <c:orientation val="minMax"/>
          <c:max val="2"/>
        </c:scaling>
        <c:delete val="0"/>
        <c:axPos val="r"/>
        <c:numFmt formatCode="0.00" sourceLinked="1"/>
        <c:majorTickMark val="out"/>
        <c:minorTickMark val="none"/>
        <c:tickLblPos val="nextTo"/>
        <c:crossAx val="379980240"/>
        <c:crosses val="max"/>
        <c:crossBetween val="between"/>
      </c:valAx>
      <c:catAx>
        <c:axId val="379980240"/>
        <c:scaling>
          <c:orientation val="minMax"/>
        </c:scaling>
        <c:delete val="1"/>
        <c:axPos val="b"/>
        <c:numFmt formatCode="General" sourceLinked="1"/>
        <c:majorTickMark val="out"/>
        <c:minorTickMark val="none"/>
        <c:tickLblPos val="nextTo"/>
        <c:crossAx val="379980632"/>
        <c:crosses val="autoZero"/>
        <c:auto val="1"/>
        <c:lblAlgn val="ctr"/>
        <c:lblOffset val="100"/>
        <c:noMultiLvlLbl val="0"/>
      </c:catAx>
    </c:plotArea>
    <c:legend>
      <c:legendPos val="t"/>
      <c:layout>
        <c:manualLayout>
          <c:xMode val="edge"/>
          <c:yMode val="edge"/>
          <c:x val="0.29223026848067796"/>
          <c:y val="7.5263245704103102E-2"/>
          <c:w val="0.43535437340299893"/>
          <c:h val="4.5519911367861814E-2"/>
        </c:manualLayout>
      </c:layout>
      <c:overlay val="0"/>
      <c:txPr>
        <a:bodyPr/>
        <a:lstStyle/>
        <a:p>
          <a:pPr>
            <a:defRPr sz="11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600"/>
            </a:pPr>
            <a:r>
              <a:rPr lang="en-US" sz="1600"/>
              <a:t>Cobertura de Afiliación al Seguro Familiar de Salud del Régimen Subsidiado por Tipo</a:t>
            </a:r>
          </a:p>
        </c:rich>
      </c:tx>
      <c:layout>
        <c:manualLayout>
          <c:xMode val="edge"/>
          <c:yMode val="edge"/>
          <c:x val="0.27738726594006841"/>
          <c:y val="2.9088082875841793E-2"/>
        </c:manualLayout>
      </c:layout>
      <c:overlay val="0"/>
    </c:title>
    <c:autoTitleDeleted val="0"/>
    <c:plotArea>
      <c:layout>
        <c:manualLayout>
          <c:layoutTarget val="inner"/>
          <c:xMode val="edge"/>
          <c:yMode val="edge"/>
          <c:x val="6.0004964737791794E-2"/>
          <c:y val="0.14853207295153761"/>
          <c:w val="0.89753145044744387"/>
          <c:h val="0.67470584648242804"/>
        </c:manualLayout>
      </c:layout>
      <c:barChart>
        <c:barDir val="col"/>
        <c:grouping val="clustered"/>
        <c:varyColors val="0"/>
        <c:ser>
          <c:idx val="0"/>
          <c:order val="0"/>
          <c:tx>
            <c:strRef>
              <c:f>'III.3.4.Cob.Afil anual SFS RS'!$B$3</c:f>
              <c:strCache>
                <c:ptCount val="1"/>
                <c:pt idx="0">
                  <c:v>Cobertura de Afiliación por Titulares </c:v>
                </c:pt>
              </c:strCache>
            </c:strRef>
          </c:tx>
          <c:spPr>
            <a:solidFill>
              <a:srgbClr val="0070C0"/>
            </a:solidFill>
          </c:spPr>
          <c:invertIfNegative val="0"/>
          <c:dLbls>
            <c:dLbl>
              <c:idx val="0"/>
              <c:layout>
                <c:manualLayout>
                  <c:x val="0"/>
                  <c:y val="1.851851851851851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0"/>
                  <c:y val="1.587301587301587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0"/>
                  <c:y val="1.587301587301587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0"/>
                  <c:y val="2.116402116402116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9.2140930060390764E-4"/>
                  <c:y val="1.322751322751322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0"/>
                  <c:y val="1.058201058201058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0"/>
                  <c:y val="1.058201058201058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0"/>
                  <c:y val="1.3227513227513227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wrap="square" lIns="38100" tIns="19050" rIns="38100" bIns="19050" anchor="ctr">
                <a:spAutoFit/>
              </a:bodyPr>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'III.3.4.Cob.Afil anual SFS RS'!$A$4:$A$14</c:f>
              <c:strCache>
                <c:ptCount val="11"/>
                <c:pt idx="0">
                  <c:v>Dic. 2005</c:v>
                </c:pt>
                <c:pt idx="1">
                  <c:v>Dic. 2006</c:v>
                </c:pt>
                <c:pt idx="2">
                  <c:v>Dic. 2007</c:v>
                </c:pt>
                <c:pt idx="3">
                  <c:v>Dic. 2008</c:v>
                </c:pt>
                <c:pt idx="4">
                  <c:v>Dic. 2009</c:v>
                </c:pt>
                <c:pt idx="5">
                  <c:v>Dic. 2010</c:v>
                </c:pt>
                <c:pt idx="6">
                  <c:v>Dic. 2011</c:v>
                </c:pt>
                <c:pt idx="7">
                  <c:v>Dic. 2012</c:v>
                </c:pt>
                <c:pt idx="8">
                  <c:v>Dic. 2013</c:v>
                </c:pt>
                <c:pt idx="9">
                  <c:v>Dic. 2014</c:v>
                </c:pt>
                <c:pt idx="10">
                  <c:v>Nov. 2015</c:v>
                </c:pt>
              </c:strCache>
            </c:strRef>
          </c:cat>
          <c:val>
            <c:numRef>
              <c:f>'III.3.4.Cob.Afil anual SFS RS'!$B$4:$B$14</c:f>
              <c:numCache>
                <c:formatCode>_(* #,##0_);_(* \(#,##0\);_(* "-"??_);_(@_)</c:formatCode>
                <c:ptCount val="11"/>
                <c:pt idx="0">
                  <c:v>0</c:v>
                </c:pt>
                <c:pt idx="1">
                  <c:v>254831</c:v>
                </c:pt>
                <c:pt idx="2">
                  <c:v>473647</c:v>
                </c:pt>
                <c:pt idx="3">
                  <c:v>489949</c:v>
                </c:pt>
                <c:pt idx="4">
                  <c:v>575190</c:v>
                </c:pt>
                <c:pt idx="5">
                  <c:v>880620</c:v>
                </c:pt>
                <c:pt idx="6">
                  <c:v>885431</c:v>
                </c:pt>
                <c:pt idx="7">
                  <c:v>1170009</c:v>
                </c:pt>
                <c:pt idx="8">
                  <c:v>1467184</c:v>
                </c:pt>
                <c:pt idx="9">
                  <c:v>1795214</c:v>
                </c:pt>
                <c:pt idx="10">
                  <c:v>1962747</c:v>
                </c:pt>
              </c:numCache>
            </c:numRef>
          </c:val>
        </c:ser>
        <c:ser>
          <c:idx val="1"/>
          <c:order val="1"/>
          <c:tx>
            <c:strRef>
              <c:f>'III.3.4.Cob.Afil anual SFS RS'!$C$3</c:f>
              <c:strCache>
                <c:ptCount val="1"/>
                <c:pt idx="0">
                  <c:v>Cobertura de Afiliación por Dependientes</c:v>
                </c:pt>
              </c:strCache>
            </c:strRef>
          </c:tx>
          <c:spPr>
            <a:solidFill>
              <a:schemeClr val="accent3">
                <a:lumMod val="75000"/>
              </a:schemeClr>
            </a:solidFill>
          </c:spPr>
          <c:invertIfNegative val="0"/>
          <c:dLbls>
            <c:dLbl>
              <c:idx val="0"/>
              <c:layout>
                <c:manualLayout>
                  <c:x val="0"/>
                  <c:y val="1.587301587301587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3.3784617406026715E-17"/>
                  <c:y val="1.322751322751322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0"/>
                  <c:y val="1.851851851851851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9.2140930060390764E-4"/>
                  <c:y val="1.851851851851851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0"/>
                  <c:y val="1.851851851851851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0"/>
                  <c:y val="1.587301587301587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9.2140930060390764E-4"/>
                  <c:y val="1.587301587301587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0"/>
                  <c:y val="1.5873015873015872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wrap="square" lIns="38100" tIns="19050" rIns="38100" bIns="19050" anchor="ctr">
                <a:spAutoFit/>
              </a:bodyPr>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'III.3.4.Cob.Afil anual SFS RS'!$A$4:$A$14</c:f>
              <c:strCache>
                <c:ptCount val="11"/>
                <c:pt idx="0">
                  <c:v>Dic. 2005</c:v>
                </c:pt>
                <c:pt idx="1">
                  <c:v>Dic. 2006</c:v>
                </c:pt>
                <c:pt idx="2">
                  <c:v>Dic. 2007</c:v>
                </c:pt>
                <c:pt idx="3">
                  <c:v>Dic. 2008</c:v>
                </c:pt>
                <c:pt idx="4">
                  <c:v>Dic. 2009</c:v>
                </c:pt>
                <c:pt idx="5">
                  <c:v>Dic. 2010</c:v>
                </c:pt>
                <c:pt idx="6">
                  <c:v>Dic. 2011</c:v>
                </c:pt>
                <c:pt idx="7">
                  <c:v>Dic. 2012</c:v>
                </c:pt>
                <c:pt idx="8">
                  <c:v>Dic. 2013</c:v>
                </c:pt>
                <c:pt idx="9">
                  <c:v>Dic. 2014</c:v>
                </c:pt>
                <c:pt idx="10">
                  <c:v>Nov. 2015</c:v>
                </c:pt>
              </c:strCache>
            </c:strRef>
          </c:cat>
          <c:val>
            <c:numRef>
              <c:f>'III.3.4.Cob.Afil anual SFS RS'!$C$4:$C$14</c:f>
              <c:numCache>
                <c:formatCode>_(* #,##0_);_(* \(#,##0\);_(* "-"??_);_(@_)</c:formatCode>
                <c:ptCount val="11"/>
                <c:pt idx="0">
                  <c:v>0</c:v>
                </c:pt>
                <c:pt idx="1">
                  <c:v>258585</c:v>
                </c:pt>
                <c:pt idx="2">
                  <c:v>608289</c:v>
                </c:pt>
                <c:pt idx="3">
                  <c:v>734694</c:v>
                </c:pt>
                <c:pt idx="4">
                  <c:v>770976</c:v>
                </c:pt>
                <c:pt idx="5">
                  <c:v>967213</c:v>
                </c:pt>
                <c:pt idx="6">
                  <c:v>1110904</c:v>
                </c:pt>
                <c:pt idx="7">
                  <c:v>1124347</c:v>
                </c:pt>
                <c:pt idx="8">
                  <c:v>1179715</c:v>
                </c:pt>
                <c:pt idx="9">
                  <c:v>1220432</c:v>
                </c:pt>
                <c:pt idx="10">
                  <c:v>1126925</c:v>
                </c:pt>
              </c:numCache>
            </c:numRef>
          </c:val>
        </c:ser>
        <c:dLbls>
          <c:showLegendKey val="0"/>
          <c:showVal val="0"/>
          <c:showCatName val="0"/>
          <c:showSerName val="0"/>
          <c:showPercent val="0"/>
          <c:showBubbleSize val="0"/>
        </c:dLbls>
        <c:gapWidth val="23"/>
        <c:axId val="379997488"/>
        <c:axId val="379988472"/>
      </c:barChart>
      <c:lineChart>
        <c:grouping val="standard"/>
        <c:varyColors val="0"/>
        <c:ser>
          <c:idx val="2"/>
          <c:order val="2"/>
          <c:tx>
            <c:strRef>
              <c:f>'III.3.4.Cob.Afil anual SFS RS'!$E$3</c:f>
              <c:strCache>
                <c:ptCount val="1"/>
                <c:pt idx="0">
                  <c:v>Índice de dependencia</c:v>
                </c:pt>
              </c:strCache>
            </c:strRef>
          </c:tx>
          <c:spPr>
            <a:ln>
              <a:noFill/>
            </a:ln>
            <a:effectLst>
              <a:glow rad="228600">
                <a:schemeClr val="accent2">
                  <a:satMod val="175000"/>
                  <a:alpha val="40000"/>
                </a:schemeClr>
              </a:glow>
            </a:effectLst>
          </c:spPr>
          <c:marker>
            <c:spPr>
              <a:solidFill>
                <a:srgbClr val="FF0000"/>
              </a:solidFill>
              <a:ln>
                <a:noFill/>
              </a:ln>
              <a:effectLst>
                <a:glow rad="228600">
                  <a:schemeClr val="accent2">
                    <a:satMod val="175000"/>
                    <a:alpha val="40000"/>
                  </a:schemeClr>
                </a:glow>
              </a:effectLst>
            </c:spPr>
          </c:marker>
          <c:dLbls>
            <c:dLbl>
              <c:idx val="0"/>
              <c:layout>
                <c:manualLayout>
                  <c:x val="-1.8428186012078136E-2"/>
                  <c:y val="-3.968253968253968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2.0271004613285966E-2"/>
                  <c:y val="-4.232804232804232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2.0271004613285966E-2"/>
                  <c:y val="-4.232804232804237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9349595312682061E-2"/>
                  <c:y val="-5.026455026455026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8.292683705435169E-3"/>
                  <c:y val="3.703703703703703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0"/>
                  <c:y val="1.322751322751322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2.0271004613285966E-2"/>
                  <c:y val="-4.761904761904761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4742548809662522E-2"/>
                  <c:y val="-5.8201058201058198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wrap="square" lIns="38100" tIns="19050" rIns="38100" bIns="19050" anchor="ctr">
                <a:spAutoFit/>
              </a:bodyPr>
              <a:lstStyle/>
              <a:p>
                <a:pPr>
                  <a:defRPr sz="11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'III.3.4.Cob.Afil anual SFS RS'!$A$4:$A$14</c:f>
              <c:strCache>
                <c:ptCount val="11"/>
                <c:pt idx="0">
                  <c:v>Dic. 2005</c:v>
                </c:pt>
                <c:pt idx="1">
                  <c:v>Dic. 2006</c:v>
                </c:pt>
                <c:pt idx="2">
                  <c:v>Dic. 2007</c:v>
                </c:pt>
                <c:pt idx="3">
                  <c:v>Dic. 2008</c:v>
                </c:pt>
                <c:pt idx="4">
                  <c:v>Dic. 2009</c:v>
                </c:pt>
                <c:pt idx="5">
                  <c:v>Dic. 2010</c:v>
                </c:pt>
                <c:pt idx="6">
                  <c:v>Dic. 2011</c:v>
                </c:pt>
                <c:pt idx="7">
                  <c:v>Dic. 2012</c:v>
                </c:pt>
                <c:pt idx="8">
                  <c:v>Dic. 2013</c:v>
                </c:pt>
                <c:pt idx="9">
                  <c:v>Dic. 2014</c:v>
                </c:pt>
                <c:pt idx="10">
                  <c:v>Nov. 2015</c:v>
                </c:pt>
              </c:strCache>
            </c:strRef>
          </c:cat>
          <c:val>
            <c:numRef>
              <c:f>'III.3.4.Cob.Afil anual SFS RS'!$E$4:$E$14</c:f>
              <c:numCache>
                <c:formatCode>0.00</c:formatCode>
                <c:ptCount val="11"/>
                <c:pt idx="1">
                  <c:v>1.0147313317453528</c:v>
                </c:pt>
                <c:pt idx="2">
                  <c:v>1.2842665529392143</c:v>
                </c:pt>
                <c:pt idx="3">
                  <c:v>1.4995315838995487</c:v>
                </c:pt>
                <c:pt idx="4">
                  <c:v>1.3403849162885308</c:v>
                </c:pt>
                <c:pt idx="5">
                  <c:v>1.098331857100679</c:v>
                </c:pt>
                <c:pt idx="6">
                  <c:v>1.2546477365260533</c:v>
                </c:pt>
                <c:pt idx="7">
                  <c:v>0.96097294978072823</c:v>
                </c:pt>
                <c:pt idx="8">
                  <c:v>0.80406751982028157</c:v>
                </c:pt>
                <c:pt idx="9">
                  <c:v>0.67982535786819842</c:v>
                </c:pt>
                <c:pt idx="10">
                  <c:v>0.57415703603164336</c:v>
                </c:pt>
              </c:numCache>
            </c:numRef>
          </c:val>
          <c:smooth val="0"/>
        </c:ser>
        <c:dLbls>
          <c:showLegendKey val="0"/>
          <c:showVal val="0"/>
          <c:showCatName val="0"/>
          <c:showSerName val="0"/>
          <c:showPercent val="0"/>
          <c:showBubbleSize val="0"/>
        </c:dLbls>
        <c:marker val="1"/>
        <c:smooth val="0"/>
        <c:axId val="379984944"/>
        <c:axId val="379982592"/>
      </c:lineChart>
      <c:catAx>
        <c:axId val="379997488"/>
        <c:scaling>
          <c:orientation val="minMax"/>
        </c:scaling>
        <c:delete val="0"/>
        <c:axPos val="b"/>
        <c:numFmt formatCode="General" sourceLinked="0"/>
        <c:majorTickMark val="none"/>
        <c:minorTickMark val="none"/>
        <c:tickLblPos val="nextTo"/>
        <c:txPr>
          <a:bodyPr/>
          <a:lstStyle/>
          <a:p>
            <a:pPr>
              <a:defRPr sz="1400"/>
            </a:pPr>
            <a:endParaRPr lang="es-ES"/>
          </a:p>
        </c:txPr>
        <c:crossAx val="379988472"/>
        <c:crosses val="autoZero"/>
        <c:auto val="1"/>
        <c:lblAlgn val="ctr"/>
        <c:lblOffset val="100"/>
        <c:noMultiLvlLbl val="0"/>
      </c:catAx>
      <c:valAx>
        <c:axId val="379988472"/>
        <c:scaling>
          <c:orientation val="minMax"/>
        </c:scaling>
        <c:delete val="0"/>
        <c:axPos val="l"/>
        <c:numFmt formatCode="_(* #,##0_);_(* \(#,##0\);_(* &quot;-&quot;??_);_(@_)" sourceLinked="1"/>
        <c:majorTickMark val="none"/>
        <c:minorTickMark val="none"/>
        <c:tickLblPos val="nextTo"/>
        <c:crossAx val="379997488"/>
        <c:crosses val="autoZero"/>
        <c:crossBetween val="between"/>
        <c:dispUnits>
          <c:builtInUnit val="thousands"/>
          <c:dispUnitsLbl>
            <c:layout>
              <c:manualLayout>
                <c:xMode val="edge"/>
                <c:yMode val="edge"/>
                <c:x val="7.4451436797327445E-3"/>
                <c:y val="0.48168789900882375"/>
              </c:manualLayout>
            </c:layout>
            <c:txPr>
              <a:bodyPr/>
              <a:lstStyle/>
              <a:p>
                <a:pPr>
                  <a:defRPr sz="1200"/>
                </a:pPr>
                <a:endParaRPr lang="es-ES"/>
              </a:p>
            </c:txPr>
          </c:dispUnitsLbl>
        </c:dispUnits>
      </c:valAx>
      <c:valAx>
        <c:axId val="379982592"/>
        <c:scaling>
          <c:orientation val="minMax"/>
          <c:max val="2"/>
        </c:scaling>
        <c:delete val="0"/>
        <c:axPos val="r"/>
        <c:numFmt formatCode="0.00" sourceLinked="1"/>
        <c:majorTickMark val="out"/>
        <c:minorTickMark val="none"/>
        <c:tickLblPos val="nextTo"/>
        <c:crossAx val="379984944"/>
        <c:crosses val="max"/>
        <c:crossBetween val="between"/>
      </c:valAx>
      <c:catAx>
        <c:axId val="379984944"/>
        <c:scaling>
          <c:orientation val="minMax"/>
        </c:scaling>
        <c:delete val="1"/>
        <c:axPos val="b"/>
        <c:numFmt formatCode="General" sourceLinked="1"/>
        <c:majorTickMark val="out"/>
        <c:minorTickMark val="none"/>
        <c:tickLblPos val="nextTo"/>
        <c:crossAx val="379982592"/>
        <c:crosses val="autoZero"/>
        <c:auto val="1"/>
        <c:lblAlgn val="ctr"/>
        <c:lblOffset val="100"/>
        <c:noMultiLvlLbl val="0"/>
      </c:catAx>
    </c:plotArea>
    <c:legend>
      <c:legendPos val="t"/>
      <c:layout>
        <c:manualLayout>
          <c:xMode val="edge"/>
          <c:yMode val="edge"/>
          <c:x val="0.29313770503428255"/>
          <c:y val="9.2476870434776925E-2"/>
          <c:w val="0.4962387002413492"/>
          <c:h val="4.3833106933633174E-2"/>
        </c:manualLayout>
      </c:layout>
      <c:overlay val="0"/>
      <c:txPr>
        <a:bodyPr/>
        <a:lstStyle/>
        <a:p>
          <a:pPr>
            <a:defRPr sz="105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600"/>
            </a:pPr>
            <a:r>
              <a:rPr lang="en-US" sz="1600"/>
              <a:t>Cobertura de  Afiliación  Mensual  SFS del  RS por Tipo</a:t>
            </a:r>
          </a:p>
        </c:rich>
      </c:tx>
      <c:layout>
        <c:manualLayout>
          <c:xMode val="edge"/>
          <c:yMode val="edge"/>
          <c:x val="0.31255480083526921"/>
          <c:y val="2.5776960782343251E-2"/>
        </c:manualLayout>
      </c:layout>
      <c:overlay val="0"/>
    </c:title>
    <c:autoTitleDeleted val="0"/>
    <c:plotArea>
      <c:layout>
        <c:manualLayout>
          <c:layoutTarget val="inner"/>
          <c:xMode val="edge"/>
          <c:yMode val="edge"/>
          <c:x val="4.9239680371783709E-2"/>
          <c:y val="0.24565402824931884"/>
          <c:w val="0.90311157246613882"/>
          <c:h val="0.5834882828731015"/>
        </c:manualLayout>
      </c:layout>
      <c:barChart>
        <c:barDir val="col"/>
        <c:grouping val="clustered"/>
        <c:varyColors val="0"/>
        <c:ser>
          <c:idx val="0"/>
          <c:order val="0"/>
          <c:tx>
            <c:strRef>
              <c:f>'III.3.5.Cob.Afil.mens.SFS RS '!$B$3</c:f>
              <c:strCache>
                <c:ptCount val="1"/>
                <c:pt idx="0">
                  <c:v>Cobertura de Afiliación por Titulares </c:v>
                </c:pt>
              </c:strCache>
            </c:strRef>
          </c:tx>
          <c:spPr>
            <a:solidFill>
              <a:srgbClr val="0070C0"/>
            </a:solidFill>
          </c:spPr>
          <c:invertIfNegative val="0"/>
          <c:dPt>
            <c:idx val="11"/>
            <c:invertIfNegative val="0"/>
            <c:bubble3D val="0"/>
            <c:spPr>
              <a:solidFill>
                <a:srgbClr val="0070C0"/>
              </a:solidFill>
              <a:ln>
                <a:noFill/>
              </a:ln>
            </c:spPr>
          </c:dPt>
          <c:dLbls>
            <c:dLbl>
              <c:idx val="11"/>
              <c:layout>
                <c:manualLayout>
                  <c:x val="0"/>
                  <c:y val="5.3209585434483495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'III.3.5.Cob.Afil.mens.SFS RS '!$A$4:$A$16</c:f>
              <c:strCache>
                <c:ptCount val="13"/>
                <c:pt idx="0">
                  <c:v>Nov.14</c:v>
                </c:pt>
                <c:pt idx="1">
                  <c:v>Dic.14</c:v>
                </c:pt>
                <c:pt idx="2">
                  <c:v>Ene.15</c:v>
                </c:pt>
                <c:pt idx="3">
                  <c:v>Feb.15</c:v>
                </c:pt>
                <c:pt idx="4">
                  <c:v>Mar.15</c:v>
                </c:pt>
                <c:pt idx="5">
                  <c:v>Abr.15</c:v>
                </c:pt>
                <c:pt idx="6">
                  <c:v>May.15</c:v>
                </c:pt>
                <c:pt idx="7">
                  <c:v>Jun.15</c:v>
                </c:pt>
                <c:pt idx="8">
                  <c:v>Jul.15</c:v>
                </c:pt>
                <c:pt idx="9">
                  <c:v>Ago.15</c:v>
                </c:pt>
                <c:pt idx="10">
                  <c:v>Sep.15</c:v>
                </c:pt>
                <c:pt idx="11">
                  <c:v>Oct.15</c:v>
                </c:pt>
                <c:pt idx="12">
                  <c:v>Nov.15</c:v>
                </c:pt>
              </c:strCache>
            </c:strRef>
          </c:cat>
          <c:val>
            <c:numRef>
              <c:f>'III.3.5.Cob.Afil.mens.SFS RS '!$B$4:$B$16</c:f>
              <c:numCache>
                <c:formatCode>_(* #,##0_);_(* \(#,##0\);_(* "-"??_);_(@_)</c:formatCode>
                <c:ptCount val="13"/>
                <c:pt idx="0">
                  <c:v>1636967</c:v>
                </c:pt>
                <c:pt idx="1">
                  <c:v>1795214</c:v>
                </c:pt>
                <c:pt idx="2">
                  <c:v>1795214</c:v>
                </c:pt>
                <c:pt idx="3">
                  <c:v>1786117</c:v>
                </c:pt>
                <c:pt idx="4">
                  <c:v>1782070</c:v>
                </c:pt>
                <c:pt idx="5">
                  <c:v>1806581</c:v>
                </c:pt>
                <c:pt idx="6">
                  <c:v>1811780</c:v>
                </c:pt>
                <c:pt idx="7">
                  <c:v>1823787</c:v>
                </c:pt>
                <c:pt idx="8">
                  <c:v>1832898</c:v>
                </c:pt>
                <c:pt idx="9">
                  <c:v>1847595</c:v>
                </c:pt>
                <c:pt idx="10">
                  <c:v>1855392</c:v>
                </c:pt>
                <c:pt idx="11">
                  <c:v>1966061</c:v>
                </c:pt>
                <c:pt idx="12">
                  <c:v>1962747</c:v>
                </c:pt>
              </c:numCache>
            </c:numRef>
          </c:val>
        </c:ser>
        <c:ser>
          <c:idx val="1"/>
          <c:order val="1"/>
          <c:tx>
            <c:strRef>
              <c:f>'III.3.5.Cob.Afil.mens.SFS RS '!$C$3</c:f>
              <c:strCache>
                <c:ptCount val="1"/>
                <c:pt idx="0">
                  <c:v>Cobertura de Afiliación por Dependientes</c:v>
                </c:pt>
              </c:strCache>
            </c:strRef>
          </c:tx>
          <c:spPr>
            <a:solidFill>
              <a:schemeClr val="accent3">
                <a:lumMod val="75000"/>
              </a:schemeClr>
            </a:solidFill>
          </c:spPr>
          <c:invertIfNegative val="0"/>
          <c:dLbls>
            <c:spPr>
              <a:noFill/>
              <a:ln>
                <a:noFill/>
              </a:ln>
              <a:effectLst/>
            </c:spPr>
            <c:txPr>
              <a:bodyPr/>
              <a:lstStyle/>
              <a:p>
                <a:pPr>
                  <a:defRPr sz="1100"/>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'III.3.5.Cob.Afil.mens.SFS RS '!$A$4:$A$16</c:f>
              <c:strCache>
                <c:ptCount val="13"/>
                <c:pt idx="0">
                  <c:v>Nov.14</c:v>
                </c:pt>
                <c:pt idx="1">
                  <c:v>Dic.14</c:v>
                </c:pt>
                <c:pt idx="2">
                  <c:v>Ene.15</c:v>
                </c:pt>
                <c:pt idx="3">
                  <c:v>Feb.15</c:v>
                </c:pt>
                <c:pt idx="4">
                  <c:v>Mar.15</c:v>
                </c:pt>
                <c:pt idx="5">
                  <c:v>Abr.15</c:v>
                </c:pt>
                <c:pt idx="6">
                  <c:v>May.15</c:v>
                </c:pt>
                <c:pt idx="7">
                  <c:v>Jun.15</c:v>
                </c:pt>
                <c:pt idx="8">
                  <c:v>Jul.15</c:v>
                </c:pt>
                <c:pt idx="9">
                  <c:v>Ago.15</c:v>
                </c:pt>
                <c:pt idx="10">
                  <c:v>Sep.15</c:v>
                </c:pt>
                <c:pt idx="11">
                  <c:v>Oct.15</c:v>
                </c:pt>
                <c:pt idx="12">
                  <c:v>Nov.15</c:v>
                </c:pt>
              </c:strCache>
            </c:strRef>
          </c:cat>
          <c:val>
            <c:numRef>
              <c:f>'III.3.5.Cob.Afil.mens.SFS RS '!$C$4:$C$16</c:f>
              <c:numCache>
                <c:formatCode>_(* #,##0_);_(* \(#,##0\);_(* "-"??_);_(@_)</c:formatCode>
                <c:ptCount val="13"/>
                <c:pt idx="0">
                  <c:v>1211292</c:v>
                </c:pt>
                <c:pt idx="1">
                  <c:v>1220432</c:v>
                </c:pt>
                <c:pt idx="2">
                  <c:v>1220432</c:v>
                </c:pt>
                <c:pt idx="3">
                  <c:v>1214864</c:v>
                </c:pt>
                <c:pt idx="4">
                  <c:v>1219963</c:v>
                </c:pt>
                <c:pt idx="5">
                  <c:v>1225984</c:v>
                </c:pt>
                <c:pt idx="6">
                  <c:v>1221857</c:v>
                </c:pt>
                <c:pt idx="7">
                  <c:v>1213761</c:v>
                </c:pt>
                <c:pt idx="8">
                  <c:v>1211174</c:v>
                </c:pt>
                <c:pt idx="9">
                  <c:v>1215547</c:v>
                </c:pt>
                <c:pt idx="10">
                  <c:v>1222537</c:v>
                </c:pt>
                <c:pt idx="11">
                  <c:v>1109948</c:v>
                </c:pt>
                <c:pt idx="12">
                  <c:v>1126925</c:v>
                </c:pt>
              </c:numCache>
            </c:numRef>
          </c:val>
        </c:ser>
        <c:dLbls>
          <c:showLegendKey val="0"/>
          <c:showVal val="0"/>
          <c:showCatName val="0"/>
          <c:showSerName val="0"/>
          <c:showPercent val="0"/>
          <c:showBubbleSize val="0"/>
        </c:dLbls>
        <c:gapWidth val="49"/>
        <c:overlap val="51"/>
        <c:axId val="379985336"/>
        <c:axId val="379985728"/>
      </c:barChart>
      <c:lineChart>
        <c:grouping val="standard"/>
        <c:varyColors val="0"/>
        <c:ser>
          <c:idx val="2"/>
          <c:order val="2"/>
          <c:tx>
            <c:strRef>
              <c:f>'III.3.5.Cob.Afil.mens.SFS RS '!$E$3</c:f>
              <c:strCache>
                <c:ptCount val="1"/>
                <c:pt idx="0">
                  <c:v>Índice de dependencia</c:v>
                </c:pt>
              </c:strCache>
            </c:strRef>
          </c:tx>
          <c:spPr>
            <a:ln w="28575">
              <a:solidFill>
                <a:schemeClr val="bg1"/>
              </a:solidFill>
              <a:prstDash val="sysDot"/>
            </a:ln>
            <a:effectLst>
              <a:glow rad="228600">
                <a:schemeClr val="accent2">
                  <a:satMod val="175000"/>
                  <a:alpha val="40000"/>
                </a:schemeClr>
              </a:glow>
            </a:effectLst>
          </c:spPr>
          <c:marker>
            <c:symbol val="circle"/>
            <c:size val="10"/>
            <c:spPr>
              <a:gradFill>
                <a:gsLst>
                  <a:gs pos="0">
                    <a:srgbClr val="FFF200"/>
                  </a:gs>
                  <a:gs pos="45000">
                    <a:srgbClr val="FF7A00"/>
                  </a:gs>
                  <a:gs pos="70000">
                    <a:srgbClr val="FF0300"/>
                  </a:gs>
                  <a:gs pos="100000">
                    <a:srgbClr val="4D0808"/>
                  </a:gs>
                </a:gsLst>
                <a:lin ang="5400000" scaled="0"/>
              </a:gradFill>
              <a:ln>
                <a:solidFill>
                  <a:schemeClr val="bg1"/>
                </a:solidFill>
              </a:ln>
              <a:effectLst>
                <a:glow rad="228600">
                  <a:schemeClr val="accent2">
                    <a:satMod val="175000"/>
                    <a:alpha val="40000"/>
                  </a:schemeClr>
                </a:glow>
              </a:effectLst>
            </c:spPr>
          </c:marker>
          <c:dLbls>
            <c:spPr>
              <a:noFill/>
              <a:ln>
                <a:noFill/>
              </a:ln>
              <a:effectLst/>
            </c:spPr>
            <c:txPr>
              <a:bodyPr/>
              <a:lstStyle/>
              <a:p>
                <a:pPr>
                  <a:defRPr sz="1200"/>
                </a:pPr>
                <a:endParaRPr lang="es-ES"/>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'III.3.5.Cob.Afil.mens.SFS RS '!$A$4:$A$16</c:f>
              <c:strCache>
                <c:ptCount val="13"/>
                <c:pt idx="0">
                  <c:v>Nov.14</c:v>
                </c:pt>
                <c:pt idx="1">
                  <c:v>Dic.14</c:v>
                </c:pt>
                <c:pt idx="2">
                  <c:v>Ene.15</c:v>
                </c:pt>
                <c:pt idx="3">
                  <c:v>Feb.15</c:v>
                </c:pt>
                <c:pt idx="4">
                  <c:v>Mar.15</c:v>
                </c:pt>
                <c:pt idx="5">
                  <c:v>Abr.15</c:v>
                </c:pt>
                <c:pt idx="6">
                  <c:v>May.15</c:v>
                </c:pt>
                <c:pt idx="7">
                  <c:v>Jun.15</c:v>
                </c:pt>
                <c:pt idx="8">
                  <c:v>Jul.15</c:v>
                </c:pt>
                <c:pt idx="9">
                  <c:v>Ago.15</c:v>
                </c:pt>
                <c:pt idx="10">
                  <c:v>Sep.15</c:v>
                </c:pt>
                <c:pt idx="11">
                  <c:v>Oct.15</c:v>
                </c:pt>
                <c:pt idx="12">
                  <c:v>Nov.15</c:v>
                </c:pt>
              </c:strCache>
            </c:strRef>
          </c:cat>
          <c:val>
            <c:numRef>
              <c:f>'III.3.5.Cob.Afil.mens.SFS RS '!$E$4:$E$16</c:f>
              <c:numCache>
                <c:formatCode>0.00</c:formatCode>
                <c:ptCount val="13"/>
                <c:pt idx="0">
                  <c:v>0.73996115987677213</c:v>
                </c:pt>
                <c:pt idx="1">
                  <c:v>0.67982535786819842</c:v>
                </c:pt>
                <c:pt idx="2">
                  <c:v>0.67982535786819842</c:v>
                </c:pt>
                <c:pt idx="3">
                  <c:v>0.68017044796057591</c:v>
                </c:pt>
                <c:pt idx="4">
                  <c:v>0.68457636344251349</c:v>
                </c:pt>
                <c:pt idx="5">
                  <c:v>0.67862110804885034</c:v>
                </c:pt>
                <c:pt idx="6">
                  <c:v>0.67439589795670551</c:v>
                </c:pt>
                <c:pt idx="7">
                  <c:v>0.66551686134400567</c:v>
                </c:pt>
                <c:pt idx="8">
                  <c:v>0.66079727295245017</c:v>
                </c:pt>
                <c:pt idx="9">
                  <c:v>0.65790771245862867</c:v>
                </c:pt>
                <c:pt idx="10">
                  <c:v>0.6589103542539797</c:v>
                </c:pt>
                <c:pt idx="11">
                  <c:v>0.56455420254000255</c:v>
                </c:pt>
                <c:pt idx="12">
                  <c:v>0.57415703603164336</c:v>
                </c:pt>
              </c:numCache>
            </c:numRef>
          </c:val>
          <c:smooth val="1"/>
        </c:ser>
        <c:dLbls>
          <c:showLegendKey val="0"/>
          <c:showVal val="0"/>
          <c:showCatName val="0"/>
          <c:showSerName val="0"/>
          <c:showPercent val="0"/>
          <c:showBubbleSize val="0"/>
        </c:dLbls>
        <c:marker val="1"/>
        <c:smooth val="0"/>
        <c:axId val="379986512"/>
        <c:axId val="379986120"/>
      </c:lineChart>
      <c:catAx>
        <c:axId val="379985336"/>
        <c:scaling>
          <c:orientation val="minMax"/>
        </c:scaling>
        <c:delete val="0"/>
        <c:axPos val="b"/>
        <c:numFmt formatCode="General" sourceLinked="0"/>
        <c:majorTickMark val="none"/>
        <c:minorTickMark val="none"/>
        <c:tickLblPos val="nextTo"/>
        <c:txPr>
          <a:bodyPr/>
          <a:lstStyle/>
          <a:p>
            <a:pPr>
              <a:defRPr sz="1200"/>
            </a:pPr>
            <a:endParaRPr lang="es-ES"/>
          </a:p>
        </c:txPr>
        <c:crossAx val="379985728"/>
        <c:crosses val="autoZero"/>
        <c:auto val="1"/>
        <c:lblAlgn val="ctr"/>
        <c:lblOffset val="100"/>
        <c:noMultiLvlLbl val="0"/>
      </c:catAx>
      <c:valAx>
        <c:axId val="379985728"/>
        <c:scaling>
          <c:orientation val="minMax"/>
        </c:scaling>
        <c:delete val="0"/>
        <c:axPos val="l"/>
        <c:numFmt formatCode="_(* #,##0_);_(* \(#,##0\);_(* &quot;-&quot;??_);_(@_)" sourceLinked="1"/>
        <c:majorTickMark val="none"/>
        <c:minorTickMark val="none"/>
        <c:tickLblPos val="nextTo"/>
        <c:txPr>
          <a:bodyPr/>
          <a:lstStyle/>
          <a:p>
            <a:pPr>
              <a:defRPr sz="700"/>
            </a:pPr>
            <a:endParaRPr lang="es-ES"/>
          </a:p>
        </c:txPr>
        <c:crossAx val="379985336"/>
        <c:crosses val="autoZero"/>
        <c:crossBetween val="between"/>
        <c:dispUnits>
          <c:builtInUnit val="thousands"/>
          <c:dispUnitsLbl>
            <c:layout>
              <c:manualLayout>
                <c:xMode val="edge"/>
                <c:yMode val="edge"/>
                <c:x val="2.7319432390949276E-3"/>
                <c:y val="0.43891842524799957"/>
              </c:manualLayout>
            </c:layout>
          </c:dispUnitsLbl>
        </c:dispUnits>
      </c:valAx>
      <c:valAx>
        <c:axId val="379986120"/>
        <c:scaling>
          <c:orientation val="minMax"/>
          <c:max val="2"/>
        </c:scaling>
        <c:delete val="0"/>
        <c:axPos val="r"/>
        <c:numFmt formatCode="0.00" sourceLinked="1"/>
        <c:majorTickMark val="out"/>
        <c:minorTickMark val="none"/>
        <c:tickLblPos val="nextTo"/>
        <c:crossAx val="379986512"/>
        <c:crosses val="max"/>
        <c:crossBetween val="between"/>
      </c:valAx>
      <c:catAx>
        <c:axId val="379986512"/>
        <c:scaling>
          <c:orientation val="minMax"/>
        </c:scaling>
        <c:delete val="1"/>
        <c:axPos val="b"/>
        <c:numFmt formatCode="General" sourceLinked="1"/>
        <c:majorTickMark val="out"/>
        <c:minorTickMark val="none"/>
        <c:tickLblPos val="nextTo"/>
        <c:crossAx val="379986120"/>
        <c:crosses val="autoZero"/>
        <c:auto val="1"/>
        <c:lblAlgn val="ctr"/>
        <c:lblOffset val="100"/>
        <c:noMultiLvlLbl val="0"/>
      </c:catAx>
    </c:plotArea>
    <c:legend>
      <c:legendPos val="t"/>
      <c:layout>
        <c:manualLayout>
          <c:xMode val="edge"/>
          <c:yMode val="edge"/>
          <c:x val="0.12663825409139698"/>
          <c:y val="0.10012968111021521"/>
          <c:w val="0.74764552550085339"/>
          <c:h val="4.7811295559884504E-2"/>
        </c:manualLayout>
      </c:layout>
      <c:overlay val="0"/>
      <c:txPr>
        <a:bodyPr/>
        <a:lstStyle/>
        <a:p>
          <a:pPr>
            <a:defRPr sz="14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n-US" sz="2000"/>
              <a:t>Afiliados al Seguro Familiar de  Salud del Régimen Subsidiado por Sexo y Tipo de Afiliación</a:t>
            </a:r>
          </a:p>
        </c:rich>
      </c:tx>
      <c:layout>
        <c:manualLayout>
          <c:xMode val="edge"/>
          <c:yMode val="edge"/>
          <c:x val="0.18492111330610286"/>
          <c:y val="2.0117586047278164E-2"/>
        </c:manualLayout>
      </c:layout>
      <c:overlay val="0"/>
    </c:title>
    <c:autoTitleDeleted val="0"/>
    <c:view3D>
      <c:rotX val="10"/>
      <c:rotY val="0"/>
      <c:rAngAx val="0"/>
    </c:view3D>
    <c:floor>
      <c:thickness val="0"/>
    </c:floor>
    <c:sideWall>
      <c:thickness val="0"/>
    </c:sideWall>
    <c:backWall>
      <c:thickness val="0"/>
    </c:backWall>
    <c:plotArea>
      <c:layout>
        <c:manualLayout>
          <c:layoutTarget val="inner"/>
          <c:xMode val="edge"/>
          <c:yMode val="edge"/>
          <c:x val="3.2733745052244999E-4"/>
          <c:y val="0.18591076115485561"/>
          <c:w val="0.98145048639769739"/>
          <c:h val="0.58079184877896373"/>
        </c:manualLayout>
      </c:layout>
      <c:bar3DChart>
        <c:barDir val="col"/>
        <c:grouping val="stacked"/>
        <c:varyColors val="0"/>
        <c:ser>
          <c:idx val="0"/>
          <c:order val="0"/>
          <c:tx>
            <c:strRef>
              <c:f>'III.2.6.Afil. SFS RC X sex.tipo'!$A$5</c:f>
              <c:strCache>
                <c:ptCount val="1"/>
                <c:pt idx="0">
                  <c:v>Feb-12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sex.tipo'!$B$5:$D$5,'III.2.6.Afil. SFS RC X sex.tipo'!$F$5:$H$5)</c:f>
            </c:numRef>
          </c:val>
          <c:shape val="box"/>
        </c:ser>
        <c:ser>
          <c:idx val="1"/>
          <c:order val="1"/>
          <c:tx>
            <c:strRef>
              <c:f>'III.2.6.Afil. SFS RC X sex.tipo'!$A$6</c:f>
              <c:strCache>
                <c:ptCount val="1"/>
                <c:pt idx="0">
                  <c:v>Mar-12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sex.tipo'!$B$6:$D$6,'III.2.6.Afil. SFS RC X sex.tipo'!$F$6:$H$6)</c:f>
            </c:numRef>
          </c:val>
          <c:shape val="box"/>
        </c:ser>
        <c:ser>
          <c:idx val="2"/>
          <c:order val="2"/>
          <c:tx>
            <c:strRef>
              <c:f>'III.2.6.Afil. SFS RC X sex.tipo'!$A$7</c:f>
              <c:strCache>
                <c:ptCount val="1"/>
                <c:pt idx="0">
                  <c:v>Apr-12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sex.tipo'!$B$7:$D$7,'III.2.6.Afil. SFS RC X sex.tipo'!$F$7:$H$7)</c:f>
            </c:numRef>
          </c:val>
          <c:shape val="box"/>
        </c:ser>
        <c:ser>
          <c:idx val="3"/>
          <c:order val="3"/>
          <c:tx>
            <c:strRef>
              <c:f>'III.2.6.Afil. SFS RC X sex.tipo'!$A$8</c:f>
              <c:strCache>
                <c:ptCount val="1"/>
                <c:pt idx="0">
                  <c:v>May-12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sex.tipo'!$B$8:$D$8,'III.2.6.Afil. SFS RC X sex.tipo'!$F$8:$H$8)</c:f>
            </c:numRef>
          </c:val>
          <c:shape val="box"/>
        </c:ser>
        <c:ser>
          <c:idx val="4"/>
          <c:order val="4"/>
          <c:tx>
            <c:strRef>
              <c:f>'III.2.6.Afil. SFS RC X sex.tipo'!$A$9</c:f>
              <c:strCache>
                <c:ptCount val="1"/>
                <c:pt idx="0">
                  <c:v>Jun-12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sex.tipo'!$B$9:$D$9,'III.2.6.Afil. SFS RC X sex.tipo'!$F$9:$H$9)</c:f>
            </c:numRef>
          </c:val>
          <c:shape val="box"/>
        </c:ser>
        <c:ser>
          <c:idx val="5"/>
          <c:order val="5"/>
          <c:tx>
            <c:strRef>
              <c:f>'III.2.6.Afil. SFS RC X sex.tipo'!$A$10</c:f>
              <c:strCache>
                <c:ptCount val="1"/>
                <c:pt idx="0">
                  <c:v>Aug-12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sex.tipo'!$B$10:$D$10,'III.2.6.Afil. SFS RC X sex.tipo'!$F$10:$H$10)</c:f>
            </c:numRef>
          </c:val>
          <c:shape val="box"/>
        </c:ser>
        <c:ser>
          <c:idx val="6"/>
          <c:order val="6"/>
          <c:tx>
            <c:strRef>
              <c:f>'III.2.6.Afil. SFS RC X sex.tipo'!$A$11</c:f>
              <c:strCache>
                <c:ptCount val="1"/>
                <c:pt idx="0">
                  <c:v>Sep-12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sex.tipo'!$B$11:$D$11,'III.2.6.Afil. SFS RC X sex.tipo'!$F$11:$H$11)</c:f>
            </c:numRef>
          </c:val>
          <c:shape val="box"/>
        </c:ser>
        <c:ser>
          <c:idx val="7"/>
          <c:order val="7"/>
          <c:tx>
            <c:strRef>
              <c:f>'III.2.6.Afil. SFS RC X sex.tipo'!$A$12</c:f>
              <c:strCache>
                <c:ptCount val="1"/>
                <c:pt idx="0">
                  <c:v>Oct-12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sex.tipo'!$B$12:$D$12,'III.2.6.Afil. SFS RC X sex.tipo'!$F$12:$H$12)</c:f>
            </c:numRef>
          </c:val>
          <c:shape val="box"/>
        </c:ser>
        <c:ser>
          <c:idx val="8"/>
          <c:order val="8"/>
          <c:tx>
            <c:strRef>
              <c:f>'III.2.6.Afil. SFS RC X sex.tipo'!$A$13</c:f>
              <c:strCache>
                <c:ptCount val="1"/>
                <c:pt idx="0">
                  <c:v>Nov-12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sex.tipo'!$B$13:$D$13,'III.2.6.Afil. SFS RC X sex.tipo'!$F$13:$H$13)</c:f>
            </c:numRef>
          </c:val>
          <c:shape val="box"/>
        </c:ser>
        <c:ser>
          <c:idx val="9"/>
          <c:order val="9"/>
          <c:tx>
            <c:strRef>
              <c:f>'III.2.6.Afil. SFS RC X sex.tipo'!$A$14</c:f>
              <c:strCache>
                <c:ptCount val="1"/>
                <c:pt idx="0">
                  <c:v>Dec-12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sex.tipo'!$B$14:$D$14,'III.2.6.Afil. SFS RC X sex.tipo'!$F$14:$H$14)</c:f>
            </c:numRef>
          </c:val>
          <c:shape val="box"/>
        </c:ser>
        <c:ser>
          <c:idx val="10"/>
          <c:order val="10"/>
          <c:tx>
            <c:strRef>
              <c:f>'III.2.6.Afil. SFS RC X sex.tipo'!$A$15</c:f>
              <c:strCache>
                <c:ptCount val="1"/>
                <c:pt idx="0">
                  <c:v>Jan-13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sex.tipo'!$B$15:$D$15,'III.2.6.Afil. SFS RC X sex.tipo'!$F$15:$H$15)</c:f>
            </c:numRef>
          </c:val>
          <c:shape val="box"/>
        </c:ser>
        <c:ser>
          <c:idx val="11"/>
          <c:order val="11"/>
          <c:tx>
            <c:strRef>
              <c:f>'III.2.6.Afil. SFS RC X sex.tipo'!$A$16</c:f>
              <c:strCache>
                <c:ptCount val="1"/>
                <c:pt idx="0">
                  <c:v>Feb-13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sex.tipo'!$B$16:$D$16,'III.2.6.Afil. SFS RC X sex.tipo'!$F$16:$H$16)</c:f>
            </c:numRef>
          </c:val>
          <c:shape val="box"/>
        </c:ser>
        <c:ser>
          <c:idx val="12"/>
          <c:order val="12"/>
          <c:tx>
            <c:strRef>
              <c:f>'III.2.6.Afil. SFS RC X sex.tipo'!$A$17</c:f>
              <c:strCache>
                <c:ptCount val="1"/>
                <c:pt idx="0">
                  <c:v>Mar-13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sex.tipo'!$B$17:$D$17,'III.2.6.Afil. SFS RC X sex.tipo'!$F$17:$H$17)</c:f>
            </c:numRef>
          </c:val>
          <c:shape val="box"/>
        </c:ser>
        <c:ser>
          <c:idx val="13"/>
          <c:order val="13"/>
          <c:tx>
            <c:strRef>
              <c:f>'III.2.6.Afil. SFS RC X sex.tipo'!$A$18</c:f>
              <c:strCache>
                <c:ptCount val="1"/>
                <c:pt idx="0">
                  <c:v>Apr-13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sex.tipo'!$B$18:$D$18,'III.2.6.Afil. SFS RC X sex.tipo'!$F$18:$H$18)</c:f>
            </c:numRef>
          </c:val>
          <c:shape val="box"/>
        </c:ser>
        <c:ser>
          <c:idx val="14"/>
          <c:order val="14"/>
          <c:tx>
            <c:strRef>
              <c:f>'III.2.6.Afil. SFS RC X sex.tipo'!$A$19</c:f>
              <c:strCache>
                <c:ptCount val="1"/>
                <c:pt idx="0">
                  <c:v>May-13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sex.tipo'!$B$19:$D$19,'III.2.6.Afil. SFS RC X sex.tipo'!$F$19:$H$19)</c:f>
            </c:numRef>
          </c:val>
          <c:shape val="box"/>
        </c:ser>
        <c:ser>
          <c:idx val="15"/>
          <c:order val="15"/>
          <c:tx>
            <c:strRef>
              <c:f>'III.2.6.Afil. SFS RC X sex.tipo'!$A$20</c:f>
              <c:strCache>
                <c:ptCount val="1"/>
                <c:pt idx="0">
                  <c:v>Jun-13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sex.tipo'!$B$20:$D$20,'III.2.6.Afil. SFS RC X sex.tipo'!$F$20:$H$20)</c:f>
            </c:numRef>
          </c:val>
          <c:shape val="box"/>
        </c:ser>
        <c:ser>
          <c:idx val="16"/>
          <c:order val="16"/>
          <c:tx>
            <c:strRef>
              <c:f>'III.2.6.Afil. SFS RC X sex.tipo'!$A$21</c:f>
              <c:strCache>
                <c:ptCount val="1"/>
                <c:pt idx="0">
                  <c:v>Jul-13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sex.tipo'!$B$21:$D$21,'III.2.6.Afil. SFS RC X sex.tipo'!$F$21:$H$21)</c:f>
            </c:numRef>
          </c:val>
          <c:shape val="box"/>
        </c:ser>
        <c:ser>
          <c:idx val="17"/>
          <c:order val="17"/>
          <c:tx>
            <c:strRef>
              <c:f>'III.2.6.Afil. SFS RC X sex.tipo'!$A$22</c:f>
              <c:strCache>
                <c:ptCount val="1"/>
                <c:pt idx="0">
                  <c:v>Aug-13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sex.tipo'!$B$22:$D$22,'III.2.6.Afil. SFS RC X sex.tipo'!$F$22:$H$22)</c:f>
            </c:numRef>
          </c:val>
          <c:shape val="box"/>
        </c:ser>
        <c:ser>
          <c:idx val="18"/>
          <c:order val="18"/>
          <c:tx>
            <c:strRef>
              <c:f>'III.2.6.Afil. SFS RC X sex.tipo'!$A$23</c:f>
              <c:strCache>
                <c:ptCount val="1"/>
                <c:pt idx="0">
                  <c:v>Sep-13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sex.tipo'!$B$23:$D$23,'III.2.6.Afil. SFS RC X sex.tipo'!$F$23:$H$23)</c:f>
            </c:numRef>
          </c:val>
          <c:shape val="box"/>
        </c:ser>
        <c:ser>
          <c:idx val="19"/>
          <c:order val="19"/>
          <c:tx>
            <c:strRef>
              <c:f>'III.2.6.Afil. SFS RC X sex.tipo'!$A$24</c:f>
              <c:strCache>
                <c:ptCount val="1"/>
                <c:pt idx="0">
                  <c:v>Oct-13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sex.tipo'!$B$24:$D$24,'III.2.6.Afil. SFS RC X sex.tipo'!$F$24:$H$24)</c:f>
            </c:numRef>
          </c:val>
          <c:shape val="box"/>
        </c:ser>
        <c:ser>
          <c:idx val="20"/>
          <c:order val="20"/>
          <c:tx>
            <c:strRef>
              <c:f>'III.2.6.Afil. SFS RC X sex.tipo'!$A$25</c:f>
              <c:strCache>
                <c:ptCount val="1"/>
                <c:pt idx="0">
                  <c:v>Nov-13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sex.tipo'!$B$25:$D$25,'III.2.6.Afil. SFS RC X sex.tipo'!$F$25:$H$25)</c:f>
            </c:numRef>
          </c:val>
          <c:shape val="box"/>
        </c:ser>
        <c:ser>
          <c:idx val="21"/>
          <c:order val="21"/>
          <c:tx>
            <c:strRef>
              <c:f>'III.2.6.Afil. SFS RC X sex.tipo'!$A$26</c:f>
              <c:strCache>
                <c:ptCount val="1"/>
                <c:pt idx="0">
                  <c:v>Dec-13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sex.tipo'!$B$26:$D$26,'III.2.6.Afil. SFS RC X sex.tipo'!$F$26:$H$26)</c:f>
            </c:numRef>
          </c:val>
          <c:shape val="box"/>
        </c:ser>
        <c:ser>
          <c:idx val="22"/>
          <c:order val="22"/>
          <c:tx>
            <c:strRef>
              <c:f>'III.3.6.Afil.SFSRSsex tipo '!$A$27</c:f>
              <c:strCache>
                <c:ptCount val="1"/>
                <c:pt idx="0">
                  <c:v>Dic.07</c:v>
                </c:pt>
              </c:strCache>
            </c:strRef>
          </c:tx>
          <c:invertIfNegative val="0"/>
          <c:cat>
            <c:multiLvlStrRef>
              <c:f>('III.3.6.Afil.SFSRSsex tipo '!$B$3:$C$4,'III.3.6.Afil.SFSRSsex tipo '!$E$3:$F$4)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'!$B$27:$C$27,'III.3.6.Afil.SFSRSsex tipo '!$E$27:$F$27)</c:f>
              <c:numCache>
                <c:formatCode>#,##0</c:formatCode>
                <c:ptCount val="4"/>
                <c:pt idx="0">
                  <c:v>169757</c:v>
                </c:pt>
                <c:pt idx="1">
                  <c:v>310064</c:v>
                </c:pt>
                <c:pt idx="2">
                  <c:v>303890</c:v>
                </c:pt>
                <c:pt idx="3">
                  <c:v>298225</c:v>
                </c:pt>
              </c:numCache>
            </c:numRef>
          </c:val>
        </c:ser>
        <c:ser>
          <c:idx val="23"/>
          <c:order val="23"/>
          <c:tx>
            <c:strRef>
              <c:f>'III.3.6.Afil.SFSRSsex tipo '!$A$28</c:f>
              <c:strCache>
                <c:ptCount val="1"/>
                <c:pt idx="0">
                  <c:v>Dic.08</c:v>
                </c:pt>
              </c:strCache>
            </c:strRef>
          </c:tx>
          <c:invertIfNegative val="0"/>
          <c:cat>
            <c:multiLvlStrRef>
              <c:f>('III.3.6.Afil.SFSRSsex tipo '!$B$3:$C$4,'III.3.6.Afil.SFSRSsex tipo '!$E$3:$F$4)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'!$B$28:$C$28,'III.3.6.Afil.SFSRSsex tipo '!$E$28:$F$28)</c:f>
              <c:numCache>
                <c:formatCode>#,##0</c:formatCode>
                <c:ptCount val="4"/>
                <c:pt idx="0">
                  <c:v>169198</c:v>
                </c:pt>
                <c:pt idx="1">
                  <c:v>376240</c:v>
                </c:pt>
                <c:pt idx="2">
                  <c:v>320751</c:v>
                </c:pt>
                <c:pt idx="3">
                  <c:v>358454</c:v>
                </c:pt>
              </c:numCache>
            </c:numRef>
          </c:val>
        </c:ser>
        <c:ser>
          <c:idx val="24"/>
          <c:order val="24"/>
          <c:tx>
            <c:strRef>
              <c:f>'III.3.6.Afil.SFSRSsex tipo '!$A$29</c:f>
              <c:strCache>
                <c:ptCount val="1"/>
                <c:pt idx="0">
                  <c:v>Dic.09</c:v>
                </c:pt>
              </c:strCache>
            </c:strRef>
          </c:tx>
          <c:spPr>
            <a:solidFill>
              <a:srgbClr val="FFFF00"/>
            </a:solidFill>
          </c:spPr>
          <c:invertIfNegative val="0"/>
          <c:cat>
            <c:multiLvlStrRef>
              <c:f>('III.3.6.Afil.SFSRSsex tipo '!$B$3:$C$4,'III.3.6.Afil.SFSRSsex tipo '!$E$3:$F$4)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'!$B$29:$C$29,'III.3.6.Afil.SFSRSsex tipo '!$E$29:$F$29)</c:f>
              <c:numCache>
                <c:formatCode>#,##0</c:formatCode>
                <c:ptCount val="4"/>
                <c:pt idx="0">
                  <c:v>213701</c:v>
                </c:pt>
                <c:pt idx="1">
                  <c:v>401930</c:v>
                </c:pt>
                <c:pt idx="2">
                  <c:v>408348</c:v>
                </c:pt>
                <c:pt idx="3">
                  <c:v>380246</c:v>
                </c:pt>
              </c:numCache>
            </c:numRef>
          </c:val>
        </c:ser>
        <c:ser>
          <c:idx val="25"/>
          <c:order val="25"/>
          <c:tx>
            <c:strRef>
              <c:f>'III.3.6.Afil.SFSRSsex tipo '!$A$30</c:f>
              <c:strCache>
                <c:ptCount val="1"/>
                <c:pt idx="0">
                  <c:v>Dic.10</c:v>
                </c:pt>
              </c:strCache>
            </c:strRef>
          </c:tx>
          <c:invertIfNegative val="0"/>
          <c:cat>
            <c:multiLvlStrRef>
              <c:f>('III.3.6.Afil.SFSRSsex tipo '!$B$3:$C$4,'III.3.6.Afil.SFSRSsex tipo '!$E$3:$F$4)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'!$B$30:$C$30,'III.3.6.Afil.SFSRSsex tipo '!$E$30:$F$30)</c:f>
              <c:numCache>
                <c:formatCode>#,##0</c:formatCode>
                <c:ptCount val="4"/>
                <c:pt idx="0">
                  <c:v>328922</c:v>
                </c:pt>
                <c:pt idx="1">
                  <c:v>575714</c:v>
                </c:pt>
                <c:pt idx="2">
                  <c:v>574328</c:v>
                </c:pt>
                <c:pt idx="3">
                  <c:v>534822</c:v>
                </c:pt>
              </c:numCache>
            </c:numRef>
          </c:val>
        </c:ser>
        <c:ser>
          <c:idx val="26"/>
          <c:order val="26"/>
          <c:tx>
            <c:strRef>
              <c:f>'III.3.6.Afil.SFSRSsex tipo '!$A$31</c:f>
              <c:strCache>
                <c:ptCount val="1"/>
                <c:pt idx="0">
                  <c:v>Dic.11</c:v>
                </c:pt>
              </c:strCache>
            </c:strRef>
          </c:tx>
          <c:spPr>
            <a:solidFill>
              <a:srgbClr val="92D050"/>
            </a:solidFill>
          </c:spPr>
          <c:invertIfNegative val="0"/>
          <c:cat>
            <c:multiLvlStrRef>
              <c:f>('III.3.6.Afil.SFSRSsex tipo '!$B$3:$C$4,'III.3.6.Afil.SFSRSsex tipo '!$E$3:$F$4)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'!$B$31:$C$31,'III.3.6.Afil.SFSRSsex tipo '!$E$31:$F$31)</c:f>
              <c:numCache>
                <c:formatCode>#,##0</c:formatCode>
                <c:ptCount val="4"/>
                <c:pt idx="0">
                  <c:v>319816</c:v>
                </c:pt>
                <c:pt idx="1">
                  <c:v>579358</c:v>
                </c:pt>
                <c:pt idx="2">
                  <c:v>563959</c:v>
                </c:pt>
                <c:pt idx="3">
                  <c:v>540294</c:v>
                </c:pt>
              </c:numCache>
            </c:numRef>
          </c:val>
        </c:ser>
        <c:ser>
          <c:idx val="27"/>
          <c:order val="27"/>
          <c:tx>
            <c:strRef>
              <c:f>'III.3.6.Afil.SFSRSsex tipo '!$A$32</c:f>
              <c:strCache>
                <c:ptCount val="1"/>
                <c:pt idx="0">
                  <c:v>Dic.12</c:v>
                </c:pt>
              </c:strCache>
            </c:strRef>
          </c:tx>
          <c:spPr>
            <a:solidFill>
              <a:srgbClr val="7030A0"/>
            </a:solidFill>
          </c:spPr>
          <c:invertIfNegative val="0"/>
          <c:cat>
            <c:multiLvlStrRef>
              <c:f>('III.3.6.Afil.SFSRSsex tipo '!$B$3:$C$4,'III.3.6.Afil.SFSRSsex tipo '!$E$3:$F$4)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'!$B$32:$C$32,'III.3.6.Afil.SFSRSsex tipo '!$E$32:$F$32)</c:f>
              <c:numCache>
                <c:formatCode>#,##0</c:formatCode>
                <c:ptCount val="4"/>
                <c:pt idx="0">
                  <c:v>446880</c:v>
                </c:pt>
                <c:pt idx="1">
                  <c:v>584446</c:v>
                </c:pt>
                <c:pt idx="2">
                  <c:v>731160</c:v>
                </c:pt>
                <c:pt idx="3">
                  <c:v>540865</c:v>
                </c:pt>
              </c:numCache>
            </c:numRef>
          </c:val>
        </c:ser>
        <c:ser>
          <c:idx val="28"/>
          <c:order val="28"/>
          <c:tx>
            <c:strRef>
              <c:f>'III.3.6.Afil.SFSRSsex tipo '!$A$33</c:f>
              <c:strCache>
                <c:ptCount val="1"/>
                <c:pt idx="0">
                  <c:v>Dic.13</c:v>
                </c:pt>
              </c:strCache>
            </c:strRef>
          </c:tx>
          <c:spPr>
            <a:solidFill>
              <a:schemeClr val="bg2">
                <a:lumMod val="50000"/>
              </a:schemeClr>
            </a:solidFill>
          </c:spPr>
          <c:invertIfNegative val="0"/>
          <c:cat>
            <c:multiLvlStrRef>
              <c:f>('III.3.6.Afil.SFSRSsex tipo '!$B$3:$C$4,'III.3.6.Afil.SFSRSsex tipo '!$E$3:$F$4)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'!$B$33:$C$33,'III.3.6.Afil.SFSRSsex tipo '!$E$33:$F$33)</c:f>
              <c:numCache>
                <c:formatCode>#,##0</c:formatCode>
                <c:ptCount val="4"/>
                <c:pt idx="0">
                  <c:v>625451</c:v>
                </c:pt>
                <c:pt idx="1">
                  <c:v>617980</c:v>
                </c:pt>
                <c:pt idx="2">
                  <c:v>942774</c:v>
                </c:pt>
                <c:pt idx="3">
                  <c:v>565548</c:v>
                </c:pt>
              </c:numCache>
            </c:numRef>
          </c:val>
        </c:ser>
        <c:ser>
          <c:idx val="29"/>
          <c:order val="29"/>
          <c:tx>
            <c:strRef>
              <c:f>'III.3.6.Afil.SFSRSsex tipo '!$A$34</c:f>
              <c:strCache>
                <c:ptCount val="1"/>
                <c:pt idx="0">
                  <c:v>Dic.14</c:v>
                </c:pt>
              </c:strCache>
            </c:strRef>
          </c:tx>
          <c:spPr>
            <a:solidFill>
              <a:srgbClr val="FF6600"/>
            </a:solidFill>
          </c:spPr>
          <c:invertIfNegative val="0"/>
          <c:cat>
            <c:multiLvlStrRef>
              <c:f>('III.3.6.Afil.SFSRSsex tipo '!$B$3:$C$4,'III.3.6.Afil.SFSRSsex tipo '!$E$3:$F$4)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'!$B$34:$C$34,'III.3.6.Afil.SFSRSsex tipo '!$E$34:$F$34)</c:f>
              <c:numCache>
                <c:formatCode>#,##0</c:formatCode>
                <c:ptCount val="4"/>
                <c:pt idx="0">
                  <c:v>760801</c:v>
                </c:pt>
                <c:pt idx="1">
                  <c:v>639717</c:v>
                </c:pt>
                <c:pt idx="2">
                  <c:v>1034413</c:v>
                </c:pt>
                <c:pt idx="3">
                  <c:v>580715</c:v>
                </c:pt>
              </c:numCache>
            </c:numRef>
          </c:val>
        </c:ser>
        <c:ser>
          <c:idx val="30"/>
          <c:order val="30"/>
          <c:tx>
            <c:strRef>
              <c:f>'III.3.6.Afil.SFSRSsex tipo '!$A$35</c:f>
              <c:strCache>
                <c:ptCount val="1"/>
                <c:pt idx="0">
                  <c:v>Nov.15</c:v>
                </c:pt>
              </c:strCache>
            </c:strRef>
          </c:tx>
          <c:spPr>
            <a:solidFill>
              <a:schemeClr val="bg1">
                <a:lumMod val="50000"/>
              </a:schemeClr>
            </a:solidFill>
          </c:spPr>
          <c:invertIfNegative val="0"/>
          <c:dLbls>
            <c:dLbl>
              <c:idx val="0"/>
              <c:layout>
                <c:manualLayout>
                  <c:x val="5.5574867310280614E-3"/>
                  <c:y val="1.44173228346456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5.5713837935464508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9.2774852776668696E-4"/>
                  <c:y val="2.6009496896681771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6.4869848007461086E-3"/>
                  <c:y val="-1.605255231643721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4.1785378451598383E-3"/>
                  <c:y val="0"/>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9.7499216387062892E-3"/>
                  <c:y val="-2.7116552333211183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2400" b="1">
                    <a:solidFill>
                      <a:schemeClr val="bg1"/>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('III.3.6.Afil.SFSRSsex tipo '!$B$3:$C$4,'III.3.6.Afil.SFSRSsex tipo '!$E$3:$F$4)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'!$B$35:$C$35,'III.3.6.Afil.SFSRSsex tipo '!$E$35:$F$35)</c:f>
              <c:numCache>
                <c:formatCode>#,##0</c:formatCode>
                <c:ptCount val="4"/>
                <c:pt idx="0">
                  <c:v>871924</c:v>
                </c:pt>
                <c:pt idx="1">
                  <c:v>584807</c:v>
                </c:pt>
                <c:pt idx="2">
                  <c:v>1121950</c:v>
                </c:pt>
                <c:pt idx="3">
                  <c:v>528995</c:v>
                </c:pt>
              </c:numCache>
            </c:numRef>
          </c:val>
        </c:ser>
        <c:dLbls>
          <c:showLegendKey val="0"/>
          <c:showVal val="0"/>
          <c:showCatName val="0"/>
          <c:showSerName val="0"/>
          <c:showPercent val="0"/>
          <c:showBubbleSize val="0"/>
        </c:dLbls>
        <c:gapWidth val="75"/>
        <c:shape val="cylinder"/>
        <c:axId val="379989648"/>
        <c:axId val="379990040"/>
        <c:axId val="0"/>
      </c:bar3DChart>
      <c:catAx>
        <c:axId val="379989648"/>
        <c:scaling>
          <c:orientation val="minMax"/>
        </c:scaling>
        <c:delete val="0"/>
        <c:axPos val="b"/>
        <c:numFmt formatCode="General" sourceLinked="0"/>
        <c:majorTickMark val="none"/>
        <c:minorTickMark val="none"/>
        <c:tickLblPos val="nextTo"/>
        <c:txPr>
          <a:bodyPr/>
          <a:lstStyle/>
          <a:p>
            <a:pPr>
              <a:defRPr sz="1800" b="1"/>
            </a:pPr>
            <a:endParaRPr lang="es-ES"/>
          </a:p>
        </c:txPr>
        <c:crossAx val="379990040"/>
        <c:crosses val="autoZero"/>
        <c:auto val="1"/>
        <c:lblAlgn val="ctr"/>
        <c:lblOffset val="100"/>
        <c:noMultiLvlLbl val="0"/>
      </c:catAx>
      <c:valAx>
        <c:axId val="379990040"/>
        <c:scaling>
          <c:orientation val="minMax"/>
        </c:scaling>
        <c:delete val="1"/>
        <c:axPos val="l"/>
        <c:numFmt formatCode="#,##0" sourceLinked="1"/>
        <c:majorTickMark val="none"/>
        <c:minorTickMark val="none"/>
        <c:tickLblPos val="nextTo"/>
        <c:crossAx val="379989648"/>
        <c:crosses val="autoZero"/>
        <c:crossBetween val="between"/>
      </c:valAx>
    </c:plotArea>
    <c:legend>
      <c:legendPos val="t"/>
      <c:layout>
        <c:manualLayout>
          <c:xMode val="edge"/>
          <c:yMode val="edge"/>
          <c:x val="8.9735442111195593E-2"/>
          <c:y val="7.5300394947058022E-2"/>
          <c:w val="0.76470379705612945"/>
          <c:h val="4.8551219955580177E-2"/>
        </c:manualLayout>
      </c:layout>
      <c:overlay val="0"/>
      <c:txPr>
        <a:bodyPr/>
        <a:lstStyle/>
        <a:p>
          <a:pPr>
            <a:defRPr sz="16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2000"/>
            </a:pPr>
            <a:r>
              <a:rPr lang="es-DO" sz="2000"/>
              <a:t>Empresas Afiliadas Activas al SDSS, por Cantidad de Empleados Registrados en TSS</a:t>
            </a:r>
          </a:p>
        </c:rich>
      </c:tx>
      <c:layout>
        <c:manualLayout>
          <c:xMode val="edge"/>
          <c:yMode val="edge"/>
          <c:x val="0.26043314857494709"/>
          <c:y val="1.6595610600551897E-2"/>
        </c:manualLayout>
      </c:layout>
      <c:overlay val="0"/>
    </c:title>
    <c:autoTitleDeleted val="0"/>
    <c:plotArea>
      <c:layout>
        <c:manualLayout>
          <c:layoutTarget val="inner"/>
          <c:xMode val="edge"/>
          <c:yMode val="edge"/>
          <c:x val="6.109208146137949E-2"/>
          <c:y val="0.19588607590885038"/>
          <c:w val="0.90490284082661654"/>
          <c:h val="0.60746554093406824"/>
        </c:manualLayout>
      </c:layout>
      <c:barChart>
        <c:barDir val="col"/>
        <c:grouping val="clustered"/>
        <c:varyColors val="0"/>
        <c:ser>
          <c:idx val="0"/>
          <c:order val="0"/>
          <c:tx>
            <c:strRef>
              <c:f>' II.4.Empr x No. de empl'!$B$4</c:f>
              <c:strCache>
                <c:ptCount val="1"/>
                <c:pt idx="0">
                  <c:v>Empresas por rango</c:v>
                </c:pt>
              </c:strCache>
            </c:strRef>
          </c:tx>
          <c:spPr>
            <a:solidFill>
              <a:srgbClr val="0070C0"/>
            </a:solidFill>
          </c:spPr>
          <c:invertIfNegative val="0"/>
          <c:dLbls>
            <c:dLbl>
              <c:idx val="0"/>
              <c:layout>
                <c:manualLayout>
                  <c:x val="0"/>
                  <c:y val="1.302869107562873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0"/>
                  <c:y val="9.771518306721547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0"/>
                  <c:y val="8.1429319222680752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4.1472131679820574E-17"/>
                  <c:y val="9.771518306721547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0"/>
                  <c:y val="9.77151830672166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0"/>
                  <c:y val="3.25717276890706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8.2944263359641149E-17"/>
                  <c:y val="3.2571727689071827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empl'!$B$5:$B$13</c:f>
              <c:numCache>
                <c:formatCode>#,##0</c:formatCode>
                <c:ptCount val="9"/>
                <c:pt idx="0">
                  <c:v>41044</c:v>
                </c:pt>
                <c:pt idx="1">
                  <c:v>12193</c:v>
                </c:pt>
                <c:pt idx="2">
                  <c:v>7664</c:v>
                </c:pt>
                <c:pt idx="3">
                  <c:v>5174</c:v>
                </c:pt>
                <c:pt idx="4">
                  <c:v>1711</c:v>
                </c:pt>
                <c:pt idx="5">
                  <c:v>1553</c:v>
                </c:pt>
                <c:pt idx="6">
                  <c:v>229</c:v>
                </c:pt>
                <c:pt idx="7">
                  <c:v>195</c:v>
                </c:pt>
                <c:pt idx="8">
                  <c:v>4</c:v>
                </c:pt>
              </c:numCache>
            </c:numRef>
          </c:val>
        </c:ser>
        <c:ser>
          <c:idx val="1"/>
          <c:order val="1"/>
          <c:tx>
            <c:strRef>
              <c:f>' II.4.Empr x No. de empl'!$C$4</c:f>
              <c:strCache>
                <c:ptCount val="1"/>
                <c:pt idx="0">
                  <c:v>Total empresas</c:v>
                </c:pt>
              </c:strCache>
            </c:strRef>
          </c:tx>
          <c:invertIfNegative val="0"/>
          <c:dLbls>
            <c:dLbl>
              <c:idx val="9"/>
              <c:layout>
                <c:manualLayout>
                  <c:x val="-3.393213608407475E-3"/>
                  <c:y val="1.6285863844535914E-3"/>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empl'!$C$5:$C$13</c:f>
            </c:numRef>
          </c:val>
        </c:ser>
        <c:ser>
          <c:idx val="3"/>
          <c:order val="3"/>
          <c:tx>
            <c:strRef>
              <c:f>' II.4.Empr x No. de empl'!$E$4</c:f>
              <c:strCache>
                <c:ptCount val="1"/>
                <c:pt idx="0">
                  <c:v>Empleados por rango</c:v>
                </c:pt>
              </c:strCache>
            </c:strRef>
          </c:tx>
          <c:spPr>
            <a:solidFill>
              <a:schemeClr val="accent3">
                <a:lumMod val="75000"/>
              </a:schemeClr>
            </a:solidFill>
          </c:spPr>
          <c:invertIfNegative val="0"/>
          <c:dLbls>
            <c:dLbl>
              <c:idx val="1"/>
              <c:layout>
                <c:manualLayout>
                  <c:x val="-2.2610482920153684E-3"/>
                  <c:y val="1.319970492652655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empl'!$E$5:$E$13</c:f>
              <c:numCache>
                <c:formatCode>#,##0</c:formatCode>
                <c:ptCount val="9"/>
                <c:pt idx="0">
                  <c:v>105336</c:v>
                </c:pt>
                <c:pt idx="1">
                  <c:v>92604</c:v>
                </c:pt>
                <c:pt idx="2">
                  <c:v>111161</c:v>
                </c:pt>
                <c:pt idx="3">
                  <c:v>161087</c:v>
                </c:pt>
                <c:pt idx="4">
                  <c:v>120240</c:v>
                </c:pt>
                <c:pt idx="5">
                  <c:v>319019</c:v>
                </c:pt>
                <c:pt idx="6">
                  <c:v>161306</c:v>
                </c:pt>
                <c:pt idx="7">
                  <c:v>421490</c:v>
                </c:pt>
                <c:pt idx="8">
                  <c:v>258446</c:v>
                </c:pt>
              </c:numCache>
            </c:numRef>
          </c:val>
        </c:ser>
        <c:ser>
          <c:idx val="4"/>
          <c:order val="4"/>
          <c:tx>
            <c:strRef>
              <c:f>' II.4.Empr x No. de empl'!$F$4</c:f>
              <c:strCache>
                <c:ptCount val="1"/>
                <c:pt idx="0">
                  <c:v>Total Empleados</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empl'!$F$5:$F$13</c:f>
            </c:numRef>
          </c:val>
        </c:ser>
        <c:dLbls>
          <c:showLegendKey val="0"/>
          <c:showVal val="0"/>
          <c:showCatName val="0"/>
          <c:showSerName val="0"/>
          <c:showPercent val="0"/>
          <c:showBubbleSize val="0"/>
        </c:dLbls>
        <c:gapWidth val="60"/>
        <c:overlap val="-7"/>
        <c:axId val="378393128"/>
        <c:axId val="378393520"/>
      </c:barChart>
      <c:lineChart>
        <c:grouping val="standard"/>
        <c:varyColors val="0"/>
        <c:ser>
          <c:idx val="2"/>
          <c:order val="2"/>
          <c:tx>
            <c:strRef>
              <c:f>' II.4.Empr x No. de empl'!$D$4</c:f>
              <c:strCache>
                <c:ptCount val="1"/>
                <c:pt idx="0">
                  <c:v>% Empresas por rango</c:v>
                </c:pt>
              </c:strCache>
            </c:strRef>
          </c:tx>
          <c:spPr>
            <a:ln w="41275">
              <a:solidFill>
                <a:schemeClr val="accent1"/>
              </a:solidFill>
              <a:prstDash val="sysDot"/>
            </a:ln>
          </c:spPr>
          <c:marker>
            <c:symbol val="circle"/>
            <c:size val="13"/>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ln>
            </c:spPr>
          </c:marker>
          <c:dLbls>
            <c:dLbl>
              <c:idx val="2"/>
              <c:layout>
                <c:manualLayout>
                  <c:x val="-2.89226057412467E-2"/>
                  <c:y val="3.1007269523218205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1536984073733676E-2"/>
                  <c:y val="-2.8391987284505552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1.4551715129754202E-2"/>
                  <c:y val="-3.499190470758598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1.4551715129754202E-2"/>
                  <c:y val="-3.4991904707586105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2290666837738808E-2"/>
                  <c:y val="-3.1691945996045884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2290666837738917E-2"/>
                  <c:y val="-3.499190470758598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1.5337503592603852E-2"/>
                  <c:y val="-3.5911735718519237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2000"/>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empl'!$D$5:$D$13</c:f>
              <c:numCache>
                <c:formatCode>0.0%</c:formatCode>
                <c:ptCount val="9"/>
                <c:pt idx="0">
                  <c:v>0.58830105924004183</c:v>
                </c:pt>
                <c:pt idx="1">
                  <c:v>0.1747674401937879</c:v>
                </c:pt>
                <c:pt idx="2">
                  <c:v>0.10985136239196182</c:v>
                </c:pt>
                <c:pt idx="3">
                  <c:v>7.416113635386358E-2</c:v>
                </c:pt>
                <c:pt idx="4">
                  <c:v>2.4524488655094816E-2</c:v>
                </c:pt>
                <c:pt idx="5">
                  <c:v>2.225980764544842E-2</c:v>
                </c:pt>
                <c:pt idx="6">
                  <c:v>3.2823541215761033E-3</c:v>
                </c:pt>
                <c:pt idx="7">
                  <c:v>2.7950177017787778E-3</c:v>
                </c:pt>
                <c:pt idx="8">
                  <c:v>5.7333696446744162E-5</c:v>
                </c:pt>
              </c:numCache>
            </c:numRef>
          </c:val>
          <c:smooth val="0"/>
        </c:ser>
        <c:dLbls>
          <c:showLegendKey val="0"/>
          <c:showVal val="0"/>
          <c:showCatName val="0"/>
          <c:showSerName val="0"/>
          <c:showPercent val="0"/>
          <c:showBubbleSize val="0"/>
        </c:dLbls>
        <c:marker val="1"/>
        <c:smooth val="0"/>
        <c:axId val="378394304"/>
        <c:axId val="378393912"/>
      </c:lineChart>
      <c:catAx>
        <c:axId val="378393128"/>
        <c:scaling>
          <c:orientation val="minMax"/>
        </c:scaling>
        <c:delete val="0"/>
        <c:axPos val="b"/>
        <c:numFmt formatCode="General" sourceLinked="0"/>
        <c:majorTickMark val="none"/>
        <c:minorTickMark val="none"/>
        <c:tickLblPos val="nextTo"/>
        <c:txPr>
          <a:bodyPr rot="-2700000" vert="horz"/>
          <a:lstStyle/>
          <a:p>
            <a:pPr>
              <a:defRPr sz="1600"/>
            </a:pPr>
            <a:endParaRPr lang="es-ES"/>
          </a:p>
        </c:txPr>
        <c:crossAx val="378393520"/>
        <c:crosses val="autoZero"/>
        <c:auto val="1"/>
        <c:lblAlgn val="ctr"/>
        <c:lblOffset val="100"/>
        <c:noMultiLvlLbl val="0"/>
      </c:catAx>
      <c:valAx>
        <c:axId val="378393520"/>
        <c:scaling>
          <c:orientation val="minMax"/>
        </c:scaling>
        <c:delete val="0"/>
        <c:axPos val="l"/>
        <c:numFmt formatCode="#,##0" sourceLinked="1"/>
        <c:majorTickMark val="none"/>
        <c:minorTickMark val="none"/>
        <c:tickLblPos val="nextTo"/>
        <c:crossAx val="378393128"/>
        <c:crosses val="autoZero"/>
        <c:crossBetween val="between"/>
      </c:valAx>
      <c:valAx>
        <c:axId val="378393912"/>
        <c:scaling>
          <c:orientation val="minMax"/>
        </c:scaling>
        <c:delete val="0"/>
        <c:axPos val="r"/>
        <c:numFmt formatCode="0.0%" sourceLinked="1"/>
        <c:majorTickMark val="out"/>
        <c:minorTickMark val="none"/>
        <c:tickLblPos val="nextTo"/>
        <c:txPr>
          <a:bodyPr/>
          <a:lstStyle/>
          <a:p>
            <a:pPr>
              <a:defRPr>
                <a:solidFill>
                  <a:schemeClr val="bg1"/>
                </a:solidFill>
              </a:defRPr>
            </a:pPr>
            <a:endParaRPr lang="es-ES"/>
          </a:p>
        </c:txPr>
        <c:crossAx val="378394304"/>
        <c:crosses val="max"/>
        <c:crossBetween val="between"/>
      </c:valAx>
      <c:catAx>
        <c:axId val="378394304"/>
        <c:scaling>
          <c:orientation val="minMax"/>
        </c:scaling>
        <c:delete val="1"/>
        <c:axPos val="b"/>
        <c:numFmt formatCode="General" sourceLinked="1"/>
        <c:majorTickMark val="out"/>
        <c:minorTickMark val="none"/>
        <c:tickLblPos val="nextTo"/>
        <c:crossAx val="378393912"/>
        <c:crosses val="autoZero"/>
        <c:auto val="1"/>
        <c:lblAlgn val="ctr"/>
        <c:lblOffset val="100"/>
        <c:noMultiLvlLbl val="0"/>
      </c:catAx>
    </c:plotArea>
    <c:legend>
      <c:legendPos val="t"/>
      <c:layout>
        <c:manualLayout>
          <c:xMode val="edge"/>
          <c:yMode val="edge"/>
          <c:x val="0.16147688825869669"/>
          <c:y val="6.100804371327416E-2"/>
          <c:w val="0.70417874364169186"/>
          <c:h val="4.9772984956477577E-2"/>
        </c:manualLayout>
      </c:layout>
      <c:overlay val="0"/>
      <c:txPr>
        <a:bodyPr/>
        <a:lstStyle/>
        <a:p>
          <a:pPr>
            <a:defRPr sz="18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600"/>
            </a:pPr>
            <a:r>
              <a:rPr lang="en-US" sz="1600"/>
              <a:t>Comportamiento de la Afiliación al SFS del RS con Relación a la Población Pobre del País</a:t>
            </a:r>
            <a:r>
              <a:rPr lang="en-US" sz="1600" baseline="0"/>
              <a:t> Comité de Pobreza</a:t>
            </a:r>
            <a:endParaRPr lang="en-US" sz="1600"/>
          </a:p>
        </c:rich>
      </c:tx>
      <c:layout>
        <c:manualLayout>
          <c:xMode val="edge"/>
          <c:yMode val="edge"/>
          <c:x val="0.21321648486837025"/>
          <c:y val="3.2025932359901851E-2"/>
        </c:manualLayout>
      </c:layout>
      <c:overlay val="0"/>
    </c:title>
    <c:autoTitleDeleted val="0"/>
    <c:plotArea>
      <c:layout>
        <c:manualLayout>
          <c:layoutTarget val="inner"/>
          <c:xMode val="edge"/>
          <c:yMode val="edge"/>
          <c:x val="7.0142903511270324E-2"/>
          <c:y val="0.18261703455359135"/>
          <c:w val="0.88234863718135215"/>
          <c:h val="0.60168329927441699"/>
        </c:manualLayout>
      </c:layout>
      <c:barChart>
        <c:barDir val="col"/>
        <c:grouping val="clustered"/>
        <c:varyColors val="0"/>
        <c:ser>
          <c:idx val="1"/>
          <c:order val="0"/>
          <c:tx>
            <c:strRef>
              <c:f>'III.3.7. Afil. SFS RS Vs pob.'!$D$4</c:f>
              <c:strCache>
                <c:ptCount val="1"/>
                <c:pt idx="0">
                  <c:v>Población Pobre del País </c:v>
                </c:pt>
              </c:strCache>
            </c:strRef>
          </c:tx>
          <c:spPr>
            <a:solidFill>
              <a:srgbClr val="0070C0"/>
            </a:solidFill>
          </c:spPr>
          <c:invertIfNegative val="0"/>
          <c:dLbls>
            <c:spPr>
              <a:noFill/>
              <a:ln>
                <a:noFill/>
              </a:ln>
              <a:effectLst/>
            </c:spPr>
            <c:txPr>
              <a:bodyPr/>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'III.3.7. Afil. SFS RS Vs pob.'!$A$5:$A$15</c:f>
              <c:strCache>
                <c:ptCount val="11"/>
                <c:pt idx="0">
                  <c:v>Dic. 2005</c:v>
                </c:pt>
                <c:pt idx="1">
                  <c:v>Dic. 2006</c:v>
                </c:pt>
                <c:pt idx="2">
                  <c:v>Dic. 2007</c:v>
                </c:pt>
                <c:pt idx="3">
                  <c:v>Dic. 2008</c:v>
                </c:pt>
                <c:pt idx="4">
                  <c:v>Dic. 2009</c:v>
                </c:pt>
                <c:pt idx="5">
                  <c:v>Dic. 2010</c:v>
                </c:pt>
                <c:pt idx="6">
                  <c:v>Dic. 2011</c:v>
                </c:pt>
                <c:pt idx="7">
                  <c:v>Dic. 2012</c:v>
                </c:pt>
                <c:pt idx="8">
                  <c:v>Dic. 2013</c:v>
                </c:pt>
                <c:pt idx="9">
                  <c:v>Dic. 2014</c:v>
                </c:pt>
                <c:pt idx="10">
                  <c:v>Nov. 2015</c:v>
                </c:pt>
              </c:strCache>
            </c:strRef>
          </c:cat>
          <c:val>
            <c:numRef>
              <c:f>'III.3.7. Afil. SFS RS Vs pob.'!$D$5:$D$15</c:f>
              <c:numCache>
                <c:formatCode>_(* #,##0_);_(* \(#,##0\);_(* "-"??_);_(@_)</c:formatCode>
                <c:ptCount val="11"/>
                <c:pt idx="0">
                  <c:v>4374809.6100000003</c:v>
                </c:pt>
                <c:pt idx="1">
                  <c:v>4315551.0144999996</c:v>
                </c:pt>
                <c:pt idx="2">
                  <c:v>4105669.2349999999</c:v>
                </c:pt>
                <c:pt idx="3">
                  <c:v>4085584.284</c:v>
                </c:pt>
                <c:pt idx="4">
                  <c:v>4261697.1419999981</c:v>
                </c:pt>
                <c:pt idx="5">
                  <c:v>4049951.4375000014</c:v>
                </c:pt>
                <c:pt idx="6">
                  <c:v>4141011.1549999998</c:v>
                </c:pt>
                <c:pt idx="7">
                  <c:v>4106329.4469999997</c:v>
                </c:pt>
                <c:pt idx="8">
                  <c:v>4148523.3279999997</c:v>
                </c:pt>
                <c:pt idx="9">
                  <c:v>4150896.3319999999</c:v>
                </c:pt>
                <c:pt idx="10">
                  <c:v>3216436.0500000003</c:v>
                </c:pt>
              </c:numCache>
            </c:numRef>
          </c:val>
        </c:ser>
        <c:ser>
          <c:idx val="0"/>
          <c:order val="1"/>
          <c:tx>
            <c:strRef>
              <c:f>'III.3.7. Afil. SFS RS Vs pob.'!$B$4</c:f>
              <c:strCache>
                <c:ptCount val="1"/>
                <c:pt idx="0">
                  <c:v>Afiliación        SFS RS</c:v>
                </c:pt>
              </c:strCache>
            </c:strRef>
          </c:tx>
          <c:spPr>
            <a:solidFill>
              <a:schemeClr val="accent3">
                <a:lumMod val="75000"/>
              </a:schemeClr>
            </a:solidFill>
          </c:spPr>
          <c:invertIfNegative val="0"/>
          <c:cat>
            <c:strRef>
              <c:f>'III.3.7. Afil. SFS RS Vs pob.'!$A$5:$A$15</c:f>
              <c:strCache>
                <c:ptCount val="11"/>
                <c:pt idx="0">
                  <c:v>Dic. 2005</c:v>
                </c:pt>
                <c:pt idx="1">
                  <c:v>Dic. 2006</c:v>
                </c:pt>
                <c:pt idx="2">
                  <c:v>Dic. 2007</c:v>
                </c:pt>
                <c:pt idx="3">
                  <c:v>Dic. 2008</c:v>
                </c:pt>
                <c:pt idx="4">
                  <c:v>Dic. 2009</c:v>
                </c:pt>
                <c:pt idx="5">
                  <c:v>Dic. 2010</c:v>
                </c:pt>
                <c:pt idx="6">
                  <c:v>Dic. 2011</c:v>
                </c:pt>
                <c:pt idx="7">
                  <c:v>Dic. 2012</c:v>
                </c:pt>
                <c:pt idx="8">
                  <c:v>Dic. 2013</c:v>
                </c:pt>
                <c:pt idx="9">
                  <c:v>Dic. 2014</c:v>
                </c:pt>
                <c:pt idx="10">
                  <c:v>Nov. 2015</c:v>
                </c:pt>
              </c:strCache>
            </c:strRef>
          </c:cat>
          <c:val>
            <c:numRef>
              <c:f>'III.3.7. Afil. SFS RS Vs pob.'!$B$5:$B$15</c:f>
              <c:numCache>
                <c:formatCode>_(* #,##0_);_(* \(#,##0\);_(* "-"??_);_(@_)</c:formatCode>
                <c:ptCount val="11"/>
                <c:pt idx="0">
                  <c:v>253374</c:v>
                </c:pt>
                <c:pt idx="1">
                  <c:v>514040</c:v>
                </c:pt>
                <c:pt idx="2">
                  <c:v>1081936</c:v>
                </c:pt>
                <c:pt idx="3">
                  <c:v>1224898</c:v>
                </c:pt>
                <c:pt idx="4">
                  <c:v>1404225</c:v>
                </c:pt>
                <c:pt idx="5">
                  <c:v>2013786</c:v>
                </c:pt>
                <c:pt idx="6">
                  <c:v>2003427</c:v>
                </c:pt>
                <c:pt idx="7">
                  <c:v>2303351</c:v>
                </c:pt>
                <c:pt idx="8">
                  <c:v>2751753</c:v>
                </c:pt>
                <c:pt idx="9">
                  <c:v>3015646</c:v>
                </c:pt>
                <c:pt idx="10">
                  <c:v>3107676</c:v>
                </c:pt>
              </c:numCache>
            </c:numRef>
          </c:val>
        </c:ser>
        <c:dLbls>
          <c:showLegendKey val="0"/>
          <c:showVal val="0"/>
          <c:showCatName val="0"/>
          <c:showSerName val="0"/>
          <c:showPercent val="0"/>
          <c:showBubbleSize val="0"/>
        </c:dLbls>
        <c:gapWidth val="26"/>
        <c:overlap val="66"/>
        <c:axId val="379989256"/>
        <c:axId val="379992784"/>
      </c:barChart>
      <c:lineChart>
        <c:grouping val="standard"/>
        <c:varyColors val="0"/>
        <c:ser>
          <c:idx val="2"/>
          <c:order val="2"/>
          <c:tx>
            <c:strRef>
              <c:f>'III.3.7. Afil. SFS RS Vs pob.'!$E$4</c:f>
              <c:strCache>
                <c:ptCount val="1"/>
                <c:pt idx="0">
                  <c:v>%  Afiliación Cubierta  / Población Pobre</c:v>
                </c:pt>
              </c:strCache>
            </c:strRef>
          </c:tx>
          <c:spPr>
            <a:ln>
              <a:noFill/>
            </a:ln>
            <a:effectLst>
              <a:glow rad="228600">
                <a:schemeClr val="accent3">
                  <a:satMod val="175000"/>
                  <a:alpha val="40000"/>
                </a:schemeClr>
              </a:glow>
            </a:effectLst>
          </c:spPr>
          <c:marker>
            <c:symbol val="circle"/>
            <c:size val="13"/>
            <c:spPr>
              <a:gradFill>
                <a:gsLst>
                  <a:gs pos="0">
                    <a:srgbClr val="FFF200"/>
                  </a:gs>
                  <a:gs pos="45000">
                    <a:srgbClr val="FF7A00"/>
                  </a:gs>
                  <a:gs pos="70000">
                    <a:srgbClr val="FF0300"/>
                  </a:gs>
                  <a:gs pos="100000">
                    <a:srgbClr val="4D0808"/>
                  </a:gs>
                </a:gsLst>
                <a:lin ang="5400000" scaled="0"/>
              </a:gradFill>
              <a:ln>
                <a:noFill/>
              </a:ln>
              <a:effectLst>
                <a:glow rad="228600">
                  <a:schemeClr val="accent3">
                    <a:satMod val="175000"/>
                    <a:alpha val="40000"/>
                  </a:schemeClr>
                </a:glow>
              </a:effectLst>
            </c:spPr>
          </c:marker>
          <c:dLbls>
            <c:dLbl>
              <c:idx val="9"/>
              <c:layout>
                <c:manualLayout>
                  <c:x val="-2.4239342719187811E-2"/>
                  <c:y val="4.3241473605929621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2.4239342719187811E-2"/>
                  <c:y val="4.3241473605929545E-2"/>
                </c:manualLayout>
              </c:layout>
              <c:spPr/>
              <c:txPr>
                <a:bodyPr/>
                <a:lstStyle/>
                <a:p>
                  <a:pPr>
                    <a:defRPr sz="1800" b="1"/>
                  </a:pPr>
                  <a:endParaRPr lang="es-ES"/>
                </a:p>
              </c:txPr>
              <c:dLblPos val="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600" b="0"/>
                </a:pPr>
                <a:endParaRPr lang="es-ES"/>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'III.3.7. Afil. SFS RS Vs pob.'!$A$5:$A$15</c:f>
              <c:strCache>
                <c:ptCount val="11"/>
                <c:pt idx="0">
                  <c:v>Dic. 2005</c:v>
                </c:pt>
                <c:pt idx="1">
                  <c:v>Dic. 2006</c:v>
                </c:pt>
                <c:pt idx="2">
                  <c:v>Dic. 2007</c:v>
                </c:pt>
                <c:pt idx="3">
                  <c:v>Dic. 2008</c:v>
                </c:pt>
                <c:pt idx="4">
                  <c:v>Dic. 2009</c:v>
                </c:pt>
                <c:pt idx="5">
                  <c:v>Dic. 2010</c:v>
                </c:pt>
                <c:pt idx="6">
                  <c:v>Dic. 2011</c:v>
                </c:pt>
                <c:pt idx="7">
                  <c:v>Dic. 2012</c:v>
                </c:pt>
                <c:pt idx="8">
                  <c:v>Dic. 2013</c:v>
                </c:pt>
                <c:pt idx="9">
                  <c:v>Dic. 2014</c:v>
                </c:pt>
                <c:pt idx="10">
                  <c:v>Nov. 2015</c:v>
                </c:pt>
              </c:strCache>
            </c:strRef>
          </c:cat>
          <c:val>
            <c:numRef>
              <c:f>'III.3.7. Afil. SFS RS Vs pob.'!$E$5:$E$15</c:f>
              <c:numCache>
                <c:formatCode>0.0%</c:formatCode>
                <c:ptCount val="11"/>
                <c:pt idx="0">
                  <c:v>5.791657753993093E-2</c:v>
                </c:pt>
                <c:pt idx="1">
                  <c:v>0.11911341061033819</c:v>
                </c:pt>
                <c:pt idx="2">
                  <c:v>0.26352244617679244</c:v>
                </c:pt>
                <c:pt idx="3">
                  <c:v>0.29980974931711873</c:v>
                </c:pt>
                <c:pt idx="4">
                  <c:v>0.32949901253212999</c:v>
                </c:pt>
                <c:pt idx="5">
                  <c:v>0.49723707335194417</c:v>
                </c:pt>
                <c:pt idx="6">
                  <c:v>0.48380140139950917</c:v>
                </c:pt>
                <c:pt idx="7">
                  <c:v>0.56092698594429169</c:v>
                </c:pt>
                <c:pt idx="8">
                  <c:v>0.6633090337054024</c:v>
                </c:pt>
                <c:pt idx="9">
                  <c:v>0.72650477362006061</c:v>
                </c:pt>
                <c:pt idx="10">
                  <c:v>0.96618616123270962</c:v>
                </c:pt>
              </c:numCache>
            </c:numRef>
          </c:val>
          <c:smooth val="0"/>
        </c:ser>
        <c:dLbls>
          <c:showLegendKey val="0"/>
          <c:showVal val="0"/>
          <c:showCatName val="0"/>
          <c:showSerName val="0"/>
          <c:showPercent val="0"/>
          <c:showBubbleSize val="0"/>
        </c:dLbls>
        <c:marker val="1"/>
        <c:smooth val="0"/>
        <c:axId val="380008072"/>
        <c:axId val="380008464"/>
      </c:lineChart>
      <c:catAx>
        <c:axId val="379989256"/>
        <c:scaling>
          <c:orientation val="minMax"/>
        </c:scaling>
        <c:delete val="0"/>
        <c:axPos val="b"/>
        <c:numFmt formatCode="General" sourceLinked="0"/>
        <c:majorTickMark val="none"/>
        <c:minorTickMark val="none"/>
        <c:tickLblPos val="nextTo"/>
        <c:txPr>
          <a:bodyPr rot="-2700000" vert="horz"/>
          <a:lstStyle/>
          <a:p>
            <a:pPr>
              <a:defRPr sz="1400"/>
            </a:pPr>
            <a:endParaRPr lang="es-ES"/>
          </a:p>
        </c:txPr>
        <c:crossAx val="379992784"/>
        <c:crosses val="autoZero"/>
        <c:auto val="1"/>
        <c:lblAlgn val="ctr"/>
        <c:lblOffset val="100"/>
        <c:noMultiLvlLbl val="0"/>
      </c:catAx>
      <c:valAx>
        <c:axId val="379992784"/>
        <c:scaling>
          <c:orientation val="minMax"/>
          <c:max val="5000000"/>
        </c:scaling>
        <c:delete val="0"/>
        <c:axPos val="l"/>
        <c:numFmt formatCode="_(* #,##0_);_(* \(#,##0\);_(* &quot;-&quot;??_);_(@_)" sourceLinked="1"/>
        <c:majorTickMark val="none"/>
        <c:minorTickMark val="none"/>
        <c:tickLblPos val="nextTo"/>
        <c:crossAx val="379989256"/>
        <c:crosses val="autoZero"/>
        <c:crossBetween val="between"/>
      </c:valAx>
      <c:valAx>
        <c:axId val="380008464"/>
        <c:scaling>
          <c:orientation val="minMax"/>
          <c:max val="1.5"/>
        </c:scaling>
        <c:delete val="0"/>
        <c:axPos val="r"/>
        <c:numFmt formatCode="0.0%" sourceLinked="1"/>
        <c:majorTickMark val="out"/>
        <c:minorTickMark val="none"/>
        <c:tickLblPos val="nextTo"/>
        <c:txPr>
          <a:bodyPr/>
          <a:lstStyle/>
          <a:p>
            <a:pPr>
              <a:defRPr>
                <a:solidFill>
                  <a:schemeClr val="bg1"/>
                </a:solidFill>
              </a:defRPr>
            </a:pPr>
            <a:endParaRPr lang="es-ES"/>
          </a:p>
        </c:txPr>
        <c:crossAx val="380008072"/>
        <c:crosses val="max"/>
        <c:crossBetween val="between"/>
      </c:valAx>
      <c:catAx>
        <c:axId val="380008072"/>
        <c:scaling>
          <c:orientation val="minMax"/>
        </c:scaling>
        <c:delete val="1"/>
        <c:axPos val="b"/>
        <c:numFmt formatCode="General" sourceLinked="1"/>
        <c:majorTickMark val="out"/>
        <c:minorTickMark val="none"/>
        <c:tickLblPos val="nextTo"/>
        <c:crossAx val="380008464"/>
        <c:crosses val="autoZero"/>
        <c:auto val="1"/>
        <c:lblAlgn val="ctr"/>
        <c:lblOffset val="100"/>
        <c:noMultiLvlLbl val="0"/>
      </c:catAx>
    </c:plotArea>
    <c:legend>
      <c:legendPos val="t"/>
      <c:layout>
        <c:manualLayout>
          <c:xMode val="edge"/>
          <c:yMode val="edge"/>
          <c:x val="0.15376062110711308"/>
          <c:y val="7.900197208452385E-2"/>
          <c:w val="0.65557841533123584"/>
          <c:h val="4.9769826133397026E-2"/>
        </c:manualLayout>
      </c:layout>
      <c:overlay val="0"/>
      <c:txPr>
        <a:bodyPr/>
        <a:lstStyle/>
        <a:p>
          <a:pPr>
            <a:defRPr sz="16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1600"/>
            </a:pPr>
            <a:r>
              <a:rPr lang="es-DO" sz="1600"/>
              <a:t>Régimen Especial Transitorio para la Salud de Pensionados Ley 1896-379</a:t>
            </a:r>
          </a:p>
          <a:p>
            <a:pPr>
              <a:defRPr sz="1600"/>
            </a:pPr>
            <a:r>
              <a:rPr lang="es-DO" sz="1600"/>
              <a:t>Afiliación Anual de Pensionados al SFS</a:t>
            </a:r>
          </a:p>
        </c:rich>
      </c:tx>
      <c:layout>
        <c:manualLayout>
          <c:xMode val="edge"/>
          <c:yMode val="edge"/>
          <c:x val="0.27451121834853554"/>
          <c:y val="4.7519115687954673E-2"/>
        </c:manualLayout>
      </c:layout>
      <c:overlay val="0"/>
    </c:title>
    <c:autoTitleDeleted val="0"/>
    <c:plotArea>
      <c:layout>
        <c:manualLayout>
          <c:layoutTarget val="inner"/>
          <c:xMode val="edge"/>
          <c:yMode val="edge"/>
          <c:x val="7.4026154596507659E-2"/>
          <c:y val="0.17427611139095453"/>
          <c:w val="0.89096027941174827"/>
          <c:h val="0.67026703527745413"/>
        </c:manualLayout>
      </c:layout>
      <c:barChart>
        <c:barDir val="col"/>
        <c:grouping val="clustered"/>
        <c:varyColors val="0"/>
        <c:ser>
          <c:idx val="0"/>
          <c:order val="0"/>
          <c:tx>
            <c:strRef>
              <c:f>' III.4.2.Afil. SFSP Anual.'!$B$3</c:f>
              <c:strCache>
                <c:ptCount val="1"/>
                <c:pt idx="0">
                  <c:v>Afiliación    Total</c:v>
                </c:pt>
              </c:strCache>
            </c:strRef>
          </c:tx>
          <c:spPr>
            <a:solidFill>
              <a:schemeClr val="accent3">
                <a:lumMod val="75000"/>
              </a:schemeClr>
            </a:solidFill>
          </c:spPr>
          <c:invertIfNegative val="0"/>
          <c:dLbls>
            <c:spPr>
              <a:noFill/>
              <a:ln>
                <a:noFill/>
              </a:ln>
              <a:effectLst/>
            </c:spPr>
            <c:txPr>
              <a:bodyPr/>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III.4.2.Afil. SFSP Anual.'!$A$4:$A$10</c:f>
              <c:strCache>
                <c:ptCount val="7"/>
                <c:pt idx="0">
                  <c:v>Dic. 2009</c:v>
                </c:pt>
                <c:pt idx="1">
                  <c:v>Dic. 2010</c:v>
                </c:pt>
                <c:pt idx="2">
                  <c:v>Dic. 2011</c:v>
                </c:pt>
                <c:pt idx="3">
                  <c:v>Dic. 2012</c:v>
                </c:pt>
                <c:pt idx="4">
                  <c:v>Dic. 2013</c:v>
                </c:pt>
                <c:pt idx="5">
                  <c:v>Dic. 2014</c:v>
                </c:pt>
                <c:pt idx="6">
                  <c:v>Nov. 2015</c:v>
                </c:pt>
              </c:strCache>
            </c:strRef>
          </c:cat>
          <c:val>
            <c:numRef>
              <c:f>' III.4.2.Afil. SFSP Anual.'!$B$4:$B$10</c:f>
              <c:numCache>
                <c:formatCode>_(* #,##0_);_(* \(#,##0\);_(* "-"??_);_(@_)</c:formatCode>
                <c:ptCount val="7"/>
                <c:pt idx="0">
                  <c:v>21982</c:v>
                </c:pt>
                <c:pt idx="1">
                  <c:v>27354</c:v>
                </c:pt>
                <c:pt idx="2">
                  <c:v>29726</c:v>
                </c:pt>
                <c:pt idx="3">
                  <c:v>30703</c:v>
                </c:pt>
                <c:pt idx="4">
                  <c:v>27273</c:v>
                </c:pt>
                <c:pt idx="5">
                  <c:v>30370</c:v>
                </c:pt>
                <c:pt idx="6">
                  <c:v>30479</c:v>
                </c:pt>
              </c:numCache>
            </c:numRef>
          </c:val>
        </c:ser>
        <c:dLbls>
          <c:showLegendKey val="0"/>
          <c:showVal val="0"/>
          <c:showCatName val="0"/>
          <c:showSerName val="0"/>
          <c:showPercent val="0"/>
          <c:showBubbleSize val="0"/>
        </c:dLbls>
        <c:gapWidth val="79"/>
        <c:overlap val="19"/>
        <c:axId val="500203960"/>
        <c:axId val="500201608"/>
      </c:barChart>
      <c:catAx>
        <c:axId val="500203960"/>
        <c:scaling>
          <c:orientation val="minMax"/>
        </c:scaling>
        <c:delete val="0"/>
        <c:axPos val="b"/>
        <c:numFmt formatCode="General" sourceLinked="0"/>
        <c:majorTickMark val="out"/>
        <c:minorTickMark val="none"/>
        <c:tickLblPos val="nextTo"/>
        <c:txPr>
          <a:bodyPr/>
          <a:lstStyle/>
          <a:p>
            <a:pPr>
              <a:defRPr sz="1400"/>
            </a:pPr>
            <a:endParaRPr lang="es-ES"/>
          </a:p>
        </c:txPr>
        <c:crossAx val="500201608"/>
        <c:crosses val="autoZero"/>
        <c:auto val="1"/>
        <c:lblAlgn val="ctr"/>
        <c:lblOffset val="100"/>
        <c:noMultiLvlLbl val="0"/>
      </c:catAx>
      <c:valAx>
        <c:axId val="500201608"/>
        <c:scaling>
          <c:orientation val="minMax"/>
        </c:scaling>
        <c:delete val="0"/>
        <c:axPos val="l"/>
        <c:numFmt formatCode="_(* #,##0_);_(* \(#,##0\);_(* &quot;-&quot;??_);_(@_)" sourceLinked="1"/>
        <c:majorTickMark val="out"/>
        <c:minorTickMark val="none"/>
        <c:tickLblPos val="nextTo"/>
        <c:crossAx val="500203960"/>
        <c:crosses val="autoZero"/>
        <c:crossBetween val="between"/>
      </c:valAx>
    </c:plotArea>
    <c:plotVisOnly val="1"/>
    <c:dispBlanksAs val="gap"/>
    <c:showDLblsOverMax val="0"/>
  </c:chart>
  <c:spPr>
    <a:ln>
      <a:noFill/>
    </a:ln>
  </c:sp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Afiliación Mensual de Pensionados al SFS</a:t>
            </a:r>
          </a:p>
        </c:rich>
      </c:tx>
      <c:layout>
        <c:manualLayout>
          <c:xMode val="edge"/>
          <c:yMode val="edge"/>
          <c:x val="0.30385918705683079"/>
          <c:y val="3.0206008337162738E-2"/>
        </c:manualLayout>
      </c:layout>
      <c:overlay val="0"/>
    </c:title>
    <c:autoTitleDeleted val="0"/>
    <c:plotArea>
      <c:layout>
        <c:manualLayout>
          <c:layoutTarget val="inner"/>
          <c:xMode val="edge"/>
          <c:yMode val="edge"/>
          <c:x val="5.6160015620857805E-3"/>
          <c:y val="0.214007418105429"/>
          <c:w val="0.98262475576723907"/>
          <c:h val="0.59429419557740271"/>
        </c:manualLayout>
      </c:layout>
      <c:barChart>
        <c:barDir val="col"/>
        <c:grouping val="clustered"/>
        <c:varyColors val="0"/>
        <c:ser>
          <c:idx val="0"/>
          <c:order val="0"/>
          <c:tx>
            <c:strRef>
              <c:f>' III.4.3.Afil. SFSP Mensual'!$B$3</c:f>
              <c:strCache>
                <c:ptCount val="1"/>
                <c:pt idx="0">
                  <c:v>Afiliación Total</c:v>
                </c:pt>
              </c:strCache>
            </c:strRef>
          </c:tx>
          <c:invertIfNegative val="0"/>
          <c:dLbls>
            <c:dLbl>
              <c:idx val="0"/>
              <c:layout>
                <c:manualLayout>
                  <c:x val="0"/>
                  <c:y val="0.11387681047927506"/>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0"/>
                  <c:y val="0.11646491980834948"/>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0"/>
                  <c:y val="0.1164649198083495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0"/>
                  <c:y val="0.12422924779557279"/>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1.1310712028024916E-3"/>
                  <c:y val="0.1190530291374239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0"/>
                  <c:y val="0.14234601309909381"/>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0"/>
                  <c:y val="0.12422924779557279"/>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0"/>
                  <c:y val="0.12164113846649835"/>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8.2944263359641149E-17"/>
                  <c:y val="0.13716979444094496"/>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0"/>
                  <c:y val="0.12164113846649835"/>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1.1310712028024916E-3"/>
                  <c:y val="0.13199357578279608"/>
                </c:manualLayout>
              </c:layout>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1.1310712028024916E-3"/>
                  <c:y val="0.12422924779557279"/>
                </c:manualLayout>
              </c:layout>
              <c:showLegendKey val="0"/>
              <c:showVal val="1"/>
              <c:showCatName val="0"/>
              <c:showSerName val="0"/>
              <c:showPercent val="0"/>
              <c:showBubbleSize val="0"/>
              <c:extLst>
                <c:ext xmlns:c15="http://schemas.microsoft.com/office/drawing/2012/chart" uri="{CE6537A1-D6FC-4f65-9D91-7224C49458BB}">
                  <c15:layout/>
                </c:ext>
              </c:extLst>
            </c:dLbl>
            <c:dLbl>
              <c:idx val="12"/>
              <c:layout>
                <c:manualLayout>
                  <c:x val="0"/>
                  <c:y val="0.12422924779557279"/>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b="1"/>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III.4.3.Afil. SFSP Mensual'!$A$4:$A$16</c:f>
              <c:strCache>
                <c:ptCount val="13"/>
                <c:pt idx="0">
                  <c:v>Nov.14</c:v>
                </c:pt>
                <c:pt idx="1">
                  <c:v>Dic.14</c:v>
                </c:pt>
                <c:pt idx="2">
                  <c:v>Ene.15</c:v>
                </c:pt>
                <c:pt idx="3">
                  <c:v>Feb.15</c:v>
                </c:pt>
                <c:pt idx="4">
                  <c:v>Mar.15</c:v>
                </c:pt>
                <c:pt idx="5">
                  <c:v>Abr.15</c:v>
                </c:pt>
                <c:pt idx="6">
                  <c:v>May.15</c:v>
                </c:pt>
                <c:pt idx="7">
                  <c:v>Jun.15</c:v>
                </c:pt>
                <c:pt idx="8">
                  <c:v>Jul.15</c:v>
                </c:pt>
                <c:pt idx="9">
                  <c:v>Ago.15</c:v>
                </c:pt>
                <c:pt idx="10">
                  <c:v>Sep.15</c:v>
                </c:pt>
                <c:pt idx="11">
                  <c:v>Oct.15</c:v>
                </c:pt>
                <c:pt idx="12">
                  <c:v>Nov.15</c:v>
                </c:pt>
              </c:strCache>
            </c:strRef>
          </c:cat>
          <c:val>
            <c:numRef>
              <c:f>' III.4.3.Afil. SFSP Mensual'!$B$4:$B$16</c:f>
              <c:numCache>
                <c:formatCode>_(* #,##0_);_(* \(#,##0\);_(* "-"??_);_(@_)</c:formatCode>
                <c:ptCount val="13"/>
                <c:pt idx="0">
                  <c:v>30169</c:v>
                </c:pt>
                <c:pt idx="1">
                  <c:v>30370</c:v>
                </c:pt>
                <c:pt idx="2">
                  <c:v>30435</c:v>
                </c:pt>
                <c:pt idx="3">
                  <c:v>30562</c:v>
                </c:pt>
                <c:pt idx="4">
                  <c:v>30440</c:v>
                </c:pt>
                <c:pt idx="5">
                  <c:v>30512</c:v>
                </c:pt>
                <c:pt idx="6">
                  <c:v>30543</c:v>
                </c:pt>
                <c:pt idx="7">
                  <c:v>30582</c:v>
                </c:pt>
                <c:pt idx="8">
                  <c:v>30486</c:v>
                </c:pt>
                <c:pt idx="9">
                  <c:v>30545</c:v>
                </c:pt>
                <c:pt idx="10">
                  <c:v>30468</c:v>
                </c:pt>
                <c:pt idx="11">
                  <c:v>30413</c:v>
                </c:pt>
                <c:pt idx="12">
                  <c:v>30479</c:v>
                </c:pt>
              </c:numCache>
            </c:numRef>
          </c:val>
        </c:ser>
        <c:ser>
          <c:idx val="1"/>
          <c:order val="1"/>
          <c:tx>
            <c:strRef>
              <c:f>' III.4.3.Afil. SFSP Mensual'!$C$3</c:f>
              <c:strCache>
                <c:ptCount val="1"/>
                <c:pt idx="0">
                  <c:v>Afiliación  ARS Salud Segura </c:v>
                </c:pt>
              </c:strCache>
            </c:strRef>
          </c:tx>
          <c:spPr>
            <a:solidFill>
              <a:schemeClr val="accent3">
                <a:lumMod val="75000"/>
              </a:schemeClr>
            </a:solidFill>
          </c:spPr>
          <c:invertIfNegative val="0"/>
          <c:dLbls>
            <c:dLbl>
              <c:idx val="0"/>
              <c:layout>
                <c:manualLayout>
                  <c:x val="0"/>
                  <c:y val="0.11646491980834948"/>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0"/>
                  <c:y val="0.1112887011502006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8.9060724630117455E-8"/>
                  <c:y val="0.11387681047927506"/>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0"/>
                  <c:y val="0.11646491980834948"/>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0"/>
                  <c:y val="0.12422924779557279"/>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0"/>
                  <c:y val="0.12164113846649835"/>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1310712028024916E-3"/>
                  <c:y val="0.11387681047927506"/>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1310712028024916E-3"/>
                  <c:y val="0.1190530291374239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0"/>
                  <c:y val="0.11646491980834948"/>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0"/>
                  <c:y val="0.12422924779557279"/>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0"/>
                  <c:y val="0.11646491980834948"/>
                </c:manualLayout>
              </c:layout>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0"/>
                  <c:y val="0.12940546645372164"/>
                </c:manualLayout>
              </c:layout>
              <c:showLegendKey val="0"/>
              <c:showVal val="1"/>
              <c:showCatName val="0"/>
              <c:showSerName val="0"/>
              <c:showPercent val="0"/>
              <c:showBubbleSize val="0"/>
              <c:extLst>
                <c:ext xmlns:c15="http://schemas.microsoft.com/office/drawing/2012/chart" uri="{CE6537A1-D6FC-4f65-9D91-7224C49458BB}">
                  <c15:layout/>
                </c:ext>
              </c:extLst>
            </c:dLbl>
            <c:dLbl>
              <c:idx val="12"/>
              <c:layout>
                <c:manualLayout>
                  <c:x val="0"/>
                  <c:y val="0.1268173571246472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b="1"/>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III.4.3.Afil. SFSP Mensual'!$A$4:$A$16</c:f>
              <c:strCache>
                <c:ptCount val="13"/>
                <c:pt idx="0">
                  <c:v>Nov.14</c:v>
                </c:pt>
                <c:pt idx="1">
                  <c:v>Dic.14</c:v>
                </c:pt>
                <c:pt idx="2">
                  <c:v>Ene.15</c:v>
                </c:pt>
                <c:pt idx="3">
                  <c:v>Feb.15</c:v>
                </c:pt>
                <c:pt idx="4">
                  <c:v>Mar.15</c:v>
                </c:pt>
                <c:pt idx="5">
                  <c:v>Abr.15</c:v>
                </c:pt>
                <c:pt idx="6">
                  <c:v>May.15</c:v>
                </c:pt>
                <c:pt idx="7">
                  <c:v>Jun.15</c:v>
                </c:pt>
                <c:pt idx="8">
                  <c:v>Jul.15</c:v>
                </c:pt>
                <c:pt idx="9">
                  <c:v>Ago.15</c:v>
                </c:pt>
                <c:pt idx="10">
                  <c:v>Sep.15</c:v>
                </c:pt>
                <c:pt idx="11">
                  <c:v>Oct.15</c:v>
                </c:pt>
                <c:pt idx="12">
                  <c:v>Nov.15</c:v>
                </c:pt>
              </c:strCache>
            </c:strRef>
          </c:cat>
          <c:val>
            <c:numRef>
              <c:f>' III.4.3.Afil. SFSP Mensual'!$C$4:$C$16</c:f>
              <c:numCache>
                <c:formatCode>_(* #,##0_);_(* \(#,##0\);_(* "-"??_);_(@_)</c:formatCode>
                <c:ptCount val="13"/>
                <c:pt idx="0">
                  <c:v>14899</c:v>
                </c:pt>
                <c:pt idx="1">
                  <c:v>15039</c:v>
                </c:pt>
                <c:pt idx="2">
                  <c:v>15082</c:v>
                </c:pt>
                <c:pt idx="3">
                  <c:v>15138</c:v>
                </c:pt>
                <c:pt idx="4">
                  <c:v>15090</c:v>
                </c:pt>
                <c:pt idx="5">
                  <c:v>15135</c:v>
                </c:pt>
                <c:pt idx="6">
                  <c:v>15143</c:v>
                </c:pt>
                <c:pt idx="7">
                  <c:v>15129</c:v>
                </c:pt>
                <c:pt idx="8">
                  <c:v>15067</c:v>
                </c:pt>
                <c:pt idx="9">
                  <c:v>15041</c:v>
                </c:pt>
                <c:pt idx="10">
                  <c:v>15004</c:v>
                </c:pt>
                <c:pt idx="11">
                  <c:v>14956</c:v>
                </c:pt>
                <c:pt idx="12">
                  <c:v>15001</c:v>
                </c:pt>
              </c:numCache>
            </c:numRef>
          </c:val>
        </c:ser>
        <c:ser>
          <c:idx val="2"/>
          <c:order val="2"/>
          <c:tx>
            <c:strRef>
              <c:f>' III.4.3.Afil. SFSP Mensual'!$D$3</c:f>
              <c:strCache>
                <c:ptCount val="1"/>
                <c:pt idx="0">
                  <c:v>Afiliación ARS SENASA </c:v>
                </c:pt>
              </c:strCache>
            </c:strRef>
          </c:tx>
          <c:invertIfNegative val="0"/>
          <c:dLbls>
            <c:dLbl>
              <c:idx val="0"/>
              <c:layout>
                <c:manualLayout>
                  <c:x val="0"/>
                  <c:y val="0.12422924779557279"/>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0"/>
                  <c:y val="0.12164093467836221"/>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0"/>
                  <c:y val="0.12422924779557279"/>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1310712028024916E-3"/>
                  <c:y val="0.1190530291374239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0"/>
                  <c:y val="0.12422924779557279"/>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0"/>
                  <c:y val="0.11905282534928777"/>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0"/>
                  <c:y val="0.11646491980834948"/>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0"/>
                  <c:y val="0.12940546645372164"/>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8.2944263359641149E-17"/>
                  <c:y val="0.12164113846649835"/>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1.1311602635270387E-3"/>
                  <c:y val="0.12681715333651106"/>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0"/>
                  <c:y val="0.1242290440074366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0"/>
                  <c:y val="0.12422924779557279"/>
                </c:manualLayout>
              </c:layout>
              <c:showLegendKey val="0"/>
              <c:showVal val="1"/>
              <c:showCatName val="0"/>
              <c:showSerName val="0"/>
              <c:showPercent val="0"/>
              <c:showBubbleSize val="0"/>
              <c:extLst>
                <c:ext xmlns:c15="http://schemas.microsoft.com/office/drawing/2012/chart" uri="{CE6537A1-D6FC-4f65-9D91-7224C49458BB}">
                  <c15:layout/>
                </c:ext>
              </c:extLst>
            </c:dLbl>
            <c:dLbl>
              <c:idx val="12"/>
              <c:layout>
                <c:manualLayout>
                  <c:x val="0"/>
                  <c:y val="0.13199357578279608"/>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b="1"/>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III.4.3.Afil. SFSP Mensual'!$A$4:$A$16</c:f>
              <c:strCache>
                <c:ptCount val="13"/>
                <c:pt idx="0">
                  <c:v>Nov.14</c:v>
                </c:pt>
                <c:pt idx="1">
                  <c:v>Dic.14</c:v>
                </c:pt>
                <c:pt idx="2">
                  <c:v>Ene.15</c:v>
                </c:pt>
                <c:pt idx="3">
                  <c:v>Feb.15</c:v>
                </c:pt>
                <c:pt idx="4">
                  <c:v>Mar.15</c:v>
                </c:pt>
                <c:pt idx="5">
                  <c:v>Abr.15</c:v>
                </c:pt>
                <c:pt idx="6">
                  <c:v>May.15</c:v>
                </c:pt>
                <c:pt idx="7">
                  <c:v>Jun.15</c:v>
                </c:pt>
                <c:pt idx="8">
                  <c:v>Jul.15</c:v>
                </c:pt>
                <c:pt idx="9">
                  <c:v>Ago.15</c:v>
                </c:pt>
                <c:pt idx="10">
                  <c:v>Sep.15</c:v>
                </c:pt>
                <c:pt idx="11">
                  <c:v>Oct.15</c:v>
                </c:pt>
                <c:pt idx="12">
                  <c:v>Nov.15</c:v>
                </c:pt>
              </c:strCache>
            </c:strRef>
          </c:cat>
          <c:val>
            <c:numRef>
              <c:f>' III.4.3.Afil. SFSP Mensual'!$D$4:$D$16</c:f>
              <c:numCache>
                <c:formatCode>_(* #,##0_);_(* \(#,##0\);_(* "-"??_);_(@_)</c:formatCode>
                <c:ptCount val="13"/>
                <c:pt idx="0">
                  <c:v>10482</c:v>
                </c:pt>
                <c:pt idx="1">
                  <c:v>10509</c:v>
                </c:pt>
                <c:pt idx="2">
                  <c:v>10519</c:v>
                </c:pt>
                <c:pt idx="3">
                  <c:v>10576</c:v>
                </c:pt>
                <c:pt idx="4">
                  <c:v>10518</c:v>
                </c:pt>
                <c:pt idx="5">
                  <c:v>10505</c:v>
                </c:pt>
                <c:pt idx="6">
                  <c:v>10492</c:v>
                </c:pt>
                <c:pt idx="7">
                  <c:v>10529</c:v>
                </c:pt>
                <c:pt idx="8">
                  <c:v>10479</c:v>
                </c:pt>
                <c:pt idx="9">
                  <c:v>10501</c:v>
                </c:pt>
                <c:pt idx="10">
                  <c:v>10464</c:v>
                </c:pt>
                <c:pt idx="11">
                  <c:v>10457</c:v>
                </c:pt>
                <c:pt idx="12">
                  <c:v>10469</c:v>
                </c:pt>
              </c:numCache>
            </c:numRef>
          </c:val>
        </c:ser>
        <c:ser>
          <c:idx val="3"/>
          <c:order val="3"/>
          <c:tx>
            <c:strRef>
              <c:f>' III.4.3.Afil. SFSP Mensual'!$E$3</c:f>
              <c:strCache>
                <c:ptCount val="1"/>
                <c:pt idx="0">
                  <c:v>Afiliación ARS SEMMA</c:v>
                </c:pt>
              </c:strCache>
            </c:strRef>
          </c:tx>
          <c:spPr>
            <a:solidFill>
              <a:srgbClr val="00B0F0"/>
            </a:solidFill>
          </c:spPr>
          <c:invertIfNegative val="0"/>
          <c:dLbls>
            <c:dLbl>
              <c:idx val="0"/>
              <c:layout>
                <c:manualLayout>
                  <c:x val="0"/>
                  <c:y val="9.576004517575392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1310712028024916E-3"/>
                  <c:y val="9.576004517575402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0"/>
                  <c:y val="9.83481545048284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4.1472131679820574E-17"/>
                  <c:y val="0.1035243731629773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1.1310712028024916E-3"/>
                  <c:y val="9.576004517575402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0"/>
                  <c:y val="9.83481545048284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0"/>
                  <c:y val="9.317173205854344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8.2944263359641149E-17"/>
                  <c:y val="9.83481545048284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0"/>
                  <c:y val="0.10352437316297732"/>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0"/>
                  <c:y val="0.10352416937484117"/>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0"/>
                  <c:y val="0.10870059182112618"/>
                </c:manualLayout>
              </c:layout>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0"/>
                  <c:y val="0.10852539771544559"/>
                </c:manualLayout>
              </c:layout>
              <c:showLegendKey val="0"/>
              <c:showVal val="1"/>
              <c:showCatName val="0"/>
              <c:showSerName val="0"/>
              <c:showPercent val="0"/>
              <c:showBubbleSize val="0"/>
              <c:extLst>
                <c:ext xmlns:c15="http://schemas.microsoft.com/office/drawing/2012/chart" uri="{CE6537A1-D6FC-4f65-9D91-7224C49458BB}">
                  <c15:layout/>
                </c:ext>
              </c:extLst>
            </c:dLbl>
            <c:dLbl>
              <c:idx val="12"/>
              <c:layout>
                <c:manualLayout>
                  <c:x val="0"/>
                  <c:y val="0.10611227870391561"/>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b="1"/>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III.4.3.Afil. SFSP Mensual'!$A$4:$A$16</c:f>
              <c:strCache>
                <c:ptCount val="13"/>
                <c:pt idx="0">
                  <c:v>Nov.14</c:v>
                </c:pt>
                <c:pt idx="1">
                  <c:v>Dic.14</c:v>
                </c:pt>
                <c:pt idx="2">
                  <c:v>Ene.15</c:v>
                </c:pt>
                <c:pt idx="3">
                  <c:v>Feb.15</c:v>
                </c:pt>
                <c:pt idx="4">
                  <c:v>Mar.15</c:v>
                </c:pt>
                <c:pt idx="5">
                  <c:v>Abr.15</c:v>
                </c:pt>
                <c:pt idx="6">
                  <c:v>May.15</c:v>
                </c:pt>
                <c:pt idx="7">
                  <c:v>Jun.15</c:v>
                </c:pt>
                <c:pt idx="8">
                  <c:v>Jul.15</c:v>
                </c:pt>
                <c:pt idx="9">
                  <c:v>Ago.15</c:v>
                </c:pt>
                <c:pt idx="10">
                  <c:v>Sep.15</c:v>
                </c:pt>
                <c:pt idx="11">
                  <c:v>Oct.15</c:v>
                </c:pt>
                <c:pt idx="12">
                  <c:v>Nov.15</c:v>
                </c:pt>
              </c:strCache>
            </c:strRef>
          </c:cat>
          <c:val>
            <c:numRef>
              <c:f>' III.4.3.Afil. SFSP Mensual'!$E$4:$E$16</c:f>
              <c:numCache>
                <c:formatCode>_(* #,##0_);_(* \(#,##0\);_(* "-"??_);_(@_)</c:formatCode>
                <c:ptCount val="13"/>
                <c:pt idx="0">
                  <c:v>4788</c:v>
                </c:pt>
                <c:pt idx="1">
                  <c:v>4822</c:v>
                </c:pt>
                <c:pt idx="2">
                  <c:v>4834</c:v>
                </c:pt>
                <c:pt idx="3">
                  <c:v>4848</c:v>
                </c:pt>
                <c:pt idx="4">
                  <c:v>4832</c:v>
                </c:pt>
                <c:pt idx="5">
                  <c:v>4872</c:v>
                </c:pt>
                <c:pt idx="6">
                  <c:v>4908</c:v>
                </c:pt>
                <c:pt idx="7">
                  <c:v>4924</c:v>
                </c:pt>
                <c:pt idx="8">
                  <c:v>4940</c:v>
                </c:pt>
                <c:pt idx="9">
                  <c:v>5003</c:v>
                </c:pt>
                <c:pt idx="10">
                  <c:v>5000</c:v>
                </c:pt>
                <c:pt idx="11">
                  <c:v>5000</c:v>
                </c:pt>
                <c:pt idx="12">
                  <c:v>5009</c:v>
                </c:pt>
              </c:numCache>
            </c:numRef>
          </c:val>
        </c:ser>
        <c:dLbls>
          <c:showLegendKey val="0"/>
          <c:showVal val="0"/>
          <c:showCatName val="0"/>
          <c:showSerName val="0"/>
          <c:showPercent val="0"/>
          <c:showBubbleSize val="0"/>
        </c:dLbls>
        <c:gapWidth val="35"/>
        <c:overlap val="-25"/>
        <c:axId val="500203568"/>
        <c:axId val="500209448"/>
      </c:barChart>
      <c:catAx>
        <c:axId val="500203568"/>
        <c:scaling>
          <c:orientation val="minMax"/>
        </c:scaling>
        <c:delete val="0"/>
        <c:axPos val="b"/>
        <c:numFmt formatCode="General" sourceLinked="0"/>
        <c:majorTickMark val="none"/>
        <c:minorTickMark val="none"/>
        <c:tickLblPos val="nextTo"/>
        <c:txPr>
          <a:bodyPr/>
          <a:lstStyle/>
          <a:p>
            <a:pPr>
              <a:defRPr sz="1600"/>
            </a:pPr>
            <a:endParaRPr lang="es-ES"/>
          </a:p>
        </c:txPr>
        <c:crossAx val="500209448"/>
        <c:crosses val="autoZero"/>
        <c:auto val="1"/>
        <c:lblAlgn val="ctr"/>
        <c:lblOffset val="100"/>
        <c:noMultiLvlLbl val="0"/>
      </c:catAx>
      <c:valAx>
        <c:axId val="500209448"/>
        <c:scaling>
          <c:orientation val="minMax"/>
        </c:scaling>
        <c:delete val="1"/>
        <c:axPos val="l"/>
        <c:numFmt formatCode="_(* #,##0_);_(* \(#,##0\);_(* &quot;-&quot;??_);_(@_)" sourceLinked="1"/>
        <c:majorTickMark val="none"/>
        <c:minorTickMark val="none"/>
        <c:tickLblPos val="nextTo"/>
        <c:crossAx val="500203568"/>
        <c:crosses val="autoZero"/>
        <c:crossBetween val="between"/>
      </c:valAx>
    </c:plotArea>
    <c:legend>
      <c:legendPos val="t"/>
      <c:layout/>
      <c:overlay val="0"/>
      <c:txPr>
        <a:bodyPr/>
        <a:lstStyle/>
        <a:p>
          <a:pPr>
            <a:defRPr sz="14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n-US"/>
              <a:t>Cobertura de Afiliación de Pensionados al SFS</a:t>
            </a:r>
          </a:p>
        </c:rich>
      </c:tx>
      <c:layout>
        <c:manualLayout>
          <c:xMode val="edge"/>
          <c:yMode val="edge"/>
          <c:x val="0.30902529601094808"/>
          <c:y val="2.2946592532058843E-2"/>
        </c:manualLayout>
      </c:layout>
      <c:overlay val="0"/>
    </c:title>
    <c:autoTitleDeleted val="0"/>
    <c:plotArea>
      <c:layout>
        <c:manualLayout>
          <c:layoutTarget val="inner"/>
          <c:xMode val="edge"/>
          <c:yMode val="edge"/>
          <c:x val="1.7248469228653637E-2"/>
          <c:y val="0.12892473539514518"/>
          <c:w val="0.95641421200544052"/>
          <c:h val="0.69870455755347294"/>
        </c:manualLayout>
      </c:layout>
      <c:barChart>
        <c:barDir val="col"/>
        <c:grouping val="clustered"/>
        <c:varyColors val="0"/>
        <c:ser>
          <c:idx val="0"/>
          <c:order val="0"/>
          <c:tx>
            <c:strRef>
              <c:f>' III.4.4.Cob.Afil. SFSP Mensual'!$B$3</c:f>
              <c:strCache>
                <c:ptCount val="1"/>
                <c:pt idx="0">
                  <c:v> Cobertura de Afiliación RET</c:v>
                </c:pt>
              </c:strCache>
            </c:strRef>
          </c:tx>
          <c:spPr>
            <a:solidFill>
              <a:schemeClr val="accent3">
                <a:lumMod val="75000"/>
              </a:schemeClr>
            </a:solidFill>
          </c:spPr>
          <c:invertIfNegative val="0"/>
          <c:dPt>
            <c:idx val="8"/>
            <c:invertIfNegative val="0"/>
            <c:bubble3D val="0"/>
          </c:dPt>
          <c:dPt>
            <c:idx val="12"/>
            <c:invertIfNegative val="0"/>
            <c:bubble3D val="0"/>
          </c:dPt>
          <c:dLbls>
            <c:dLbl>
              <c:idx val="12"/>
              <c:spPr>
                <a:noFill/>
                <a:ln>
                  <a:noFill/>
                </a:ln>
                <a:effectLst/>
              </c:spPr>
              <c:txPr>
                <a:bodyPr/>
                <a:lstStyle/>
                <a:p>
                  <a:pPr>
                    <a:defRPr sz="1800" b="1"/>
                  </a:pPr>
                  <a:endParaRPr lang="es-ES"/>
                </a:p>
              </c:txPr>
              <c:showLegendKey val="0"/>
              <c:showVal val="1"/>
              <c:showCatName val="0"/>
              <c:showSerName val="0"/>
              <c:showPercent val="0"/>
              <c:showBubbleSize val="0"/>
            </c:dLbl>
            <c:spPr>
              <a:noFill/>
              <a:ln>
                <a:noFill/>
              </a:ln>
              <a:effectLst/>
            </c:spPr>
            <c:txPr>
              <a:bodyPr/>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III.4.4.Cob.Afil. SFSP Mensual'!$A$4:$A$17</c:f>
              <c:strCache>
                <c:ptCount val="13"/>
                <c:pt idx="0">
                  <c:v>Nov.14</c:v>
                </c:pt>
                <c:pt idx="1">
                  <c:v>Dic.14</c:v>
                </c:pt>
                <c:pt idx="2">
                  <c:v>Ene.15</c:v>
                </c:pt>
                <c:pt idx="3">
                  <c:v>Feb.15</c:v>
                </c:pt>
                <c:pt idx="4">
                  <c:v>Mar.15</c:v>
                </c:pt>
                <c:pt idx="5">
                  <c:v>Abr.15</c:v>
                </c:pt>
                <c:pt idx="6">
                  <c:v>May.15</c:v>
                </c:pt>
                <c:pt idx="7">
                  <c:v>Jun.15</c:v>
                </c:pt>
                <c:pt idx="8">
                  <c:v>Jul.15</c:v>
                </c:pt>
                <c:pt idx="9">
                  <c:v>Ago.15</c:v>
                </c:pt>
                <c:pt idx="10">
                  <c:v>Sep.15</c:v>
                </c:pt>
                <c:pt idx="11">
                  <c:v>Oct.15</c:v>
                </c:pt>
                <c:pt idx="12">
                  <c:v>Nov.15</c:v>
                </c:pt>
              </c:strCache>
            </c:strRef>
          </c:cat>
          <c:val>
            <c:numRef>
              <c:f>' III.4.4.Cob.Afil. SFSP Mensual'!$B$4:$B$17</c:f>
              <c:numCache>
                <c:formatCode>_(* #,##0_);_(* \(#,##0\);_(* "-"_);_(@_)</c:formatCode>
                <c:ptCount val="13"/>
                <c:pt idx="0">
                  <c:v>30237</c:v>
                </c:pt>
                <c:pt idx="1">
                  <c:v>30470</c:v>
                </c:pt>
                <c:pt idx="2">
                  <c:v>30485</c:v>
                </c:pt>
                <c:pt idx="3">
                  <c:v>30622</c:v>
                </c:pt>
                <c:pt idx="4">
                  <c:v>30655</c:v>
                </c:pt>
                <c:pt idx="5">
                  <c:v>30950</c:v>
                </c:pt>
                <c:pt idx="6">
                  <c:v>30599</c:v>
                </c:pt>
                <c:pt idx="7">
                  <c:v>30733</c:v>
                </c:pt>
                <c:pt idx="8">
                  <c:v>30690</c:v>
                </c:pt>
                <c:pt idx="9">
                  <c:v>30597</c:v>
                </c:pt>
                <c:pt idx="10">
                  <c:v>30640</c:v>
                </c:pt>
                <c:pt idx="11">
                  <c:v>30504</c:v>
                </c:pt>
                <c:pt idx="12">
                  <c:v>30522</c:v>
                </c:pt>
              </c:numCache>
            </c:numRef>
          </c:val>
        </c:ser>
        <c:dLbls>
          <c:showLegendKey val="0"/>
          <c:showVal val="0"/>
          <c:showCatName val="0"/>
          <c:showSerName val="0"/>
          <c:showPercent val="0"/>
          <c:showBubbleSize val="0"/>
        </c:dLbls>
        <c:gapWidth val="75"/>
        <c:overlap val="-25"/>
        <c:axId val="500204744"/>
        <c:axId val="500213760"/>
      </c:barChart>
      <c:catAx>
        <c:axId val="500204744"/>
        <c:scaling>
          <c:orientation val="minMax"/>
        </c:scaling>
        <c:delete val="0"/>
        <c:axPos val="b"/>
        <c:numFmt formatCode="General" sourceLinked="0"/>
        <c:majorTickMark val="none"/>
        <c:minorTickMark val="none"/>
        <c:tickLblPos val="nextTo"/>
        <c:txPr>
          <a:bodyPr/>
          <a:lstStyle/>
          <a:p>
            <a:pPr>
              <a:defRPr sz="1600"/>
            </a:pPr>
            <a:endParaRPr lang="es-ES"/>
          </a:p>
        </c:txPr>
        <c:crossAx val="500213760"/>
        <c:crosses val="autoZero"/>
        <c:auto val="1"/>
        <c:lblAlgn val="ctr"/>
        <c:lblOffset val="100"/>
        <c:noMultiLvlLbl val="0"/>
      </c:catAx>
      <c:valAx>
        <c:axId val="500213760"/>
        <c:scaling>
          <c:orientation val="minMax"/>
        </c:scaling>
        <c:delete val="1"/>
        <c:axPos val="l"/>
        <c:numFmt formatCode="_(* #,##0_);_(* \(#,##0\);_(* &quot;-&quot;_);_(@_)" sourceLinked="1"/>
        <c:majorTickMark val="none"/>
        <c:minorTickMark val="none"/>
        <c:tickLblPos val="nextTo"/>
        <c:crossAx val="500204744"/>
        <c:crosses val="autoZero"/>
        <c:crossBetween val="between"/>
      </c:valAx>
    </c:plotArea>
    <c:plotVisOnly val="1"/>
    <c:dispBlanksAs val="gap"/>
    <c:showDLblsOverMax val="0"/>
  </c:chart>
  <c:spPr>
    <a:ln>
      <a:solidFill>
        <a:schemeClr val="bg1"/>
      </a:solidFill>
    </a:ln>
  </c:spPr>
  <c:printSettings>
    <c:headerFooter/>
    <c:pageMargins b="0.75" l="0.7" r="0.7" t="0.75" header="0.3" footer="0.3"/>
    <c:pageSetup/>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600"/>
            </a:pPr>
            <a:r>
              <a:rPr lang="es-DO" sz="1600"/>
              <a:t>Seguro de Vejez, Discapacidad y Sobrevivencia (SVDS)</a:t>
            </a:r>
          </a:p>
          <a:p>
            <a:pPr>
              <a:defRPr sz="1600"/>
            </a:pPr>
            <a:r>
              <a:rPr lang="es-DO" sz="1600"/>
              <a:t>Cantidad  de Afiliados  y Cotizantes  Anual al SVDS del RC</a:t>
            </a:r>
          </a:p>
        </c:rich>
      </c:tx>
      <c:layout>
        <c:manualLayout>
          <c:xMode val="edge"/>
          <c:yMode val="edge"/>
          <c:x val="0.34492645718922682"/>
          <c:y val="1.4443069084034305E-2"/>
        </c:manualLayout>
      </c:layout>
      <c:overlay val="1"/>
    </c:title>
    <c:autoTitleDeleted val="0"/>
    <c:plotArea>
      <c:layout>
        <c:manualLayout>
          <c:layoutTarget val="inner"/>
          <c:xMode val="edge"/>
          <c:yMode val="edge"/>
          <c:x val="5.2610648088002296E-2"/>
          <c:y val="0.15482695958163092"/>
          <c:w val="0.88347995173569194"/>
          <c:h val="0.69307354766943685"/>
        </c:manualLayout>
      </c:layout>
      <c:barChart>
        <c:barDir val="col"/>
        <c:grouping val="clustered"/>
        <c:varyColors val="0"/>
        <c:ser>
          <c:idx val="0"/>
          <c:order val="0"/>
          <c:tx>
            <c:strRef>
              <c:f>'III.5.3.Afil. SVDS'!$B$3</c:f>
              <c:strCache>
                <c:ptCount val="1"/>
                <c:pt idx="0">
                  <c:v>Cotizantes</c:v>
                </c:pt>
              </c:strCache>
            </c:strRef>
          </c:tx>
          <c:invertIfNegative val="0"/>
          <c:dLbls>
            <c:dLbl>
              <c:idx val="0"/>
              <c:layout>
                <c:manualLayout>
                  <c:x val="-9.9604689725541193E-18"/>
                  <c:y val="8.5213024173324634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0"/>
                  <c:y val="8.5213024173324634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0"/>
                  <c:y val="8.5213024173324634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0"/>
                  <c:y val="8.5213024173323854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7.9683751780432955E-17"/>
                  <c:y val="8.5213024173323854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7.9683751780432955E-17"/>
                  <c:y val="1.2781953625998616E-2"/>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0"/>
                  <c:y val="1.0651628021665657E-2"/>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7.9683751780432955E-17"/>
                  <c:y val="1.0651628021665579E-2"/>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3.2598275029337106E-3"/>
                  <c:y val="8.5213024173323854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0"/>
                  <c:y val="6.3909768129993471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0"/>
                  <c:y val="1.2781953625998616E-2"/>
                </c:manualLayout>
              </c:layout>
              <c:spPr/>
              <c:txPr>
                <a:bodyPr/>
                <a:lstStyle/>
                <a:p>
                  <a:pPr>
                    <a:defRPr sz="1200" b="0"/>
                  </a:pPr>
                  <a:endParaRPr lang="es-ES"/>
                </a:p>
              </c:txPr>
              <c:dLblPos val="outEnd"/>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3.2598275029334716E-3"/>
                  <c:y val="8.5213024173324634E-3"/>
                </c:manualLayout>
              </c:layout>
              <c:spPr/>
              <c:txPr>
                <a:bodyPr/>
                <a:lstStyle/>
                <a:p>
                  <a:pPr>
                    <a:defRPr sz="1200" b="0"/>
                  </a:pPr>
                  <a:endParaRPr lang="es-ES"/>
                </a:p>
              </c:txPr>
              <c:dLblPos val="outEnd"/>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200"/>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'III.5.3.Afil. SVDS'!$A$4:$A$16</c:f>
              <c:numCache>
                <c:formatCode>General</c:formatCode>
                <c:ptCount val="13"/>
                <c:pt idx="0">
                  <c:v>2003</c:v>
                </c:pt>
                <c:pt idx="1">
                  <c:v>2004</c:v>
                </c:pt>
                <c:pt idx="2">
                  <c:v>2005</c:v>
                </c:pt>
                <c:pt idx="3">
                  <c:v>2006</c:v>
                </c:pt>
                <c:pt idx="4">
                  <c:v>2007</c:v>
                </c:pt>
                <c:pt idx="5">
                  <c:v>2008</c:v>
                </c:pt>
                <c:pt idx="6">
                  <c:v>2009</c:v>
                </c:pt>
                <c:pt idx="7">
                  <c:v>2010</c:v>
                </c:pt>
                <c:pt idx="8">
                  <c:v>2011</c:v>
                </c:pt>
                <c:pt idx="9">
                  <c:v>2012</c:v>
                </c:pt>
                <c:pt idx="10">
                  <c:v>2013</c:v>
                </c:pt>
                <c:pt idx="11">
                  <c:v>2014</c:v>
                </c:pt>
                <c:pt idx="12" formatCode="mmm\-yy">
                  <c:v>42309</c:v>
                </c:pt>
              </c:numCache>
            </c:numRef>
          </c:cat>
          <c:val>
            <c:numRef>
              <c:f>'III.5.3.Afil. SVDS'!$B$4:$B$16</c:f>
              <c:numCache>
                <c:formatCode>#,##0</c:formatCode>
                <c:ptCount val="13"/>
                <c:pt idx="0">
                  <c:v>576869</c:v>
                </c:pt>
                <c:pt idx="1">
                  <c:v>593286</c:v>
                </c:pt>
                <c:pt idx="2">
                  <c:v>626615</c:v>
                </c:pt>
                <c:pt idx="3">
                  <c:v>808496</c:v>
                </c:pt>
                <c:pt idx="4">
                  <c:v>913203</c:v>
                </c:pt>
                <c:pt idx="5">
                  <c:v>929743</c:v>
                </c:pt>
                <c:pt idx="6">
                  <c:v>1118293</c:v>
                </c:pt>
                <c:pt idx="7">
                  <c:v>1189601</c:v>
                </c:pt>
                <c:pt idx="8">
                  <c:v>1242780</c:v>
                </c:pt>
                <c:pt idx="9">
                  <c:v>1291137</c:v>
                </c:pt>
                <c:pt idx="10">
                  <c:v>1376966</c:v>
                </c:pt>
                <c:pt idx="11">
                  <c:v>1508392</c:v>
                </c:pt>
                <c:pt idx="12">
                  <c:v>1569766</c:v>
                </c:pt>
              </c:numCache>
            </c:numRef>
          </c:val>
        </c:ser>
        <c:ser>
          <c:idx val="1"/>
          <c:order val="1"/>
          <c:tx>
            <c:strRef>
              <c:f>'III.5.3.Afil. SVDS'!$C$3</c:f>
              <c:strCache>
                <c:ptCount val="1"/>
                <c:pt idx="0">
                  <c:v>Afiliados </c:v>
                </c:pt>
              </c:strCache>
            </c:strRef>
          </c:tx>
          <c:spPr>
            <a:solidFill>
              <a:schemeClr val="accent3">
                <a:lumMod val="75000"/>
              </a:schemeClr>
            </a:solidFill>
          </c:spPr>
          <c:invertIfNegative val="0"/>
          <c:dLbls>
            <c:dLbl>
              <c:idx val="0"/>
              <c:layout>
                <c:manualLayout>
                  <c:x val="-1.0445468813202283E-3"/>
                  <c:y val="3.0177865599056624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0"/>
                  <c:y val="3.0177865599055821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5284001397543971E-5"/>
                  <c:y val="2.1255257642479975E-2"/>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2.072050426029213E-3"/>
                  <c:y val="8.5172050186731914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0"/>
                  <c:y val="4.276600966994345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7.652868565603688E-17"/>
                  <c:y val="8.5053176652434212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0"/>
                  <c:y val="1.2757976497865132E-2"/>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8.7347462186545856E-3"/>
                  <c:y val="0"/>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3.1156354676920863E-3"/>
                  <c:y val="4.2526588326217106E-3"/>
                </c:manualLayout>
              </c:layout>
              <c:spPr/>
              <c:txPr>
                <a:bodyPr/>
                <a:lstStyle/>
                <a:p>
                  <a:pPr>
                    <a:defRPr sz="1200" b="0"/>
                  </a:pPr>
                  <a:endParaRPr lang="es-ES"/>
                </a:p>
              </c:txPr>
              <c:dLblPos val="outEnd"/>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6.5196550058674212E-3"/>
                  <c:y val="0"/>
                </c:manualLayout>
              </c:layout>
              <c:spPr/>
              <c:txPr>
                <a:bodyPr/>
                <a:lstStyle/>
                <a:p>
                  <a:pPr>
                    <a:defRPr sz="1200" b="0"/>
                  </a:pPr>
                  <a:endParaRPr lang="es-ES"/>
                </a:p>
              </c:txPr>
              <c:dLblPos val="outEnd"/>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200"/>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'III.5.3.Afil. SVDS'!$A$4:$A$16</c:f>
              <c:numCache>
                <c:formatCode>General</c:formatCode>
                <c:ptCount val="13"/>
                <c:pt idx="0">
                  <c:v>2003</c:v>
                </c:pt>
                <c:pt idx="1">
                  <c:v>2004</c:v>
                </c:pt>
                <c:pt idx="2">
                  <c:v>2005</c:v>
                </c:pt>
                <c:pt idx="3">
                  <c:v>2006</c:v>
                </c:pt>
                <c:pt idx="4">
                  <c:v>2007</c:v>
                </c:pt>
                <c:pt idx="5">
                  <c:v>2008</c:v>
                </c:pt>
                <c:pt idx="6">
                  <c:v>2009</c:v>
                </c:pt>
                <c:pt idx="7">
                  <c:v>2010</c:v>
                </c:pt>
                <c:pt idx="8">
                  <c:v>2011</c:v>
                </c:pt>
                <c:pt idx="9">
                  <c:v>2012</c:v>
                </c:pt>
                <c:pt idx="10">
                  <c:v>2013</c:v>
                </c:pt>
                <c:pt idx="11">
                  <c:v>2014</c:v>
                </c:pt>
                <c:pt idx="12" formatCode="mmm\-yy">
                  <c:v>42309</c:v>
                </c:pt>
              </c:numCache>
            </c:numRef>
          </c:cat>
          <c:val>
            <c:numRef>
              <c:f>'III.5.3.Afil. SVDS'!$C$4:$C$16</c:f>
              <c:numCache>
                <c:formatCode>#,##0</c:formatCode>
                <c:ptCount val="13"/>
                <c:pt idx="0">
                  <c:v>986538</c:v>
                </c:pt>
                <c:pt idx="1">
                  <c:v>1190202</c:v>
                </c:pt>
                <c:pt idx="2">
                  <c:v>1429521</c:v>
                </c:pt>
                <c:pt idx="3">
                  <c:v>1588621</c:v>
                </c:pt>
                <c:pt idx="4">
                  <c:v>1797027</c:v>
                </c:pt>
                <c:pt idx="5">
                  <c:v>1983720</c:v>
                </c:pt>
                <c:pt idx="6">
                  <c:v>2193890</c:v>
                </c:pt>
                <c:pt idx="7">
                  <c:v>2374783</c:v>
                </c:pt>
                <c:pt idx="8">
                  <c:v>2552974</c:v>
                </c:pt>
                <c:pt idx="9">
                  <c:v>2714449</c:v>
                </c:pt>
                <c:pt idx="10">
                  <c:v>2881130</c:v>
                </c:pt>
                <c:pt idx="11">
                  <c:v>3069900</c:v>
                </c:pt>
                <c:pt idx="12">
                  <c:v>3253374</c:v>
                </c:pt>
              </c:numCache>
            </c:numRef>
          </c:val>
        </c:ser>
        <c:dLbls>
          <c:showLegendKey val="0"/>
          <c:showVal val="0"/>
          <c:showCatName val="0"/>
          <c:showSerName val="0"/>
          <c:showPercent val="0"/>
          <c:showBubbleSize val="0"/>
        </c:dLbls>
        <c:gapWidth val="60"/>
        <c:axId val="500212976"/>
        <c:axId val="500208272"/>
      </c:barChart>
      <c:lineChart>
        <c:grouping val="standard"/>
        <c:varyColors val="0"/>
        <c:ser>
          <c:idx val="2"/>
          <c:order val="2"/>
          <c:tx>
            <c:strRef>
              <c:f>'III.5.3.Afil. SVDS'!$D$3</c:f>
              <c:strCache>
                <c:ptCount val="1"/>
                <c:pt idx="0">
                  <c:v>Densidad de Cotizantes</c:v>
                </c:pt>
              </c:strCache>
            </c:strRef>
          </c:tx>
          <c:spPr>
            <a:ln w="41275">
              <a:solidFill>
                <a:schemeClr val="accent2">
                  <a:lumMod val="50000"/>
                </a:schemeClr>
              </a:solidFill>
              <a:prstDash val="solid"/>
            </a:ln>
          </c:spPr>
          <c:marker>
            <c:symbol val="circle"/>
            <c:size val="10"/>
            <c:spPr>
              <a:gradFill>
                <a:gsLst>
                  <a:gs pos="0">
                    <a:srgbClr val="FFF200"/>
                  </a:gs>
                  <a:gs pos="45000">
                    <a:srgbClr val="FF7A00"/>
                  </a:gs>
                  <a:gs pos="70000">
                    <a:srgbClr val="FF0300"/>
                  </a:gs>
                  <a:gs pos="100000">
                    <a:srgbClr val="4D0808"/>
                  </a:gs>
                </a:gsLst>
                <a:lin ang="5400000" scaled="0"/>
              </a:gradFill>
              <a:ln w="3175">
                <a:prstDash val="solid"/>
              </a:ln>
            </c:spPr>
          </c:marker>
          <c:dLbls>
            <c:dLbl>
              <c:idx val="2"/>
              <c:layout>
                <c:manualLayout>
                  <c:x val="-2.1197513013587643E-2"/>
                  <c:y val="-3.4778712730217015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2.953099151754357E-2"/>
                  <c:y val="-3.9023335042210151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1.8112609892791769E-2"/>
                  <c:y val="3.9754156136871326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2.3269778104996391E-2"/>
                  <c:y val="2.5468126470889186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2.3269778104996391E-2"/>
                  <c:y val="2.5468126470889186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0"/>
              <c:spPr/>
              <c:txPr>
                <a:bodyPr/>
                <a:lstStyle/>
                <a:p>
                  <a:pPr>
                    <a:defRPr sz="1400" b="0"/>
                  </a:pPr>
                  <a:endParaRPr lang="es-ES"/>
                </a:p>
              </c:txPr>
              <c:dLblPos val="t"/>
              <c:showLegendKey val="0"/>
              <c:showVal val="1"/>
              <c:showCatName val="0"/>
              <c:showSerName val="0"/>
              <c:showPercent val="0"/>
              <c:showBubbleSize val="0"/>
            </c:dLbl>
            <c:dLbl>
              <c:idx val="11"/>
              <c:spPr/>
              <c:txPr>
                <a:bodyPr/>
                <a:lstStyle/>
                <a:p>
                  <a:pPr>
                    <a:defRPr sz="1400" b="0"/>
                  </a:pPr>
                  <a:endParaRPr lang="es-ES"/>
                </a:p>
              </c:txPr>
              <c:dLblPos val="t"/>
              <c:showLegendKey val="0"/>
              <c:showVal val="1"/>
              <c:showCatName val="0"/>
              <c:showSerName val="0"/>
              <c:showPercent val="0"/>
              <c:showBubbleSize val="0"/>
            </c:dLbl>
            <c:spPr>
              <a:noFill/>
              <a:ln>
                <a:noFill/>
              </a:ln>
              <a:effectLst/>
            </c:spPr>
            <c:txPr>
              <a:bodyPr/>
              <a:lstStyle/>
              <a:p>
                <a:pPr>
                  <a:defRPr sz="1400"/>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'III.5.3.Afil. SVDS'!$A$4:$A$16</c:f>
              <c:numCache>
                <c:formatCode>General</c:formatCode>
                <c:ptCount val="13"/>
                <c:pt idx="0">
                  <c:v>2003</c:v>
                </c:pt>
                <c:pt idx="1">
                  <c:v>2004</c:v>
                </c:pt>
                <c:pt idx="2">
                  <c:v>2005</c:v>
                </c:pt>
                <c:pt idx="3">
                  <c:v>2006</c:v>
                </c:pt>
                <c:pt idx="4">
                  <c:v>2007</c:v>
                </c:pt>
                <c:pt idx="5">
                  <c:v>2008</c:v>
                </c:pt>
                <c:pt idx="6">
                  <c:v>2009</c:v>
                </c:pt>
                <c:pt idx="7">
                  <c:v>2010</c:v>
                </c:pt>
                <c:pt idx="8">
                  <c:v>2011</c:v>
                </c:pt>
                <c:pt idx="9">
                  <c:v>2012</c:v>
                </c:pt>
                <c:pt idx="10">
                  <c:v>2013</c:v>
                </c:pt>
                <c:pt idx="11">
                  <c:v>2014</c:v>
                </c:pt>
                <c:pt idx="12" formatCode="mmm\-yy">
                  <c:v>42309</c:v>
                </c:pt>
              </c:numCache>
            </c:numRef>
          </c:cat>
          <c:val>
            <c:numRef>
              <c:f>'III.5.3.Afil. SVDS'!$D$4:$D$16</c:f>
              <c:numCache>
                <c:formatCode>0.0%</c:formatCode>
                <c:ptCount val="13"/>
                <c:pt idx="0">
                  <c:v>0.58474078038555033</c:v>
                </c:pt>
                <c:pt idx="1">
                  <c:v>0.49847504877323345</c:v>
                </c:pt>
                <c:pt idx="2">
                  <c:v>0.43833913597631652</c:v>
                </c:pt>
                <c:pt idx="3">
                  <c:v>0.50892944257944472</c:v>
                </c:pt>
                <c:pt idx="4">
                  <c:v>0.5081743346093297</c:v>
                </c:pt>
                <c:pt idx="5">
                  <c:v>0.46868660899723752</c:v>
                </c:pt>
                <c:pt idx="6">
                  <c:v>0.50973066106322562</c:v>
                </c:pt>
                <c:pt idx="7">
                  <c:v>0.50093040079872564</c:v>
                </c:pt>
                <c:pt idx="8">
                  <c:v>0.4867969669883046</c:v>
                </c:pt>
                <c:pt idx="9">
                  <c:v>0.47565343832210516</c:v>
                </c:pt>
                <c:pt idx="10">
                  <c:v>0.47792567499557465</c:v>
                </c:pt>
                <c:pt idx="11">
                  <c:v>0.49134890387309033</c:v>
                </c:pt>
                <c:pt idx="12">
                  <c:v>0.4825040096834855</c:v>
                </c:pt>
              </c:numCache>
            </c:numRef>
          </c:val>
          <c:smooth val="0"/>
        </c:ser>
        <c:dLbls>
          <c:showLegendKey val="0"/>
          <c:showVal val="0"/>
          <c:showCatName val="0"/>
          <c:showSerName val="0"/>
          <c:showPercent val="0"/>
          <c:showBubbleSize val="0"/>
        </c:dLbls>
        <c:marker val="1"/>
        <c:smooth val="0"/>
        <c:axId val="500231008"/>
        <c:axId val="500231792"/>
      </c:lineChart>
      <c:catAx>
        <c:axId val="500212976"/>
        <c:scaling>
          <c:orientation val="minMax"/>
        </c:scaling>
        <c:delete val="0"/>
        <c:axPos val="b"/>
        <c:numFmt formatCode="General" sourceLinked="1"/>
        <c:majorTickMark val="out"/>
        <c:minorTickMark val="none"/>
        <c:tickLblPos val="nextTo"/>
        <c:txPr>
          <a:bodyPr/>
          <a:lstStyle/>
          <a:p>
            <a:pPr>
              <a:defRPr sz="1400"/>
            </a:pPr>
            <a:endParaRPr lang="es-ES"/>
          </a:p>
        </c:txPr>
        <c:crossAx val="500208272"/>
        <c:crosses val="autoZero"/>
        <c:auto val="1"/>
        <c:lblAlgn val="ctr"/>
        <c:lblOffset val="100"/>
        <c:noMultiLvlLbl val="0"/>
      </c:catAx>
      <c:valAx>
        <c:axId val="500208272"/>
        <c:scaling>
          <c:orientation val="minMax"/>
        </c:scaling>
        <c:delete val="0"/>
        <c:axPos val="l"/>
        <c:numFmt formatCode="#,##0" sourceLinked="1"/>
        <c:majorTickMark val="out"/>
        <c:minorTickMark val="none"/>
        <c:tickLblPos val="nextTo"/>
        <c:crossAx val="500212976"/>
        <c:crosses val="autoZero"/>
        <c:crossBetween val="between"/>
      </c:valAx>
      <c:valAx>
        <c:axId val="500231792"/>
        <c:scaling>
          <c:orientation val="minMax"/>
          <c:max val="1"/>
        </c:scaling>
        <c:delete val="0"/>
        <c:axPos val="r"/>
        <c:numFmt formatCode="0.0%" sourceLinked="1"/>
        <c:majorTickMark val="out"/>
        <c:minorTickMark val="none"/>
        <c:tickLblPos val="nextTo"/>
        <c:crossAx val="500231008"/>
        <c:crosses val="max"/>
        <c:crossBetween val="between"/>
      </c:valAx>
      <c:catAx>
        <c:axId val="500231008"/>
        <c:scaling>
          <c:orientation val="minMax"/>
        </c:scaling>
        <c:delete val="1"/>
        <c:axPos val="b"/>
        <c:numFmt formatCode="General" sourceLinked="1"/>
        <c:majorTickMark val="out"/>
        <c:minorTickMark val="none"/>
        <c:tickLblPos val="nextTo"/>
        <c:crossAx val="500231792"/>
        <c:crosses val="autoZero"/>
        <c:auto val="1"/>
        <c:lblAlgn val="ctr"/>
        <c:lblOffset val="100"/>
        <c:noMultiLvlLbl val="0"/>
      </c:catAx>
    </c:plotArea>
    <c:legend>
      <c:legendPos val="r"/>
      <c:layout>
        <c:manualLayout>
          <c:xMode val="edge"/>
          <c:yMode val="edge"/>
          <c:x val="0.22452560910660785"/>
          <c:y val="0.10990368204479695"/>
          <c:w val="0.58392715565541276"/>
          <c:h val="3.723861464869796E-2"/>
        </c:manualLayout>
      </c:layout>
      <c:overlay val="0"/>
      <c:txPr>
        <a:bodyPr/>
        <a:lstStyle/>
        <a:p>
          <a:pPr>
            <a:defRPr sz="14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3684077658231651E-2"/>
          <c:y val="0.32454012985218944"/>
          <c:w val="0.91682584662590527"/>
          <c:h val="0.51268351982318006"/>
        </c:manualLayout>
      </c:layout>
      <c:lineChart>
        <c:grouping val="standard"/>
        <c:varyColors val="0"/>
        <c:ser>
          <c:idx val="0"/>
          <c:order val="0"/>
          <c:tx>
            <c:strRef>
              <c:f>'III.5.4.Afil. SVDS mensual'!$B$3</c:f>
              <c:strCache>
                <c:ptCount val="1"/>
                <c:pt idx="0">
                  <c:v>Cotizantes     </c:v>
                </c:pt>
              </c:strCache>
            </c:strRef>
          </c:tx>
          <c:marker>
            <c:spPr>
              <a:gradFill>
                <a:gsLst>
                  <a:gs pos="0">
                    <a:srgbClr val="FFF200"/>
                  </a:gs>
                  <a:gs pos="45000">
                    <a:srgbClr val="FF7A00"/>
                  </a:gs>
                  <a:gs pos="70000">
                    <a:srgbClr val="FF0300"/>
                  </a:gs>
                  <a:gs pos="100000">
                    <a:srgbClr val="4D0808"/>
                  </a:gs>
                </a:gsLst>
                <a:lin ang="5400000" scaled="0"/>
              </a:gradFill>
            </c:spPr>
          </c:marker>
          <c:dLbls>
            <c:spPr>
              <a:noFill/>
              <a:ln>
                <a:noFill/>
              </a:ln>
              <a:effectLst/>
            </c:spPr>
            <c:txPr>
              <a:bodyPr rot="-5400000" vert="horz"/>
              <a:lstStyle/>
              <a:p>
                <a:pPr>
                  <a:defRPr sz="1600"/>
                </a:pPr>
                <a:endParaRPr lang="es-ES"/>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'III.5.4.Afil. SVDS mensual'!$A$4:$A$16</c:f>
              <c:strCache>
                <c:ptCount val="13"/>
                <c:pt idx="0">
                  <c:v>Nov.14</c:v>
                </c:pt>
                <c:pt idx="1">
                  <c:v>Dic.14</c:v>
                </c:pt>
                <c:pt idx="2">
                  <c:v>Ene.15</c:v>
                </c:pt>
                <c:pt idx="3">
                  <c:v>Feb.15</c:v>
                </c:pt>
                <c:pt idx="4">
                  <c:v>Mar.15</c:v>
                </c:pt>
                <c:pt idx="5">
                  <c:v>Abr.15</c:v>
                </c:pt>
                <c:pt idx="6">
                  <c:v>May.15</c:v>
                </c:pt>
                <c:pt idx="7">
                  <c:v>Jun.15</c:v>
                </c:pt>
                <c:pt idx="8">
                  <c:v>Jul.15</c:v>
                </c:pt>
                <c:pt idx="9">
                  <c:v>Ago.15</c:v>
                </c:pt>
                <c:pt idx="10">
                  <c:v>Sep.15</c:v>
                </c:pt>
                <c:pt idx="11">
                  <c:v>Oct.15</c:v>
                </c:pt>
                <c:pt idx="12">
                  <c:v>Nov.15</c:v>
                </c:pt>
              </c:strCache>
            </c:strRef>
          </c:cat>
          <c:val>
            <c:numRef>
              <c:f>'III.5.4.Afil. SVDS mensual'!$B$4:$B$16</c:f>
              <c:numCache>
                <c:formatCode>#,##0</c:formatCode>
                <c:ptCount val="13"/>
                <c:pt idx="0">
                  <c:v>1444579</c:v>
                </c:pt>
                <c:pt idx="1">
                  <c:v>1508392</c:v>
                </c:pt>
                <c:pt idx="2">
                  <c:v>1423196</c:v>
                </c:pt>
                <c:pt idx="3">
                  <c:v>1490792</c:v>
                </c:pt>
                <c:pt idx="4">
                  <c:v>1539313</c:v>
                </c:pt>
                <c:pt idx="5">
                  <c:v>1513581</c:v>
                </c:pt>
                <c:pt idx="6">
                  <c:v>1530988</c:v>
                </c:pt>
                <c:pt idx="7">
                  <c:v>1553760</c:v>
                </c:pt>
                <c:pt idx="8">
                  <c:v>1571146</c:v>
                </c:pt>
                <c:pt idx="9">
                  <c:v>1520245</c:v>
                </c:pt>
                <c:pt idx="10">
                  <c:v>1562475</c:v>
                </c:pt>
                <c:pt idx="11">
                  <c:v>1578120</c:v>
                </c:pt>
                <c:pt idx="12">
                  <c:v>1569766</c:v>
                </c:pt>
              </c:numCache>
            </c:numRef>
          </c:val>
          <c:smooth val="0"/>
        </c:ser>
        <c:ser>
          <c:idx val="1"/>
          <c:order val="1"/>
          <c:tx>
            <c:strRef>
              <c:f>'III.5.4.Afil. SVDS mensual'!$C$3</c:f>
              <c:strCache>
                <c:ptCount val="1"/>
                <c:pt idx="0">
                  <c:v>Afiliados </c:v>
                </c:pt>
              </c:strCache>
            </c:strRef>
          </c:tx>
          <c:marker>
            <c:symbol val="circle"/>
            <c:size val="7"/>
            <c:spPr>
              <a:gradFill>
                <a:gsLst>
                  <a:gs pos="0">
                    <a:srgbClr val="FFF200"/>
                  </a:gs>
                  <a:gs pos="45000">
                    <a:srgbClr val="FF7A00"/>
                  </a:gs>
                  <a:gs pos="70000">
                    <a:srgbClr val="FF0300"/>
                  </a:gs>
                  <a:gs pos="100000">
                    <a:srgbClr val="4D0808"/>
                  </a:gs>
                </a:gsLst>
                <a:lin ang="5400000" scaled="0"/>
              </a:gradFill>
            </c:spPr>
          </c:marker>
          <c:dLbls>
            <c:spPr>
              <a:noFill/>
              <a:ln>
                <a:noFill/>
              </a:ln>
              <a:effectLst/>
            </c:spPr>
            <c:txPr>
              <a:bodyPr rot="-5400000" vert="horz"/>
              <a:lstStyle/>
              <a:p>
                <a:pPr>
                  <a:defRPr sz="1600">
                    <a:solidFill>
                      <a:sysClr val="windowText" lastClr="000000"/>
                    </a:solidFill>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'III.5.4.Afil. SVDS mensual'!$A$4:$A$16</c:f>
              <c:strCache>
                <c:ptCount val="13"/>
                <c:pt idx="0">
                  <c:v>Nov.14</c:v>
                </c:pt>
                <c:pt idx="1">
                  <c:v>Dic.14</c:v>
                </c:pt>
                <c:pt idx="2">
                  <c:v>Ene.15</c:v>
                </c:pt>
                <c:pt idx="3">
                  <c:v>Feb.15</c:v>
                </c:pt>
                <c:pt idx="4">
                  <c:v>Mar.15</c:v>
                </c:pt>
                <c:pt idx="5">
                  <c:v>Abr.15</c:v>
                </c:pt>
                <c:pt idx="6">
                  <c:v>May.15</c:v>
                </c:pt>
                <c:pt idx="7">
                  <c:v>Jun.15</c:v>
                </c:pt>
                <c:pt idx="8">
                  <c:v>Jul.15</c:v>
                </c:pt>
                <c:pt idx="9">
                  <c:v>Ago.15</c:v>
                </c:pt>
                <c:pt idx="10">
                  <c:v>Sep.15</c:v>
                </c:pt>
                <c:pt idx="11">
                  <c:v>Oct.15</c:v>
                </c:pt>
                <c:pt idx="12">
                  <c:v>Nov.15</c:v>
                </c:pt>
              </c:strCache>
            </c:strRef>
          </c:cat>
          <c:val>
            <c:numRef>
              <c:f>'III.5.4.Afil. SVDS mensual'!$C$4:$C$16</c:f>
              <c:numCache>
                <c:formatCode>#,##0</c:formatCode>
                <c:ptCount val="13"/>
                <c:pt idx="0">
                  <c:v>3053477</c:v>
                </c:pt>
                <c:pt idx="1">
                  <c:v>3069900</c:v>
                </c:pt>
                <c:pt idx="2">
                  <c:v>3082709</c:v>
                </c:pt>
                <c:pt idx="3">
                  <c:v>3096282</c:v>
                </c:pt>
                <c:pt idx="4">
                  <c:v>3113536</c:v>
                </c:pt>
                <c:pt idx="5">
                  <c:v>3130659</c:v>
                </c:pt>
                <c:pt idx="6">
                  <c:v>3148124</c:v>
                </c:pt>
                <c:pt idx="7">
                  <c:v>3164622</c:v>
                </c:pt>
                <c:pt idx="8">
                  <c:v>3180386</c:v>
                </c:pt>
                <c:pt idx="9">
                  <c:v>3199322</c:v>
                </c:pt>
                <c:pt idx="10">
                  <c:v>3215452</c:v>
                </c:pt>
                <c:pt idx="11">
                  <c:v>3234981</c:v>
                </c:pt>
                <c:pt idx="12">
                  <c:v>3253374</c:v>
                </c:pt>
              </c:numCache>
            </c:numRef>
          </c:val>
          <c:smooth val="0"/>
        </c:ser>
        <c:dLbls>
          <c:showLegendKey val="0"/>
          <c:showVal val="0"/>
          <c:showCatName val="0"/>
          <c:showSerName val="0"/>
          <c:showPercent val="0"/>
          <c:showBubbleSize val="0"/>
        </c:dLbls>
        <c:hiLowLines>
          <c:spPr>
            <a:ln w="25400">
              <a:gradFill>
                <a:gsLst>
                  <a:gs pos="14000">
                    <a:schemeClr val="accent3">
                      <a:lumMod val="50000"/>
                    </a:schemeClr>
                  </a:gs>
                  <a:gs pos="50000">
                    <a:srgbClr val="FF6633"/>
                  </a:gs>
                  <a:gs pos="50000">
                    <a:srgbClr val="FFFF00"/>
                  </a:gs>
                  <a:gs pos="75000">
                    <a:srgbClr val="01A78F"/>
                  </a:gs>
                  <a:gs pos="100000">
                    <a:srgbClr val="3366FF"/>
                  </a:gs>
                </a:gsLst>
                <a:lin ang="5400000" scaled="0"/>
              </a:gradFill>
              <a:prstDash val="sysDash"/>
            </a:ln>
          </c:spPr>
        </c:hiLowLines>
        <c:marker val="1"/>
        <c:smooth val="0"/>
        <c:axId val="500217680"/>
        <c:axId val="500221992"/>
      </c:lineChart>
      <c:lineChart>
        <c:grouping val="standard"/>
        <c:varyColors val="0"/>
        <c:ser>
          <c:idx val="2"/>
          <c:order val="2"/>
          <c:tx>
            <c:strRef>
              <c:f>'III.5.4.Afil. SVDS mensual'!$D$3</c:f>
              <c:strCache>
                <c:ptCount val="1"/>
                <c:pt idx="0">
                  <c:v>Densidad de Cotizantes</c:v>
                </c:pt>
              </c:strCache>
            </c:strRef>
          </c:tx>
          <c:spPr>
            <a:ln>
              <a:noFill/>
            </a:ln>
          </c:spPr>
          <c:marker>
            <c:symbol val="circle"/>
            <c:size val="25"/>
            <c:spPr>
              <a:gradFill>
                <a:gsLst>
                  <a:gs pos="0">
                    <a:srgbClr val="DDEBCF"/>
                  </a:gs>
                  <a:gs pos="50000">
                    <a:srgbClr val="9CB86E"/>
                  </a:gs>
                  <a:gs pos="100000">
                    <a:srgbClr val="156B13"/>
                  </a:gs>
                </a:gsLst>
                <a:lin ang="5400000" scaled="0"/>
              </a:gradFill>
            </c:spPr>
          </c:marker>
          <c:dLbls>
            <c:dLbl>
              <c:idx val="10"/>
              <c:layout>
                <c:manualLayout>
                  <c:x val="-3.491739181154431E-2"/>
                  <c:y val="-3.878616739211567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2000" b="1"/>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'III.5.4.Afil. SVDS mensual'!$A$4:$A$16</c:f>
              <c:strCache>
                <c:ptCount val="13"/>
                <c:pt idx="0">
                  <c:v>Nov.14</c:v>
                </c:pt>
                <c:pt idx="1">
                  <c:v>Dic.14</c:v>
                </c:pt>
                <c:pt idx="2">
                  <c:v>Ene.15</c:v>
                </c:pt>
                <c:pt idx="3">
                  <c:v>Feb.15</c:v>
                </c:pt>
                <c:pt idx="4">
                  <c:v>Mar.15</c:v>
                </c:pt>
                <c:pt idx="5">
                  <c:v>Abr.15</c:v>
                </c:pt>
                <c:pt idx="6">
                  <c:v>May.15</c:v>
                </c:pt>
                <c:pt idx="7">
                  <c:v>Jun.15</c:v>
                </c:pt>
                <c:pt idx="8">
                  <c:v>Jul.15</c:v>
                </c:pt>
                <c:pt idx="9">
                  <c:v>Ago.15</c:v>
                </c:pt>
                <c:pt idx="10">
                  <c:v>Sep.15</c:v>
                </c:pt>
                <c:pt idx="11">
                  <c:v>Oct.15</c:v>
                </c:pt>
                <c:pt idx="12">
                  <c:v>Nov.15</c:v>
                </c:pt>
              </c:strCache>
            </c:strRef>
          </c:cat>
          <c:val>
            <c:numRef>
              <c:f>'III.5.4.Afil. SVDS mensual'!$D$4:$D$16</c:f>
              <c:numCache>
                <c:formatCode>0.0%</c:formatCode>
                <c:ptCount val="13"/>
                <c:pt idx="0">
                  <c:v>0.47309313284495019</c:v>
                </c:pt>
                <c:pt idx="1">
                  <c:v>0.49134890387309033</c:v>
                </c:pt>
                <c:pt idx="2">
                  <c:v>0.46167056313132376</c:v>
                </c:pt>
                <c:pt idx="3">
                  <c:v>0.48147810826016496</c:v>
                </c:pt>
                <c:pt idx="4">
                  <c:v>0.49439383389175523</c:v>
                </c:pt>
                <c:pt idx="5">
                  <c:v>0.4834704130983285</c:v>
                </c:pt>
                <c:pt idx="6">
                  <c:v>0.48631756563591522</c:v>
                </c:pt>
                <c:pt idx="7">
                  <c:v>0.4909780694187173</c:v>
                </c:pt>
                <c:pt idx="8">
                  <c:v>0.4940111043124954</c:v>
                </c:pt>
                <c:pt idx="9">
                  <c:v>0.47517724067786865</c:v>
                </c:pt>
                <c:pt idx="10">
                  <c:v>0.48592701741465899</c:v>
                </c:pt>
                <c:pt idx="11">
                  <c:v>0.48782975850553684</c:v>
                </c:pt>
                <c:pt idx="12">
                  <c:v>0.4825040096834855</c:v>
                </c:pt>
              </c:numCache>
            </c:numRef>
          </c:val>
          <c:smooth val="0"/>
        </c:ser>
        <c:dLbls>
          <c:showLegendKey val="0"/>
          <c:showVal val="0"/>
          <c:showCatName val="0"/>
          <c:showSerName val="0"/>
          <c:showPercent val="0"/>
          <c:showBubbleSize val="0"/>
        </c:dLbls>
        <c:hiLowLines/>
        <c:marker val="1"/>
        <c:smooth val="0"/>
        <c:axId val="500223168"/>
        <c:axId val="500227088"/>
      </c:lineChart>
      <c:catAx>
        <c:axId val="500217680"/>
        <c:scaling>
          <c:orientation val="minMax"/>
        </c:scaling>
        <c:delete val="0"/>
        <c:axPos val="b"/>
        <c:numFmt formatCode="General" sourceLinked="0"/>
        <c:majorTickMark val="none"/>
        <c:minorTickMark val="none"/>
        <c:tickLblPos val="nextTo"/>
        <c:txPr>
          <a:bodyPr/>
          <a:lstStyle/>
          <a:p>
            <a:pPr>
              <a:defRPr sz="1800"/>
            </a:pPr>
            <a:endParaRPr lang="es-ES"/>
          </a:p>
        </c:txPr>
        <c:crossAx val="500221992"/>
        <c:crosses val="autoZero"/>
        <c:auto val="1"/>
        <c:lblAlgn val="ctr"/>
        <c:lblOffset val="100"/>
        <c:noMultiLvlLbl val="0"/>
      </c:catAx>
      <c:valAx>
        <c:axId val="500221992"/>
        <c:scaling>
          <c:orientation val="minMax"/>
        </c:scaling>
        <c:delete val="0"/>
        <c:axPos val="l"/>
        <c:numFmt formatCode="#,##0" sourceLinked="1"/>
        <c:majorTickMark val="out"/>
        <c:minorTickMark val="none"/>
        <c:tickLblPos val="nextTo"/>
        <c:txPr>
          <a:bodyPr/>
          <a:lstStyle/>
          <a:p>
            <a:pPr>
              <a:defRPr>
                <a:solidFill>
                  <a:schemeClr val="bg1"/>
                </a:solidFill>
              </a:defRPr>
            </a:pPr>
            <a:endParaRPr lang="es-ES"/>
          </a:p>
        </c:txPr>
        <c:crossAx val="500217680"/>
        <c:crosses val="autoZero"/>
        <c:crossBetween val="between"/>
      </c:valAx>
      <c:valAx>
        <c:axId val="500227088"/>
        <c:scaling>
          <c:orientation val="minMax"/>
          <c:max val="0.8"/>
        </c:scaling>
        <c:delete val="0"/>
        <c:axPos val="r"/>
        <c:numFmt formatCode="0.0%" sourceLinked="1"/>
        <c:majorTickMark val="out"/>
        <c:minorTickMark val="none"/>
        <c:tickLblPos val="nextTo"/>
        <c:txPr>
          <a:bodyPr/>
          <a:lstStyle/>
          <a:p>
            <a:pPr>
              <a:defRPr>
                <a:solidFill>
                  <a:schemeClr val="bg1"/>
                </a:solidFill>
              </a:defRPr>
            </a:pPr>
            <a:endParaRPr lang="es-ES"/>
          </a:p>
        </c:txPr>
        <c:crossAx val="500223168"/>
        <c:crosses val="max"/>
        <c:crossBetween val="between"/>
      </c:valAx>
      <c:catAx>
        <c:axId val="500223168"/>
        <c:scaling>
          <c:orientation val="minMax"/>
        </c:scaling>
        <c:delete val="1"/>
        <c:axPos val="b"/>
        <c:numFmt formatCode="General" sourceLinked="1"/>
        <c:majorTickMark val="out"/>
        <c:minorTickMark val="none"/>
        <c:tickLblPos val="nextTo"/>
        <c:crossAx val="500227088"/>
        <c:crosses val="autoZero"/>
        <c:auto val="1"/>
        <c:lblAlgn val="ctr"/>
        <c:lblOffset val="100"/>
        <c:noMultiLvlLbl val="0"/>
      </c:catAx>
      <c:spPr>
        <a:ln>
          <a:solidFill>
            <a:schemeClr val="bg1"/>
          </a:solidFill>
        </a:ln>
      </c:spPr>
    </c:plotArea>
    <c:legend>
      <c:legendPos val="r"/>
      <c:layout>
        <c:manualLayout>
          <c:xMode val="edge"/>
          <c:yMode val="edge"/>
          <c:x val="0.18779918597131881"/>
          <c:y val="8.684857875593481E-2"/>
          <c:w val="0.65960344418514993"/>
          <c:h val="5.7165659313993603E-2"/>
        </c:manualLayout>
      </c:layout>
      <c:overlay val="0"/>
      <c:txPr>
        <a:bodyPr/>
        <a:lstStyle/>
        <a:p>
          <a:pPr>
            <a:defRPr sz="18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9894672969408961E-2"/>
          <c:y val="0.20501950623738302"/>
          <c:w val="0.82902448754400238"/>
          <c:h val="0.58503157132846717"/>
        </c:manualLayout>
      </c:layout>
      <c:lineChart>
        <c:grouping val="standard"/>
        <c:varyColors val="0"/>
        <c:ser>
          <c:idx val="0"/>
          <c:order val="0"/>
          <c:tx>
            <c:strRef>
              <c:f>'III.5.5.Afil. cotiz.'!$B$2</c:f>
              <c:strCache>
                <c:ptCount val="1"/>
                <c:pt idx="0">
                  <c:v>Afiliados</c:v>
                </c:pt>
              </c:strCache>
            </c:strRef>
          </c:tx>
          <c:cat>
            <c:strRef>
              <c:f>'III.5.5.Afil. cotiz.'!$A$3:$A$15</c:f>
              <c:strCache>
                <c:ptCount val="11"/>
                <c:pt idx="0">
                  <c:v>2005</c:v>
                </c:pt>
                <c:pt idx="1">
                  <c:v>2006</c:v>
                </c:pt>
                <c:pt idx="2">
                  <c:v>2007</c:v>
                </c:pt>
                <c:pt idx="3">
                  <c:v>2008</c:v>
                </c:pt>
                <c:pt idx="4">
                  <c:v>2009</c:v>
                </c:pt>
                <c:pt idx="5">
                  <c:v>2010</c:v>
                </c:pt>
                <c:pt idx="6">
                  <c:v>2011</c:v>
                </c:pt>
                <c:pt idx="7">
                  <c:v>2012</c:v>
                </c:pt>
                <c:pt idx="8">
                  <c:v>2013</c:v>
                </c:pt>
                <c:pt idx="9">
                  <c:v>2014</c:v>
                </c:pt>
                <c:pt idx="10">
                  <c:v>Nov. 2015</c:v>
                </c:pt>
              </c:strCache>
            </c:strRef>
          </c:cat>
          <c:val>
            <c:numRef>
              <c:f>'III.5.5.Afil. cotiz.'!$B$3:$B$14</c:f>
            </c:numRef>
          </c:val>
          <c:smooth val="0"/>
        </c:ser>
        <c:ser>
          <c:idx val="1"/>
          <c:order val="1"/>
          <c:tx>
            <c:strRef>
              <c:f>'III.5.5.Afil. cotiz.'!$C$2</c:f>
              <c:strCache>
                <c:ptCount val="1"/>
                <c:pt idx="0">
                  <c:v>Trabajadores Cotizantes </c:v>
                </c:pt>
              </c:strCache>
            </c:strRef>
          </c:tx>
          <c:spPr>
            <a:ln>
              <a:gradFill>
                <a:gsLst>
                  <a:gs pos="0">
                    <a:srgbClr val="000082"/>
                  </a:gs>
                  <a:gs pos="30000">
                    <a:srgbClr val="66008F"/>
                  </a:gs>
                  <a:gs pos="64999">
                    <a:srgbClr val="BA0066"/>
                  </a:gs>
                  <a:gs pos="89999">
                    <a:srgbClr val="FF0000"/>
                  </a:gs>
                  <a:gs pos="100000">
                    <a:srgbClr val="FF8200"/>
                  </a:gs>
                </a:gsLst>
                <a:lin ang="5400000" scaled="0"/>
              </a:gradFill>
            </a:ln>
          </c:spPr>
          <c:marker>
            <c:symbol val="circle"/>
            <c:size val="9"/>
            <c:spPr>
              <a:gradFill>
                <a:gsLst>
                  <a:gs pos="0">
                    <a:srgbClr val="000000"/>
                  </a:gs>
                  <a:gs pos="39999">
                    <a:srgbClr val="0A128C"/>
                  </a:gs>
                  <a:gs pos="70000">
                    <a:srgbClr val="181CC7"/>
                  </a:gs>
                  <a:gs pos="88000">
                    <a:srgbClr val="7005D4"/>
                  </a:gs>
                  <a:gs pos="100000">
                    <a:srgbClr val="8C3D91"/>
                  </a:gs>
                </a:gsLst>
                <a:lin ang="5400000" scaled="0"/>
              </a:gradFill>
              <a:ln>
                <a:solidFill>
                  <a:srgbClr val="0066FF"/>
                </a:solidFill>
              </a:ln>
            </c:spPr>
          </c:marker>
          <c:dLbls>
            <c:dLbl>
              <c:idx val="0"/>
              <c:layout>
                <c:manualLayout>
                  <c:x val="-1.6962892573520301E-2"/>
                  <c:y val="5.120481846749488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4842541320845509E-2"/>
                  <c:y val="4.949799118524492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5902675671121962E-2"/>
                  <c:y val="5.461847303199442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7999499569036684E-2"/>
                  <c:y val="4.779116390299522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1.6962892573520301E-2"/>
                  <c:y val="5.97389548787439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1.6962892573520301E-2"/>
                  <c:y val="5.973895487874403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6962892573520377E-2"/>
                  <c:y val="5.12048184674948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904791151799401E-2"/>
                  <c:y val="5.461847303199454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1.7952444859516515E-2"/>
                  <c:y val="5.120481846749488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1.5902675671121923E-2"/>
                  <c:y val="5.461847303199454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1.9047911517994162E-2"/>
                  <c:y val="5.6325300314244375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wrap="square" lIns="38100" tIns="19050" rIns="38100" bIns="19050" anchor="ctr">
                <a:spAutoFit/>
              </a:bodyPr>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'III.5.5.Afil. cotiz.'!$A$3:$A$15</c:f>
              <c:strCache>
                <c:ptCount val="11"/>
                <c:pt idx="0">
                  <c:v>2005</c:v>
                </c:pt>
                <c:pt idx="1">
                  <c:v>2006</c:v>
                </c:pt>
                <c:pt idx="2">
                  <c:v>2007</c:v>
                </c:pt>
                <c:pt idx="3">
                  <c:v>2008</c:v>
                </c:pt>
                <c:pt idx="4">
                  <c:v>2009</c:v>
                </c:pt>
                <c:pt idx="5">
                  <c:v>2010</c:v>
                </c:pt>
                <c:pt idx="6">
                  <c:v>2011</c:v>
                </c:pt>
                <c:pt idx="7">
                  <c:v>2012</c:v>
                </c:pt>
                <c:pt idx="8">
                  <c:v>2013</c:v>
                </c:pt>
                <c:pt idx="9">
                  <c:v>2014</c:v>
                </c:pt>
                <c:pt idx="10">
                  <c:v>Nov. 2015</c:v>
                </c:pt>
              </c:strCache>
            </c:strRef>
          </c:cat>
          <c:val>
            <c:numRef>
              <c:f>'III.5.5.Afil. cotiz.'!$C$3:$C$15</c:f>
              <c:numCache>
                <c:formatCode>#,##0</c:formatCode>
                <c:ptCount val="11"/>
                <c:pt idx="0">
                  <c:v>626615</c:v>
                </c:pt>
                <c:pt idx="1">
                  <c:v>808496</c:v>
                </c:pt>
                <c:pt idx="2">
                  <c:v>913203</c:v>
                </c:pt>
                <c:pt idx="3">
                  <c:v>929743</c:v>
                </c:pt>
                <c:pt idx="4">
                  <c:v>1118293</c:v>
                </c:pt>
                <c:pt idx="5">
                  <c:v>1189601</c:v>
                </c:pt>
                <c:pt idx="6">
                  <c:v>1242780</c:v>
                </c:pt>
                <c:pt idx="7">
                  <c:v>1291137</c:v>
                </c:pt>
                <c:pt idx="8">
                  <c:v>1376966</c:v>
                </c:pt>
                <c:pt idx="9">
                  <c:v>1508392</c:v>
                </c:pt>
                <c:pt idx="10">
                  <c:v>1569766</c:v>
                </c:pt>
              </c:numCache>
            </c:numRef>
          </c:val>
          <c:smooth val="0"/>
        </c:ser>
        <c:ser>
          <c:idx val="2"/>
          <c:order val="2"/>
          <c:tx>
            <c:strRef>
              <c:f>'III.5.5.Afil. cotiz.'!$D$2</c:f>
              <c:strCache>
                <c:ptCount val="1"/>
                <c:pt idx="0">
                  <c:v>Población Ocupada Formal</c:v>
                </c:pt>
              </c:strCache>
            </c:strRef>
          </c:tx>
          <c:spPr>
            <a:ln>
              <a:gradFill>
                <a:gsLst>
                  <a:gs pos="0">
                    <a:srgbClr val="FFF200"/>
                  </a:gs>
                  <a:gs pos="45000">
                    <a:srgbClr val="FF7A00"/>
                  </a:gs>
                  <a:gs pos="70000">
                    <a:srgbClr val="FF0300"/>
                  </a:gs>
                  <a:gs pos="100000">
                    <a:srgbClr val="4D0808"/>
                  </a:gs>
                </a:gsLst>
                <a:lin ang="5400000" scaled="0"/>
              </a:gradFill>
            </a:ln>
          </c:spPr>
          <c:marker>
            <c:symbol val="circle"/>
            <c:size val="11"/>
            <c:spPr>
              <a:gradFill>
                <a:gsLst>
                  <a:gs pos="0">
                    <a:srgbClr val="FFF200"/>
                  </a:gs>
                  <a:gs pos="45000">
                    <a:srgbClr val="FF7A00"/>
                  </a:gs>
                  <a:gs pos="70000">
                    <a:srgbClr val="FF0300"/>
                  </a:gs>
                  <a:gs pos="100000">
                    <a:srgbClr val="4D0808"/>
                  </a:gs>
                </a:gsLst>
                <a:lin ang="5400000" scaled="0"/>
              </a:gradFill>
            </c:spPr>
          </c:marker>
          <c:dLbls>
            <c:spPr>
              <a:noFill/>
              <a:ln>
                <a:noFill/>
              </a:ln>
              <a:effectLst/>
            </c:spPr>
            <c:txPr>
              <a:bodyPr rot="-5400000" vert="horz" wrap="square" lIns="38100" tIns="19050" rIns="38100" bIns="19050" anchor="ctr">
                <a:spAutoFit/>
              </a:bodyPr>
              <a:lstStyle/>
              <a:p>
                <a:pPr>
                  <a:defRPr sz="1400"/>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'III.5.5.Afil. cotiz.'!$A$3:$A$15</c:f>
              <c:strCache>
                <c:ptCount val="11"/>
                <c:pt idx="0">
                  <c:v>2005</c:v>
                </c:pt>
                <c:pt idx="1">
                  <c:v>2006</c:v>
                </c:pt>
                <c:pt idx="2">
                  <c:v>2007</c:v>
                </c:pt>
                <c:pt idx="3">
                  <c:v>2008</c:v>
                </c:pt>
                <c:pt idx="4">
                  <c:v>2009</c:v>
                </c:pt>
                <c:pt idx="5">
                  <c:v>2010</c:v>
                </c:pt>
                <c:pt idx="6">
                  <c:v>2011</c:v>
                </c:pt>
                <c:pt idx="7">
                  <c:v>2012</c:v>
                </c:pt>
                <c:pt idx="8">
                  <c:v>2013</c:v>
                </c:pt>
                <c:pt idx="9">
                  <c:v>2014</c:v>
                </c:pt>
                <c:pt idx="10">
                  <c:v>Nov. 2015</c:v>
                </c:pt>
              </c:strCache>
            </c:strRef>
          </c:cat>
          <c:val>
            <c:numRef>
              <c:f>'III.5.5.Afil. cotiz.'!$D$3:$D$15</c:f>
              <c:numCache>
                <c:formatCode>#,##0</c:formatCode>
                <c:ptCount val="11"/>
                <c:pt idx="0">
                  <c:v>1437260</c:v>
                </c:pt>
                <c:pt idx="1">
                  <c:v>1505582.5</c:v>
                </c:pt>
                <c:pt idx="2">
                  <c:v>1571911.5</c:v>
                </c:pt>
                <c:pt idx="3">
                  <c:v>1566047</c:v>
                </c:pt>
                <c:pt idx="4">
                  <c:v>1560994</c:v>
                </c:pt>
                <c:pt idx="5">
                  <c:v>1631129</c:v>
                </c:pt>
                <c:pt idx="6">
                  <c:v>1686216</c:v>
                </c:pt>
                <c:pt idx="7">
                  <c:v>1716228</c:v>
                </c:pt>
                <c:pt idx="8">
                  <c:v>1769801</c:v>
                </c:pt>
                <c:pt idx="9">
                  <c:v>1865496</c:v>
                </c:pt>
                <c:pt idx="10">
                  <c:v>1965498</c:v>
                </c:pt>
              </c:numCache>
            </c:numRef>
          </c:val>
          <c:smooth val="0"/>
        </c:ser>
        <c:dLbls>
          <c:showLegendKey val="0"/>
          <c:showVal val="0"/>
          <c:showCatName val="0"/>
          <c:showSerName val="0"/>
          <c:showPercent val="0"/>
          <c:showBubbleSize val="0"/>
        </c:dLbls>
        <c:hiLowLines>
          <c:spPr>
            <a:ln w="12700">
              <a:solidFill>
                <a:srgbClr val="FFC000"/>
              </a:solidFill>
              <a:prstDash val="dash"/>
            </a:ln>
          </c:spPr>
        </c:hiLowLines>
        <c:marker val="1"/>
        <c:smooth val="0"/>
        <c:axId val="500220816"/>
        <c:axId val="500224736"/>
      </c:lineChart>
      <c:lineChart>
        <c:grouping val="standard"/>
        <c:varyColors val="0"/>
        <c:ser>
          <c:idx val="3"/>
          <c:order val="3"/>
          <c:tx>
            <c:strRef>
              <c:f>'III.5.5.Afil. cotiz.'!$E$2</c:f>
              <c:strCache>
                <c:ptCount val="1"/>
                <c:pt idx="0">
                  <c:v>% Cotizantes/ Pob. Asalariada</c:v>
                </c:pt>
              </c:strCache>
            </c:strRef>
          </c:tx>
          <c:spPr>
            <a:ln>
              <a:noFill/>
            </a:ln>
          </c:spPr>
          <c:marker>
            <c:symbol val="circle"/>
            <c:size val="2"/>
            <c:spPr>
              <a:gradFill>
                <a:gsLst>
                  <a:gs pos="0">
                    <a:srgbClr val="CCCCFF"/>
                  </a:gs>
                  <a:gs pos="17999">
                    <a:srgbClr val="99CCFF"/>
                  </a:gs>
                  <a:gs pos="36000">
                    <a:srgbClr val="9966FF"/>
                  </a:gs>
                  <a:gs pos="61000">
                    <a:srgbClr val="CC99FF"/>
                  </a:gs>
                  <a:gs pos="82001">
                    <a:srgbClr val="99CCFF"/>
                  </a:gs>
                  <a:gs pos="100000">
                    <a:srgbClr val="CCCCFF"/>
                  </a:gs>
                </a:gsLst>
                <a:lin ang="5400000" scaled="0"/>
              </a:gradFill>
            </c:spPr>
          </c:marker>
          <c:dLbls>
            <c:dLbl>
              <c:idx val="4"/>
              <c:layout>
                <c:manualLayout>
                  <c:x val="-3.6179897194508787E-2"/>
                  <c:y val="8.9385191075457074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3.5121696048135323E-2"/>
                  <c:y val="8.7641601444515896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3.3005293755388389E-2"/>
                  <c:y val="8.0667242920751447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3.1947092609015001E-2"/>
                  <c:y val="7.718006365886923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3.1947092609014925E-2"/>
                  <c:y val="7.718006365886923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3.5121696048135323E-2"/>
                  <c:y val="6.4974936242281525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3.1947092609015078E-2"/>
                  <c:y val="5.1026219194752649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600" b="1"/>
                </a:pPr>
                <a:endParaRPr lang="es-ES"/>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'III.5.5.Afil. cotiz.'!$A$3:$A$15</c:f>
              <c:strCache>
                <c:ptCount val="11"/>
                <c:pt idx="0">
                  <c:v>2005</c:v>
                </c:pt>
                <c:pt idx="1">
                  <c:v>2006</c:v>
                </c:pt>
                <c:pt idx="2">
                  <c:v>2007</c:v>
                </c:pt>
                <c:pt idx="3">
                  <c:v>2008</c:v>
                </c:pt>
                <c:pt idx="4">
                  <c:v>2009</c:v>
                </c:pt>
                <c:pt idx="5">
                  <c:v>2010</c:v>
                </c:pt>
                <c:pt idx="6">
                  <c:v>2011</c:v>
                </c:pt>
                <c:pt idx="7">
                  <c:v>2012</c:v>
                </c:pt>
                <c:pt idx="8">
                  <c:v>2013</c:v>
                </c:pt>
                <c:pt idx="9">
                  <c:v>2014</c:v>
                </c:pt>
                <c:pt idx="10">
                  <c:v>Nov. 2015</c:v>
                </c:pt>
              </c:strCache>
            </c:strRef>
          </c:cat>
          <c:val>
            <c:numRef>
              <c:f>'III.5.5.Afil. cotiz.'!$E$3:$E$15</c:f>
              <c:numCache>
                <c:formatCode>0.00%</c:formatCode>
                <c:ptCount val="11"/>
                <c:pt idx="0">
                  <c:v>0.43597887647328948</c:v>
                </c:pt>
                <c:pt idx="1">
                  <c:v>0.53699880278895373</c:v>
                </c:pt>
                <c:pt idx="2">
                  <c:v>0.58095064512219674</c:v>
                </c:pt>
                <c:pt idx="3">
                  <c:v>0.59368780119626041</c:v>
                </c:pt>
                <c:pt idx="4">
                  <c:v>0.71639801306090867</c:v>
                </c:pt>
                <c:pt idx="5">
                  <c:v>0.72931141559006063</c:v>
                </c:pt>
                <c:pt idx="6">
                  <c:v>0.73702301484507327</c:v>
                </c:pt>
                <c:pt idx="7">
                  <c:v>0.75231088177095351</c:v>
                </c:pt>
                <c:pt idx="8">
                  <c:v>0.77803436657567715</c:v>
                </c:pt>
                <c:pt idx="9">
                  <c:v>0.80857423441272458</c:v>
                </c:pt>
                <c:pt idx="10">
                  <c:v>0.79866069566084519</c:v>
                </c:pt>
              </c:numCache>
            </c:numRef>
          </c:val>
          <c:smooth val="0"/>
        </c:ser>
        <c:dLbls>
          <c:showLegendKey val="0"/>
          <c:showVal val="0"/>
          <c:showCatName val="0"/>
          <c:showSerName val="0"/>
          <c:showPercent val="0"/>
          <c:showBubbleSize val="0"/>
        </c:dLbls>
        <c:hiLowLines/>
        <c:marker val="1"/>
        <c:smooth val="0"/>
        <c:axId val="500225128"/>
        <c:axId val="500207488"/>
      </c:lineChart>
      <c:catAx>
        <c:axId val="500220816"/>
        <c:scaling>
          <c:orientation val="minMax"/>
        </c:scaling>
        <c:delete val="0"/>
        <c:axPos val="b"/>
        <c:numFmt formatCode="General" sourceLinked="0"/>
        <c:majorTickMark val="none"/>
        <c:minorTickMark val="none"/>
        <c:tickLblPos val="nextTo"/>
        <c:txPr>
          <a:bodyPr rot="-2700000" vert="horz"/>
          <a:lstStyle/>
          <a:p>
            <a:pPr>
              <a:defRPr sz="1400"/>
            </a:pPr>
            <a:endParaRPr lang="es-ES"/>
          </a:p>
        </c:txPr>
        <c:crossAx val="500224736"/>
        <c:crosses val="autoZero"/>
        <c:auto val="1"/>
        <c:lblAlgn val="ctr"/>
        <c:lblOffset val="100"/>
        <c:noMultiLvlLbl val="0"/>
      </c:catAx>
      <c:valAx>
        <c:axId val="500224736"/>
        <c:scaling>
          <c:orientation val="minMax"/>
        </c:scaling>
        <c:delete val="0"/>
        <c:axPos val="l"/>
        <c:numFmt formatCode="#,##0" sourceLinked="1"/>
        <c:majorTickMark val="out"/>
        <c:minorTickMark val="none"/>
        <c:tickLblPos val="nextTo"/>
        <c:crossAx val="500220816"/>
        <c:crosses val="autoZero"/>
        <c:crossBetween val="between"/>
        <c:majorUnit val="500000"/>
      </c:valAx>
      <c:valAx>
        <c:axId val="500207488"/>
        <c:scaling>
          <c:orientation val="minMax"/>
          <c:max val="1"/>
        </c:scaling>
        <c:delete val="0"/>
        <c:axPos val="r"/>
        <c:numFmt formatCode="0.00%" sourceLinked="1"/>
        <c:majorTickMark val="out"/>
        <c:minorTickMark val="none"/>
        <c:tickLblPos val="nextTo"/>
        <c:crossAx val="500225128"/>
        <c:crosses val="max"/>
        <c:crossBetween val="between"/>
      </c:valAx>
      <c:catAx>
        <c:axId val="500225128"/>
        <c:scaling>
          <c:orientation val="minMax"/>
        </c:scaling>
        <c:delete val="1"/>
        <c:axPos val="b"/>
        <c:numFmt formatCode="General" sourceLinked="1"/>
        <c:majorTickMark val="out"/>
        <c:minorTickMark val="none"/>
        <c:tickLblPos val="nextTo"/>
        <c:crossAx val="500207488"/>
        <c:crosses val="autoZero"/>
        <c:auto val="1"/>
        <c:lblAlgn val="ctr"/>
        <c:lblOffset val="100"/>
        <c:noMultiLvlLbl val="0"/>
      </c:catAx>
    </c:plotArea>
    <c:legend>
      <c:legendPos val="r"/>
      <c:layout>
        <c:manualLayout>
          <c:xMode val="edge"/>
          <c:yMode val="edge"/>
          <c:x val="0.17301709445660637"/>
          <c:y val="0.10123447963136831"/>
          <c:w val="0.66386468429306589"/>
          <c:h val="4.2182354873935471E-2"/>
        </c:manualLayout>
      </c:layout>
      <c:overlay val="0"/>
      <c:txPr>
        <a:bodyPr/>
        <a:lstStyle/>
        <a:p>
          <a:pPr>
            <a:defRPr sz="1400"/>
          </a:pPr>
          <a:endParaRPr lang="es-ES"/>
        </a:p>
      </c:txPr>
    </c:legend>
    <c:plotVisOnly val="1"/>
    <c:dispBlanksAs val="gap"/>
    <c:showDLblsOverMax val="0"/>
  </c:chart>
  <c:spPr>
    <a:ln>
      <a:noFill/>
    </a:ln>
  </c:spPr>
  <c:printSettings>
    <c:headerFooter/>
    <c:pageMargins b="0.75" l="0.7" r="0.7" t="0.75" header="0.3" footer="0.3"/>
    <c:pageSetup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2000"/>
            </a:pPr>
            <a:r>
              <a:rPr lang="en-US" sz="2000"/>
              <a:t>Cotizantes del SVDS  RC</a:t>
            </a:r>
            <a:r>
              <a:rPr lang="en-US" sz="2000" baseline="0"/>
              <a:t> </a:t>
            </a:r>
            <a:r>
              <a:rPr lang="en-US" sz="2000"/>
              <a:t>por Rango de Edad</a:t>
            </a:r>
          </a:p>
        </c:rich>
      </c:tx>
      <c:layout>
        <c:manualLayout>
          <c:xMode val="edge"/>
          <c:yMode val="edge"/>
          <c:x val="0.34231276827253071"/>
          <c:y val="3.5228866066182293E-2"/>
        </c:manualLayout>
      </c:layout>
      <c:overlay val="0"/>
    </c:title>
    <c:autoTitleDeleted val="0"/>
    <c:view3D>
      <c:rotX val="10"/>
      <c:rotY val="0"/>
      <c:rAngAx val="0"/>
      <c:perspective val="0"/>
    </c:view3D>
    <c:floor>
      <c:thickness val="0"/>
    </c:floor>
    <c:sideWall>
      <c:thickness val="0"/>
    </c:sideWall>
    <c:backWall>
      <c:thickness val="0"/>
    </c:backWall>
    <c:plotArea>
      <c:layout>
        <c:manualLayout>
          <c:layoutTarget val="inner"/>
          <c:xMode val="edge"/>
          <c:yMode val="edge"/>
          <c:x val="5.9710216443291464E-3"/>
          <c:y val="0.17989935792091499"/>
          <c:w val="0.97995225254377438"/>
          <c:h val="0.59631804270884214"/>
        </c:manualLayout>
      </c:layout>
      <c:bar3DChart>
        <c:barDir val="col"/>
        <c:grouping val="clustered"/>
        <c:varyColors val="0"/>
        <c:ser>
          <c:idx val="0"/>
          <c:order val="0"/>
          <c:tx>
            <c:strRef>
              <c:f>'III.5.6.Cotiz. x rango de edad'!$B$3</c:f>
              <c:strCache>
                <c:ptCount val="1"/>
                <c:pt idx="0">
                  <c:v>Cotizantes</c:v>
                </c:pt>
              </c:strCache>
            </c:strRef>
          </c:tx>
          <c:spPr>
            <a:solidFill>
              <a:schemeClr val="accent3">
                <a:lumMod val="75000"/>
              </a:schemeClr>
            </a:solidFill>
          </c:spPr>
          <c:invertIfNegative val="0"/>
          <c:dLbls>
            <c:dLbl>
              <c:idx val="0"/>
              <c:layout>
                <c:manualLayout>
                  <c:x val="6.2467191601051541E-4"/>
                  <c:y val="-2.273432753750430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0"/>
                  <c:y val="-2.066201302588643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2.885700931218879E-4"/>
                  <c:y val="-2.090590789389496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5379139251429188E-3"/>
                  <c:y val="-2.468469461511806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0"/>
                  <c:y val="-2.279530125450651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1.2493438320209974E-3"/>
                  <c:y val="-2.285627497150860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5379139251429188E-3"/>
                  <c:y val="-1.883359338227701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4904541041960136E-3"/>
                  <c:y val="-2.084493417689282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1.2492719232013807E-3"/>
                  <c:y val="-1.877293641185671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2.8857009312178745E-4"/>
                  <c:y val="-1.6639331436654803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'III.5.6.Cotiz. x rango de edad'!$A$4:$A$13</c:f>
              <c:strCache>
                <c:ptCount val="10"/>
                <c:pt idx="0">
                  <c:v>Menor de 19 </c:v>
                </c:pt>
                <c:pt idx="1">
                  <c:v>20-24 años</c:v>
                </c:pt>
                <c:pt idx="2">
                  <c:v>25-29 años</c:v>
                </c:pt>
                <c:pt idx="3">
                  <c:v>30-34 años</c:v>
                </c:pt>
                <c:pt idx="4">
                  <c:v>35-39 años</c:v>
                </c:pt>
                <c:pt idx="5">
                  <c:v>40-44 años</c:v>
                </c:pt>
                <c:pt idx="6">
                  <c:v>45-49 años</c:v>
                </c:pt>
                <c:pt idx="7">
                  <c:v>50-54 años</c:v>
                </c:pt>
                <c:pt idx="8">
                  <c:v>55-59 años</c:v>
                </c:pt>
                <c:pt idx="9">
                  <c:v>60 ó más </c:v>
                </c:pt>
              </c:strCache>
            </c:strRef>
          </c:cat>
          <c:val>
            <c:numRef>
              <c:f>'III.5.6.Cotiz. x rango de edad'!$B$4:$B$13</c:f>
              <c:numCache>
                <c:formatCode>#,##0</c:formatCode>
                <c:ptCount val="10"/>
                <c:pt idx="0">
                  <c:v>22061</c:v>
                </c:pt>
                <c:pt idx="1">
                  <c:v>197199</c:v>
                </c:pt>
                <c:pt idx="2">
                  <c:v>249888</c:v>
                </c:pt>
                <c:pt idx="3">
                  <c:v>232644</c:v>
                </c:pt>
                <c:pt idx="4">
                  <c:v>215294</c:v>
                </c:pt>
                <c:pt idx="5">
                  <c:v>179746</c:v>
                </c:pt>
                <c:pt idx="6">
                  <c:v>153512</c:v>
                </c:pt>
                <c:pt idx="7">
                  <c:v>121255</c:v>
                </c:pt>
                <c:pt idx="8">
                  <c:v>85110</c:v>
                </c:pt>
                <c:pt idx="9">
                  <c:v>113057</c:v>
                </c:pt>
              </c:numCache>
            </c:numRef>
          </c:val>
        </c:ser>
        <c:dLbls>
          <c:showLegendKey val="0"/>
          <c:showVal val="0"/>
          <c:showCatName val="0"/>
          <c:showSerName val="0"/>
          <c:showPercent val="0"/>
          <c:showBubbleSize val="0"/>
        </c:dLbls>
        <c:gapWidth val="14"/>
        <c:shape val="cylinder"/>
        <c:axId val="500205136"/>
        <c:axId val="500210232"/>
        <c:axId val="0"/>
      </c:bar3DChart>
      <c:catAx>
        <c:axId val="500205136"/>
        <c:scaling>
          <c:orientation val="minMax"/>
        </c:scaling>
        <c:delete val="0"/>
        <c:axPos val="b"/>
        <c:numFmt formatCode="General" sourceLinked="0"/>
        <c:majorTickMark val="none"/>
        <c:minorTickMark val="none"/>
        <c:tickLblPos val="nextTo"/>
        <c:txPr>
          <a:bodyPr rot="-2700000" vert="horz"/>
          <a:lstStyle/>
          <a:p>
            <a:pPr>
              <a:defRPr sz="1400"/>
            </a:pPr>
            <a:endParaRPr lang="es-ES"/>
          </a:p>
        </c:txPr>
        <c:crossAx val="500210232"/>
        <c:crosses val="autoZero"/>
        <c:auto val="1"/>
        <c:lblAlgn val="ctr"/>
        <c:lblOffset val="100"/>
        <c:noMultiLvlLbl val="0"/>
      </c:catAx>
      <c:valAx>
        <c:axId val="500210232"/>
        <c:scaling>
          <c:orientation val="minMax"/>
        </c:scaling>
        <c:delete val="1"/>
        <c:axPos val="l"/>
        <c:numFmt formatCode="#,##0" sourceLinked="1"/>
        <c:majorTickMark val="none"/>
        <c:minorTickMark val="none"/>
        <c:tickLblPos val="nextTo"/>
        <c:crossAx val="500205136"/>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n-US" sz="2000"/>
              <a:t>Cotizantes del SVDS RC por Cantidad de Salario Mínimo Cotizable</a:t>
            </a:r>
          </a:p>
        </c:rich>
      </c:tx>
      <c:layout>
        <c:manualLayout>
          <c:xMode val="edge"/>
          <c:yMode val="edge"/>
          <c:x val="0.21085808940400086"/>
          <c:y val="4.9422933635286576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1.3204465812721165E-2"/>
          <c:y val="0.14824605041861752"/>
          <c:w val="0.97770266103107606"/>
          <c:h val="0.67845002981992808"/>
        </c:manualLayout>
      </c:layout>
      <c:bar3DChart>
        <c:barDir val="col"/>
        <c:grouping val="stacked"/>
        <c:varyColors val="0"/>
        <c:ser>
          <c:idx val="0"/>
          <c:order val="0"/>
          <c:tx>
            <c:strRef>
              <c:f>'III.5.7.Cotiz x sal. min. cot.'!$B$4</c:f>
              <c:strCache>
                <c:ptCount val="1"/>
                <c:pt idx="0">
                  <c:v>Cotizantes</c:v>
                </c:pt>
              </c:strCache>
            </c:strRef>
          </c:tx>
          <c:spPr>
            <a:solidFill>
              <a:schemeClr val="accent3">
                <a:lumMod val="75000"/>
              </a:schemeClr>
            </a:solidFill>
          </c:spPr>
          <c:invertIfNegative val="0"/>
          <c:dLbls>
            <c:dLbl>
              <c:idx val="0"/>
              <c:layout>
                <c:manualLayout>
                  <c:x val="2.1522707337434128E-2"/>
                  <c:y val="-0.33232604348202688"/>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2.2180223104507658E-2"/>
                  <c:y val="-0.33283786825566058"/>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5605279677536591E-2"/>
                  <c:y val="-0.13684524680692894"/>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7971259494205236E-2"/>
                  <c:y val="-9.663006131917736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1.4300319746845666E-2"/>
                  <c:y val="-0.1093427135223143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1.4333542582130153E-2"/>
                  <c:y val="-6.756362167456685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2.0337147535085885E-2"/>
                  <c:y val="-7.665606717544033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7972727906814451E-2"/>
                  <c:y val="-6.751230375734594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1.0802560911590377E-2"/>
                  <c:y val="-6.5660988391686437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800" b="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'III.5.7.Cotiz x sal. min. cot.'!$A$5:$A$13</c:f>
              <c:strCache>
                <c:ptCount val="9"/>
                <c:pt idx="0">
                  <c:v>0-1   salario</c:v>
                </c:pt>
                <c:pt idx="1">
                  <c:v>1-2 salarios </c:v>
                </c:pt>
                <c:pt idx="2">
                  <c:v>2-3 salarios  </c:v>
                </c:pt>
                <c:pt idx="3">
                  <c:v>3-4 salarios </c:v>
                </c:pt>
                <c:pt idx="4">
                  <c:v>4-6 salarios  </c:v>
                </c:pt>
                <c:pt idx="5">
                  <c:v>6-8 salarios </c:v>
                </c:pt>
                <c:pt idx="6">
                  <c:v>8-10 salarios </c:v>
                </c:pt>
                <c:pt idx="7">
                  <c:v>10-15 salarios </c:v>
                </c:pt>
                <c:pt idx="8">
                  <c:v>15 ó más salarios </c:v>
                </c:pt>
              </c:strCache>
            </c:strRef>
          </c:cat>
          <c:val>
            <c:numRef>
              <c:f>'III.5.7.Cotiz x sal. min. cot.'!$B$5:$B$13</c:f>
              <c:numCache>
                <c:formatCode>#,##0</c:formatCode>
                <c:ptCount val="9"/>
                <c:pt idx="0">
                  <c:v>567631</c:v>
                </c:pt>
                <c:pt idx="1">
                  <c:v>543747</c:v>
                </c:pt>
                <c:pt idx="2">
                  <c:v>160208</c:v>
                </c:pt>
                <c:pt idx="3">
                  <c:v>116473</c:v>
                </c:pt>
                <c:pt idx="4">
                  <c:v>106257</c:v>
                </c:pt>
                <c:pt idx="5">
                  <c:v>33370</c:v>
                </c:pt>
                <c:pt idx="6">
                  <c:v>15611</c:v>
                </c:pt>
                <c:pt idx="7">
                  <c:v>14991</c:v>
                </c:pt>
                <c:pt idx="8">
                  <c:v>11478</c:v>
                </c:pt>
              </c:numCache>
            </c:numRef>
          </c:val>
        </c:ser>
        <c:dLbls>
          <c:showLegendKey val="0"/>
          <c:showVal val="0"/>
          <c:showCatName val="0"/>
          <c:showSerName val="0"/>
          <c:showPercent val="0"/>
          <c:showBubbleSize val="0"/>
        </c:dLbls>
        <c:gapWidth val="12"/>
        <c:shape val="cylinder"/>
        <c:axId val="500225912"/>
        <c:axId val="500207880"/>
        <c:axId val="0"/>
      </c:bar3DChart>
      <c:catAx>
        <c:axId val="500225912"/>
        <c:scaling>
          <c:orientation val="minMax"/>
        </c:scaling>
        <c:delete val="0"/>
        <c:axPos val="b"/>
        <c:numFmt formatCode="General" sourceLinked="1"/>
        <c:majorTickMark val="none"/>
        <c:minorTickMark val="none"/>
        <c:tickLblPos val="nextTo"/>
        <c:txPr>
          <a:bodyPr/>
          <a:lstStyle/>
          <a:p>
            <a:pPr>
              <a:defRPr lang="en-US" sz="1400"/>
            </a:pPr>
            <a:endParaRPr lang="es-ES"/>
          </a:p>
        </c:txPr>
        <c:crossAx val="500207880"/>
        <c:crosses val="autoZero"/>
        <c:auto val="1"/>
        <c:lblAlgn val="ctr"/>
        <c:lblOffset val="100"/>
        <c:noMultiLvlLbl val="0"/>
      </c:catAx>
      <c:valAx>
        <c:axId val="500207880"/>
        <c:scaling>
          <c:orientation val="minMax"/>
        </c:scaling>
        <c:delete val="1"/>
        <c:axPos val="l"/>
        <c:numFmt formatCode="#,##0" sourceLinked="1"/>
        <c:majorTickMark val="none"/>
        <c:minorTickMark val="none"/>
        <c:tickLblPos val="nextTo"/>
        <c:crossAx val="500225912"/>
        <c:crosses val="autoZero"/>
        <c:crossBetween val="between"/>
      </c:valAx>
      <c:spPr>
        <a:noFill/>
        <a:ln w="25400">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r>
              <a:rPr lang="es-DO">
                <a:solidFill>
                  <a:sysClr val="windowText" lastClr="000000"/>
                </a:solidFill>
              </a:rPr>
              <a:t>Distribución de Cotizantes por AFP's y Fondos de Reparto</a:t>
            </a:r>
            <a:endParaRPr lang="es-ES">
              <a:solidFill>
                <a:sysClr val="windowText" lastClr="000000"/>
              </a:solidFill>
            </a:endParaRPr>
          </a:p>
          <a:p>
            <a:pPr>
              <a:defRPr>
                <a:solidFill>
                  <a:sysClr val="windowText" lastClr="000000"/>
                </a:solidFill>
              </a:defRPr>
            </a:pPr>
            <a:endParaRPr lang="en-US">
              <a:solidFill>
                <a:sysClr val="windowText" lastClr="000000"/>
              </a:solidFill>
            </a:endParaRPr>
          </a:p>
        </c:rich>
      </c:tx>
      <c:layout>
        <c:manualLayout>
          <c:xMode val="edge"/>
          <c:yMode val="edge"/>
          <c:x val="0.25949109785933205"/>
          <c:y val="1.7680551718600841E-2"/>
        </c:manualLayout>
      </c:layout>
      <c:overlay val="0"/>
      <c:spPr>
        <a:noFill/>
        <a:ln>
          <a:noFill/>
        </a:ln>
        <a:effectLst/>
      </c:spPr>
      <c:txPr>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endParaRPr lang="es-ES"/>
        </a:p>
      </c:txPr>
    </c:title>
    <c:autoTitleDeleted val="0"/>
    <c:view3D>
      <c:rotX val="60"/>
      <c:rotY val="29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22296420965511674"/>
          <c:y val="0.32273455818022756"/>
          <c:w val="0.54059071716577534"/>
          <c:h val="0.50612554280759847"/>
        </c:manualLayout>
      </c:layout>
      <c:pie3DChart>
        <c:varyColors val="1"/>
        <c:ser>
          <c:idx val="0"/>
          <c:order val="0"/>
          <c:tx>
            <c:strRef>
              <c:f>'III.5.8.Cotiz.x AFP y fondos'!$A$4</c:f>
              <c:strCache>
                <c:ptCount val="1"/>
                <c:pt idx="0">
                  <c:v>Nov.15</c:v>
                </c:pt>
              </c:strCache>
            </c:strRef>
          </c:tx>
          <c:explosion val="14"/>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2"/>
            <c:bubble3D val="0"/>
            <c:explosion val="19"/>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4"/>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5"/>
            <c:bubble3D val="0"/>
            <c:spPr>
              <a:solidFill>
                <a:schemeClr val="accent6"/>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6"/>
            <c:bubble3D val="0"/>
            <c:spPr>
              <a:solidFill>
                <a:schemeClr val="accent1">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7"/>
            <c:bubble3D val="0"/>
            <c:explosion val="19"/>
            <c:spPr>
              <a:solidFill>
                <a:schemeClr val="accent2">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Lbls>
            <c:dLbl>
              <c:idx val="0"/>
              <c:layout>
                <c:manualLayout>
                  <c:x val="4.8480634732380831E-2"/>
                  <c:y val="-4.093446381886192E-2"/>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346C262E-FDB6-42DE-8742-E4847110E0A1}" type="CATEGORYNAME">
                      <a:rPr lang="en-US" sz="1800"/>
                      <a:pPr>
                        <a:defRPr sz="1800"/>
                      </a:pPr>
                      <a:t>[NOMBRE DE CATEGORÍA]</a:t>
                    </a:fld>
                    <a:r>
                      <a:rPr lang="en-US" sz="1800" baseline="0"/>
                      <a:t> </a:t>
                    </a:r>
                  </a:p>
                  <a:p>
                    <a:pPr>
                      <a:defRPr sz="1800"/>
                    </a:pPr>
                    <a:fld id="{D2F12645-9838-4411-8185-DBAEB43F84F2}" type="VALUE">
                      <a:rPr lang="en-US" sz="1800" baseline="0"/>
                      <a:pPr>
                        <a:defRPr sz="1800"/>
                      </a:pPr>
                      <a:t>[VALOR]</a:t>
                    </a:fld>
                    <a:endParaRPr lang="en-US" sz="1800" baseline="0"/>
                  </a:p>
                  <a:p>
                    <a:pPr>
                      <a:defRPr sz="1800"/>
                    </a:pPr>
                    <a:r>
                      <a:rPr lang="en-US" sz="1800" baseline="0"/>
                      <a:t> </a:t>
                    </a:r>
                    <a:fld id="{A6B154D5-3CE2-4A99-A084-11C947FBE0C5}" type="PERCENTAGE">
                      <a:rPr lang="en-US" sz="1800" baseline="0"/>
                      <a:pPr>
                        <a:defRPr sz="1800"/>
                      </a:pPr>
                      <a:t>[PORCENTAJE]</a:t>
                    </a:fld>
                    <a:endParaRPr lang="en-US" sz="1800" baseline="0"/>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1"/>
              <c:layout>
                <c:manualLayout>
                  <c:x val="4.3481404195362248E-2"/>
                  <c:y val="-3.0712980479791634E-2"/>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0A691E98-F8D2-4630-B7C1-B33F8B51707B}" type="CATEGORYNAME">
                      <a:rPr lang="en-US" sz="1800"/>
                      <a:pPr>
                        <a:defRPr sz="1800">
                          <a:solidFill>
                            <a:schemeClr val="accent1"/>
                          </a:solidFill>
                        </a:defRPr>
                      </a:pPr>
                      <a:t>[NOMBRE DE CATEGORÍA]</a:t>
                    </a:fld>
                    <a:r>
                      <a:rPr lang="en-US" sz="1800" baseline="0"/>
                      <a:t> </a:t>
                    </a:r>
                  </a:p>
                  <a:p>
                    <a:pPr>
                      <a:defRPr sz="1800">
                        <a:solidFill>
                          <a:schemeClr val="accent1"/>
                        </a:solidFill>
                      </a:defRPr>
                    </a:pPr>
                    <a:fld id="{45ED5880-70BC-4495-B0E7-A5909B5B95E2}" type="VALUE">
                      <a:rPr lang="en-US" sz="1800" baseline="0"/>
                      <a:pPr>
                        <a:defRPr sz="1800">
                          <a:solidFill>
                            <a:schemeClr val="accent1"/>
                          </a:solidFill>
                        </a:defRPr>
                      </a:pPr>
                      <a:t>[VALOR]</a:t>
                    </a:fld>
                    <a:endParaRPr lang="en-US" sz="1800" baseline="0"/>
                  </a:p>
                  <a:p>
                    <a:pPr>
                      <a:defRPr sz="1800">
                        <a:solidFill>
                          <a:schemeClr val="accent1"/>
                        </a:solidFill>
                      </a:defRPr>
                    </a:pPr>
                    <a:r>
                      <a:rPr lang="en-US" sz="1800" baseline="0"/>
                      <a:t> </a:t>
                    </a:r>
                    <a:fld id="{2A0A7464-5FD9-4F67-94C5-3D806BC0F271}" type="PERCENTAGE">
                      <a:rPr lang="en-US" sz="1800" baseline="0"/>
                      <a:pPr>
                        <a:defRPr sz="1800">
                          <a:solidFill>
                            <a:schemeClr val="accent1"/>
                          </a:solidFill>
                        </a:defRPr>
                      </a:pPr>
                      <a:t>[PORCENTAJE]</a:t>
                    </a:fld>
                    <a:endParaRPr lang="en-US" sz="1800" baseline="0"/>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2"/>
              <c:layout>
                <c:manualLayout>
                  <c:x val="5.662694499861147E-2"/>
                  <c:y val="1.023766015993046E-2"/>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53B4A305-4021-4D4A-97FA-E0309DCD4D20}" type="CATEGORYNAME">
                      <a:rPr lang="en-US" sz="1800"/>
                      <a:pPr>
                        <a:defRPr sz="1800">
                          <a:solidFill>
                            <a:schemeClr val="accent1"/>
                          </a:solidFill>
                        </a:defRPr>
                      </a:pPr>
                      <a:t>[NOMBRE DE CATEGORÍA]</a:t>
                    </a:fld>
                    <a:r>
                      <a:rPr lang="en-US" sz="1800" baseline="0"/>
                      <a:t> </a:t>
                    </a:r>
                  </a:p>
                  <a:p>
                    <a:pPr>
                      <a:defRPr sz="1800">
                        <a:solidFill>
                          <a:schemeClr val="accent1"/>
                        </a:solidFill>
                      </a:defRPr>
                    </a:pPr>
                    <a:fld id="{E064C9C5-2D23-4CC1-9A27-89EFDE71C256}" type="VALUE">
                      <a:rPr lang="en-US" sz="1800" baseline="0"/>
                      <a:pPr>
                        <a:defRPr sz="1800">
                          <a:solidFill>
                            <a:schemeClr val="accent1"/>
                          </a:solidFill>
                        </a:defRPr>
                      </a:pPr>
                      <a:t>[VALOR]</a:t>
                    </a:fld>
                    <a:r>
                      <a:rPr lang="en-US" sz="1800" baseline="0"/>
                      <a:t> </a:t>
                    </a:r>
                  </a:p>
                  <a:p>
                    <a:pPr>
                      <a:defRPr sz="1800">
                        <a:solidFill>
                          <a:schemeClr val="accent1"/>
                        </a:solidFill>
                      </a:defRPr>
                    </a:pPr>
                    <a:r>
                      <a:rPr lang="en-US" sz="1800" baseline="0"/>
                      <a:t>0.8%</a:t>
                    </a: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3"/>
              <c:layout>
                <c:manualLayout>
                  <c:x val="2.8313472499305624E-2"/>
                  <c:y val="4.2656917333043845E-2"/>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38C446A9-A54F-432D-8B74-44C0A6B1954F}" type="CATEGORYNAME">
                      <a:rPr lang="en-US" sz="1800"/>
                      <a:pPr>
                        <a:defRPr sz="1800">
                          <a:solidFill>
                            <a:schemeClr val="accent1"/>
                          </a:solidFill>
                        </a:defRPr>
                      </a:pPr>
                      <a:t>[NOMBRE DE CATEGORÍA]</a:t>
                    </a:fld>
                    <a:r>
                      <a:rPr lang="en-US" sz="1800" baseline="0"/>
                      <a:t> </a:t>
                    </a:r>
                  </a:p>
                  <a:p>
                    <a:pPr>
                      <a:defRPr sz="1800">
                        <a:solidFill>
                          <a:schemeClr val="accent1"/>
                        </a:solidFill>
                      </a:defRPr>
                    </a:pPr>
                    <a:fld id="{225D0FE1-8EEC-4F2D-932F-5F55B08E6D3A}" type="VALUE">
                      <a:rPr lang="en-US" sz="1800" baseline="0"/>
                      <a:pPr>
                        <a:defRPr sz="1800">
                          <a:solidFill>
                            <a:schemeClr val="accent1"/>
                          </a:solidFill>
                        </a:defRPr>
                      </a:pPr>
                      <a:t>[VALOR]</a:t>
                    </a:fld>
                    <a:r>
                      <a:rPr lang="en-US" sz="1800" baseline="0"/>
                      <a:t> </a:t>
                    </a:r>
                  </a:p>
                  <a:p>
                    <a:pPr>
                      <a:defRPr sz="1800">
                        <a:solidFill>
                          <a:schemeClr val="accent1"/>
                        </a:solidFill>
                      </a:defRPr>
                    </a:pPr>
                    <a:fld id="{3D899F0F-0943-48E0-A280-5276BF6BCBF7}" type="PERCENTAGE">
                      <a:rPr lang="en-US" sz="1800" baseline="0"/>
                      <a:pPr>
                        <a:defRPr sz="1800">
                          <a:solidFill>
                            <a:schemeClr val="accent1"/>
                          </a:solidFill>
                        </a:defRPr>
                      </a:pPr>
                      <a:t>[PORCENTAJE]</a:t>
                    </a:fld>
                    <a:endParaRPr lang="es-E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4"/>
              <c:layout>
                <c:manualLayout>
                  <c:x val="-4.8537381427381232E-2"/>
                  <c:y val="4.0950640639722091E-2"/>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09C05F82-A25F-4184-93CE-757E4E6222CC}" type="CATEGORYNAME">
                      <a:rPr lang="en-US" sz="1800"/>
                      <a:pPr>
                        <a:defRPr sz="1800">
                          <a:solidFill>
                            <a:schemeClr val="accent1"/>
                          </a:solidFill>
                        </a:defRPr>
                      </a:pPr>
                      <a:t>[NOMBRE DE CATEGORÍA]</a:t>
                    </a:fld>
                    <a:endParaRPr lang="en-US" sz="1800"/>
                  </a:p>
                  <a:p>
                    <a:pPr>
                      <a:defRPr sz="1800">
                        <a:solidFill>
                          <a:schemeClr val="accent1"/>
                        </a:solidFill>
                      </a:defRPr>
                    </a:pPr>
                    <a:r>
                      <a:rPr lang="en-US" sz="1800" baseline="0"/>
                      <a:t> </a:t>
                    </a:r>
                    <a:fld id="{7C6A1B63-CAA4-42EC-A0CC-3E976A015E36}" type="VALUE">
                      <a:rPr lang="en-US" sz="1800" baseline="0"/>
                      <a:pPr>
                        <a:defRPr sz="1800">
                          <a:solidFill>
                            <a:schemeClr val="accent1"/>
                          </a:solidFill>
                        </a:defRPr>
                      </a:pPr>
                      <a:t>[VALOR]</a:t>
                    </a:fld>
                    <a:r>
                      <a:rPr lang="en-US" sz="1800" baseline="0"/>
                      <a:t> </a:t>
                    </a:r>
                  </a:p>
                  <a:p>
                    <a:pPr>
                      <a:defRPr sz="1800">
                        <a:solidFill>
                          <a:schemeClr val="accent1"/>
                        </a:solidFill>
                      </a:defRPr>
                    </a:pPr>
                    <a:fld id="{031ACC02-B684-49A9-A599-909073BBD87B}" type="PERCENTAGE">
                      <a:rPr lang="en-US" sz="1800" baseline="0"/>
                      <a:pPr>
                        <a:defRPr sz="1800">
                          <a:solidFill>
                            <a:schemeClr val="accent1"/>
                          </a:solidFill>
                        </a:defRPr>
                      </a:pPr>
                      <a:t>[PORCENTAJE]</a:t>
                    </a:fld>
                    <a:endParaRPr lang="es-E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5"/>
              <c:layout>
                <c:manualLayout>
                  <c:x val="-4.8572280245001105E-2"/>
                  <c:y val="5.6597240728888942E-2"/>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FC60DF21-6887-4E83-81A2-1A560CB374BD}" type="CATEGORYNAME">
                      <a:rPr lang="en-US" sz="1800"/>
                      <a:pPr>
                        <a:defRPr sz="1800">
                          <a:solidFill>
                            <a:schemeClr val="accent1"/>
                          </a:solidFill>
                        </a:defRPr>
                      </a:pPr>
                      <a:t>[NOMBRE DE CATEGORÍA]</a:t>
                    </a:fld>
                    <a:r>
                      <a:rPr lang="en-US" sz="1800" baseline="0"/>
                      <a:t> </a:t>
                    </a:r>
                  </a:p>
                  <a:p>
                    <a:pPr>
                      <a:defRPr sz="1800">
                        <a:solidFill>
                          <a:schemeClr val="accent1"/>
                        </a:solidFill>
                      </a:defRPr>
                    </a:pPr>
                    <a:fld id="{A7824EA3-4358-4A7A-910F-B50E6EA6BBAA}" type="VALUE">
                      <a:rPr lang="en-US" sz="1800" baseline="0"/>
                      <a:pPr>
                        <a:defRPr sz="1800">
                          <a:solidFill>
                            <a:schemeClr val="accent1"/>
                          </a:solidFill>
                        </a:defRPr>
                      </a:pPr>
                      <a:t>[VALOR]</a:t>
                    </a:fld>
                    <a:r>
                      <a:rPr lang="en-US" sz="1800" baseline="0"/>
                      <a:t> </a:t>
                    </a:r>
                  </a:p>
                  <a:p>
                    <a:pPr>
                      <a:defRPr sz="1800">
                        <a:solidFill>
                          <a:schemeClr val="accent1"/>
                        </a:solidFill>
                      </a:defRPr>
                    </a:pPr>
                    <a:fld id="{88239077-2464-4C8D-96C7-E7C0ED2CF7F8}" type="PERCENTAGE">
                      <a:rPr lang="en-US" sz="1800" baseline="0"/>
                      <a:pPr>
                        <a:defRPr sz="1800">
                          <a:solidFill>
                            <a:schemeClr val="accent1"/>
                          </a:solidFill>
                        </a:defRPr>
                      </a:pPr>
                      <a:t>[PORCENTAJE]</a:t>
                    </a:fld>
                    <a:endParaRPr lang="es-E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6"/>
              <c:layout>
                <c:manualLayout>
                  <c:x val="-2.4342903260075079E-2"/>
                  <c:y val="-1.8801326756781644E-2"/>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7A05422D-C869-4DFF-AB53-D8B4630E9D10}" type="CATEGORYNAME">
                      <a:rPr lang="en-US" sz="1800"/>
                      <a:pPr>
                        <a:defRPr sz="1800">
                          <a:solidFill>
                            <a:schemeClr val="accent1"/>
                          </a:solidFill>
                        </a:defRPr>
                      </a:pPr>
                      <a:t>[NOMBRE DE CATEGORÍA]</a:t>
                    </a:fld>
                    <a:r>
                      <a:rPr lang="en-US" sz="1800" baseline="0"/>
                      <a:t> </a:t>
                    </a:r>
                  </a:p>
                  <a:p>
                    <a:pPr>
                      <a:defRPr sz="1800">
                        <a:solidFill>
                          <a:schemeClr val="accent1"/>
                        </a:solidFill>
                      </a:defRPr>
                    </a:pPr>
                    <a:fld id="{05F6DD79-39E9-4CDF-9E84-CDC670C45123}" type="VALUE">
                      <a:rPr lang="en-US" sz="1800" baseline="0"/>
                      <a:pPr>
                        <a:defRPr sz="1800">
                          <a:solidFill>
                            <a:schemeClr val="accent1"/>
                          </a:solidFill>
                        </a:defRPr>
                      </a:pPr>
                      <a:t>[VALOR]</a:t>
                    </a:fld>
                    <a:r>
                      <a:rPr lang="en-US" sz="1800" baseline="0"/>
                      <a:t> </a:t>
                    </a:r>
                  </a:p>
                  <a:p>
                    <a:pPr>
                      <a:defRPr sz="1800">
                        <a:solidFill>
                          <a:schemeClr val="accent1"/>
                        </a:solidFill>
                      </a:defRPr>
                    </a:pPr>
                    <a:fld id="{49E9001D-2922-46C2-9285-02338C09A549}" type="PERCENTAGE">
                      <a:rPr lang="en-US" sz="1800" baseline="0"/>
                      <a:pPr>
                        <a:defRPr sz="1800">
                          <a:solidFill>
                            <a:schemeClr val="accent1"/>
                          </a:solidFill>
                        </a:defRPr>
                      </a:pPr>
                      <a:t>[PORCENTAJE]</a:t>
                    </a:fld>
                    <a:endParaRPr lang="es-E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7"/>
              <c:layout>
                <c:manualLayout>
                  <c:x val="4.0395455143644038E-2"/>
                  <c:y val="-0.14191108689817511"/>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82C7C9E1-7903-4BAB-8FC6-ADCAC177BB05}" type="CATEGORYNAME">
                      <a:rPr lang="en-US" sz="1800"/>
                      <a:pPr>
                        <a:defRPr sz="1800">
                          <a:solidFill>
                            <a:schemeClr val="accent1"/>
                          </a:solidFill>
                        </a:defRPr>
                      </a:pPr>
                      <a:t>[NOMBRE DE CATEGORÍA]</a:t>
                    </a:fld>
                    <a:endParaRPr lang="en-US" sz="1800"/>
                  </a:p>
                  <a:p>
                    <a:pPr>
                      <a:defRPr sz="1800">
                        <a:solidFill>
                          <a:schemeClr val="accent1"/>
                        </a:solidFill>
                      </a:defRPr>
                    </a:pPr>
                    <a:r>
                      <a:rPr lang="en-US" sz="1800" baseline="0"/>
                      <a:t> </a:t>
                    </a:r>
                    <a:fld id="{2DBCE28A-9A45-4CC9-A8D1-D5DB87DEC51E}" type="VALUE">
                      <a:rPr lang="en-US" sz="1800" baseline="0"/>
                      <a:pPr>
                        <a:defRPr sz="1800">
                          <a:solidFill>
                            <a:schemeClr val="accent1"/>
                          </a:solidFill>
                        </a:defRPr>
                      </a:pPr>
                      <a:t>[VALOR]</a:t>
                    </a:fld>
                    <a:r>
                      <a:rPr lang="en-US" sz="1800" baseline="0"/>
                      <a:t> </a:t>
                    </a:r>
                  </a:p>
                  <a:p>
                    <a:pPr>
                      <a:defRPr sz="1800">
                        <a:solidFill>
                          <a:schemeClr val="accent1"/>
                        </a:solidFill>
                      </a:defRPr>
                    </a:pPr>
                    <a:r>
                      <a:rPr lang="en-US" sz="1800" baseline="0"/>
                      <a:t>0.5%</a:t>
                    </a: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s-ES"/>
              </a:p>
            </c:txPr>
            <c:dLblPos val="outEnd"/>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'III.5.8.Cotiz.x AFP y fondos'!$B$3:$I$3</c:f>
              <c:strCache>
                <c:ptCount val="8"/>
                <c:pt idx="0">
                  <c:v>Popular</c:v>
                </c:pt>
                <c:pt idx="1">
                  <c:v>Reservas</c:v>
                </c:pt>
                <c:pt idx="2">
                  <c:v>Romana</c:v>
                </c:pt>
                <c:pt idx="3">
                  <c:v>Scotia Crecer</c:v>
                </c:pt>
                <c:pt idx="4">
                  <c:v>Siembra</c:v>
                </c:pt>
                <c:pt idx="5">
                  <c:v>Reparto Individualizado</c:v>
                </c:pt>
                <c:pt idx="6">
                  <c:v>Ministerio de Hacienda</c:v>
                </c:pt>
                <c:pt idx="7">
                  <c:v> Sin Individualizar</c:v>
                </c:pt>
              </c:strCache>
            </c:strRef>
          </c:cat>
          <c:val>
            <c:numRef>
              <c:f>'III.5.8.Cotiz.x AFP y fondos'!$B$4:$I$4</c:f>
              <c:numCache>
                <c:formatCode>_(* #,##0_);_(* \(#,##0\);_(* "-"??_);_(@_)</c:formatCode>
                <c:ptCount val="8"/>
                <c:pt idx="0">
                  <c:v>468355</c:v>
                </c:pt>
                <c:pt idx="1">
                  <c:v>212960</c:v>
                </c:pt>
                <c:pt idx="2">
                  <c:v>12079</c:v>
                </c:pt>
                <c:pt idx="3">
                  <c:v>447391</c:v>
                </c:pt>
                <c:pt idx="4">
                  <c:v>289988</c:v>
                </c:pt>
                <c:pt idx="5">
                  <c:v>92327</c:v>
                </c:pt>
                <c:pt idx="6">
                  <c:v>39478</c:v>
                </c:pt>
                <c:pt idx="7">
                  <c:v>7188</c:v>
                </c:pt>
              </c:numCache>
            </c:numRef>
          </c:val>
        </c:ser>
        <c:dLbls>
          <c:showLegendKey val="0"/>
          <c:showVal val="0"/>
          <c:showCatName val="0"/>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pPr>
            <a:r>
              <a:rPr lang="en-US" sz="2400"/>
              <a:t>Salario Promedio Mensual de los Empleados Afiliados Activos al SDSS, por Sector</a:t>
            </a:r>
          </a:p>
        </c:rich>
      </c:tx>
      <c:layout>
        <c:manualLayout>
          <c:xMode val="edge"/>
          <c:yMode val="edge"/>
          <c:x val="0.18850836297587598"/>
          <c:y val="3.6715925605769237E-2"/>
        </c:manualLayout>
      </c:layout>
      <c:overlay val="0"/>
    </c:title>
    <c:autoTitleDeleted val="0"/>
    <c:plotArea>
      <c:layout>
        <c:manualLayout>
          <c:layoutTarget val="inner"/>
          <c:xMode val="edge"/>
          <c:yMode val="edge"/>
          <c:x val="8.0909799287082404E-2"/>
          <c:y val="0.20446198062730186"/>
          <c:w val="0.84805466682663366"/>
          <c:h val="0.58557730049358603"/>
        </c:manualLayout>
      </c:layout>
      <c:lineChart>
        <c:grouping val="standard"/>
        <c:varyColors val="0"/>
        <c:ser>
          <c:idx val="0"/>
          <c:order val="0"/>
          <c:tx>
            <c:strRef>
              <c:f>'II.5 Salario prom.'!$B$3</c:f>
              <c:strCache>
                <c:ptCount val="1"/>
                <c:pt idx="0">
                  <c:v>Privado</c:v>
                </c:pt>
              </c:strCache>
            </c:strRef>
          </c:tx>
          <c:spPr>
            <a:ln w="34925">
              <a:gradFill>
                <a:gsLst>
                  <a:gs pos="0">
                    <a:srgbClr val="DDEBCF"/>
                  </a:gs>
                  <a:gs pos="8000">
                    <a:srgbClr val="9CB86E"/>
                  </a:gs>
                  <a:gs pos="100000">
                    <a:srgbClr val="156B13"/>
                  </a:gs>
                </a:gsLst>
                <a:lin ang="5400000" scaled="0"/>
              </a:gradFill>
            </a:ln>
          </c:spPr>
          <c:marker>
            <c:symbol val="diamond"/>
            <c:size val="11"/>
            <c:spPr>
              <a:gradFill>
                <a:gsLst>
                  <a:gs pos="0">
                    <a:srgbClr val="DDEBCF"/>
                  </a:gs>
                  <a:gs pos="15000">
                    <a:srgbClr val="9CB86E"/>
                  </a:gs>
                  <a:gs pos="100000">
                    <a:srgbClr val="156B13"/>
                  </a:gs>
                </a:gsLst>
                <a:lin ang="5400000" scaled="0"/>
              </a:gradFill>
            </c:spPr>
          </c:marker>
          <c:dLbls>
            <c:dLbl>
              <c:idx val="7"/>
              <c:layout>
                <c:manualLayout>
                  <c:x val="4.7722344635116017E-3"/>
                  <c:y val="-2.286879633616061E-2"/>
                </c:manualLayout>
              </c:layout>
              <c:tx>
                <c:rich>
                  <a:bodyPr/>
                  <a:lstStyle/>
                  <a:p>
                    <a:pPr>
                      <a:defRPr sz="2000" b="1">
                        <a:solidFill>
                          <a:schemeClr val="accent3">
                            <a:lumMod val="50000"/>
                          </a:schemeClr>
                        </a:solidFill>
                      </a:defRPr>
                    </a:pPr>
                    <a:r>
                      <a:rPr lang="en-US" sz="2000" b="1">
                        <a:solidFill>
                          <a:schemeClr val="accent3">
                            <a:lumMod val="50000"/>
                          </a:schemeClr>
                        </a:solidFill>
                      </a:rPr>
                      <a:t>Privado</a:t>
                    </a:r>
                  </a:p>
                  <a:p>
                    <a:pPr>
                      <a:defRPr sz="2000" b="1">
                        <a:solidFill>
                          <a:schemeClr val="accent3">
                            <a:lumMod val="50000"/>
                          </a:schemeClr>
                        </a:solidFill>
                      </a:defRPr>
                    </a:pPr>
                    <a:r>
                      <a:rPr lang="en-US" sz="2000" b="1">
                        <a:solidFill>
                          <a:schemeClr val="accent3">
                            <a:lumMod val="50000"/>
                          </a:schemeClr>
                        </a:solidFill>
                      </a:rPr>
                      <a:t>RD$ 17,262.00</a:t>
                    </a:r>
                    <a:endParaRPr lang="en-US" b="1">
                      <a:solidFill>
                        <a:schemeClr val="accent3">
                          <a:lumMod val="50000"/>
                        </a:schemeClr>
                      </a:solidFill>
                    </a:endParaRPr>
                  </a:p>
                </c:rich>
              </c:tx>
              <c:spPr/>
              <c:dLblPos val="r"/>
              <c:showLegendKey val="0"/>
              <c:showVal val="1"/>
              <c:showCatName val="0"/>
              <c:showSerName val="1"/>
              <c:showPercent val="0"/>
              <c:showBubbleSize val="0"/>
              <c:extLst>
                <c:ext xmlns:c15="http://schemas.microsoft.com/office/drawing/2012/chart" uri="{CE6537A1-D6FC-4f65-9D91-7224C49458BB}">
                  <c15:layout/>
                </c:ext>
              </c:extLst>
            </c:dLbl>
            <c:spPr>
              <a:noFill/>
              <a:ln>
                <a:noFill/>
              </a:ln>
              <a:effectLst/>
            </c:spPr>
            <c:txPr>
              <a:bodyPr/>
              <a:lstStyle/>
              <a:p>
                <a:pPr>
                  <a:defRPr sz="2000"/>
                </a:pPr>
                <a:endParaRPr lang="es-E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'II.5 Salario prom.'!$A$4:$A$11</c:f>
              <c:strCache>
                <c:ptCount val="8"/>
                <c:pt idx="0">
                  <c:v>Dic.08</c:v>
                </c:pt>
                <c:pt idx="1">
                  <c:v>Dic.09</c:v>
                </c:pt>
                <c:pt idx="2">
                  <c:v>Dic.10</c:v>
                </c:pt>
                <c:pt idx="3">
                  <c:v>Dic.11</c:v>
                </c:pt>
                <c:pt idx="4">
                  <c:v>Dic.12</c:v>
                </c:pt>
                <c:pt idx="5">
                  <c:v>Dic.13</c:v>
                </c:pt>
                <c:pt idx="6">
                  <c:v>Dic.14</c:v>
                </c:pt>
                <c:pt idx="7">
                  <c:v>Nov.15</c:v>
                </c:pt>
              </c:strCache>
            </c:strRef>
          </c:cat>
          <c:val>
            <c:numRef>
              <c:f>'II.5 Salario prom.'!$B$4:$B$11</c:f>
              <c:numCache>
                <c:formatCode>_(* #,##0.00_);_(* \(#,##0.00\);_(* "-"??_);_(@_)</c:formatCode>
                <c:ptCount val="8"/>
                <c:pt idx="0">
                  <c:v>12759.99</c:v>
                </c:pt>
                <c:pt idx="1">
                  <c:v>13453</c:v>
                </c:pt>
                <c:pt idx="2">
                  <c:v>13943.45</c:v>
                </c:pt>
                <c:pt idx="3">
                  <c:v>15132</c:v>
                </c:pt>
                <c:pt idx="4">
                  <c:v>15533</c:v>
                </c:pt>
                <c:pt idx="5">
                  <c:v>16191</c:v>
                </c:pt>
                <c:pt idx="6">
                  <c:v>16415</c:v>
                </c:pt>
                <c:pt idx="7">
                  <c:v>17262</c:v>
                </c:pt>
              </c:numCache>
            </c:numRef>
          </c:val>
          <c:smooth val="0"/>
        </c:ser>
        <c:ser>
          <c:idx val="1"/>
          <c:order val="1"/>
          <c:tx>
            <c:strRef>
              <c:f>'II.5 Salario prom.'!$C$3</c:f>
              <c:strCache>
                <c:ptCount val="1"/>
                <c:pt idx="0">
                  <c:v>Público</c:v>
                </c:pt>
              </c:strCache>
            </c:strRef>
          </c:tx>
          <c:spPr>
            <a:ln w="34925">
              <a:gradFill>
                <a:gsLst>
                  <a:gs pos="0">
                    <a:srgbClr val="FFF200"/>
                  </a:gs>
                  <a:gs pos="45000">
                    <a:srgbClr val="FF7A00"/>
                  </a:gs>
                  <a:gs pos="70000">
                    <a:srgbClr val="FF0300"/>
                  </a:gs>
                  <a:gs pos="100000">
                    <a:srgbClr val="4D0808"/>
                  </a:gs>
                </a:gsLst>
                <a:lin ang="5400000" scaled="0"/>
              </a:gradFill>
            </a:ln>
          </c:spPr>
          <c:marker>
            <c:symbol val="circle"/>
            <c:size val="11"/>
            <c:spPr>
              <a:gradFill>
                <a:gsLst>
                  <a:gs pos="0">
                    <a:srgbClr val="FFF200"/>
                  </a:gs>
                  <a:gs pos="45000">
                    <a:srgbClr val="FF7A00"/>
                  </a:gs>
                  <a:gs pos="70000">
                    <a:srgbClr val="FF0300"/>
                  </a:gs>
                  <a:gs pos="100000">
                    <a:srgbClr val="4D0808"/>
                  </a:gs>
                </a:gsLst>
                <a:lin ang="5400000" scaled="0"/>
              </a:gradFill>
            </c:spPr>
          </c:marker>
          <c:dLbls>
            <c:dLbl>
              <c:idx val="7"/>
              <c:layout>
                <c:manualLayout>
                  <c:x val="-7.9537241058526699E-4"/>
                  <c:y val="-1.3807529561159746E-2"/>
                </c:manualLayout>
              </c:layout>
              <c:tx>
                <c:rich>
                  <a:bodyPr/>
                  <a:lstStyle/>
                  <a:p>
                    <a:pPr>
                      <a:defRPr sz="2000" b="1">
                        <a:solidFill>
                          <a:schemeClr val="accent6">
                            <a:lumMod val="50000"/>
                          </a:schemeClr>
                        </a:solidFill>
                      </a:defRPr>
                    </a:pPr>
                    <a:r>
                      <a:rPr lang="en-US" sz="2000" b="1">
                        <a:solidFill>
                          <a:schemeClr val="accent6">
                            <a:lumMod val="50000"/>
                          </a:schemeClr>
                        </a:solidFill>
                      </a:rPr>
                      <a:t>Público</a:t>
                    </a:r>
                  </a:p>
                  <a:p>
                    <a:pPr>
                      <a:defRPr sz="2000" b="1">
                        <a:solidFill>
                          <a:schemeClr val="accent6">
                            <a:lumMod val="50000"/>
                          </a:schemeClr>
                        </a:solidFill>
                      </a:defRPr>
                    </a:pPr>
                    <a:r>
                      <a:rPr lang="en-US" sz="2000" b="1">
                        <a:solidFill>
                          <a:schemeClr val="accent6">
                            <a:lumMod val="50000"/>
                          </a:schemeClr>
                        </a:solidFill>
                      </a:rPr>
                      <a:t> RD$ 22,010.00</a:t>
                    </a:r>
                    <a:endParaRPr lang="en-US" sz="1400" b="1">
                      <a:solidFill>
                        <a:schemeClr val="accent6">
                          <a:lumMod val="50000"/>
                        </a:schemeClr>
                      </a:solidFill>
                    </a:endParaRPr>
                  </a:p>
                </c:rich>
              </c:tx>
              <c:spPr/>
              <c:dLblPos val="r"/>
              <c:showLegendKey val="0"/>
              <c:showVal val="1"/>
              <c:showCatName val="0"/>
              <c:showSerName val="1"/>
              <c:showPercent val="0"/>
              <c:showBubbleSize val="0"/>
              <c:extLst>
                <c:ext xmlns:c15="http://schemas.microsoft.com/office/drawing/2012/chart" uri="{CE6537A1-D6FC-4f65-9D91-7224C49458BB}">
                  <c15:layout/>
                </c:ext>
              </c:extLst>
            </c:dLbl>
            <c:spPr>
              <a:noFill/>
              <a:ln>
                <a:noFill/>
              </a:ln>
              <a:effectLst/>
            </c:spPr>
            <c:txPr>
              <a:bodyPr/>
              <a:lstStyle/>
              <a:p>
                <a:pPr>
                  <a:defRPr sz="2000"/>
                </a:pPr>
                <a:endParaRPr lang="es-E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'II.5 Salario prom.'!$A$4:$A$11</c:f>
              <c:strCache>
                <c:ptCount val="8"/>
                <c:pt idx="0">
                  <c:v>Dic.08</c:v>
                </c:pt>
                <c:pt idx="1">
                  <c:v>Dic.09</c:v>
                </c:pt>
                <c:pt idx="2">
                  <c:v>Dic.10</c:v>
                </c:pt>
                <c:pt idx="3">
                  <c:v>Dic.11</c:v>
                </c:pt>
                <c:pt idx="4">
                  <c:v>Dic.12</c:v>
                </c:pt>
                <c:pt idx="5">
                  <c:v>Dic.13</c:v>
                </c:pt>
                <c:pt idx="6">
                  <c:v>Dic.14</c:v>
                </c:pt>
                <c:pt idx="7">
                  <c:v>Nov.15</c:v>
                </c:pt>
              </c:strCache>
            </c:strRef>
          </c:cat>
          <c:val>
            <c:numRef>
              <c:f>'II.5 Salario prom.'!$C$4:$C$11</c:f>
              <c:numCache>
                <c:formatCode>_(* #,##0.00_);_(* \(#,##0.00\);_(* "-"??_);_(@_)</c:formatCode>
                <c:ptCount val="8"/>
                <c:pt idx="0">
                  <c:v>15836.19</c:v>
                </c:pt>
                <c:pt idx="1">
                  <c:v>14653.84</c:v>
                </c:pt>
                <c:pt idx="2">
                  <c:v>16719.03</c:v>
                </c:pt>
                <c:pt idx="3">
                  <c:v>17464</c:v>
                </c:pt>
                <c:pt idx="4">
                  <c:v>18675</c:v>
                </c:pt>
                <c:pt idx="5">
                  <c:v>19327</c:v>
                </c:pt>
                <c:pt idx="6">
                  <c:v>20545</c:v>
                </c:pt>
                <c:pt idx="7">
                  <c:v>22010</c:v>
                </c:pt>
              </c:numCache>
            </c:numRef>
          </c:val>
          <c:smooth val="0"/>
        </c:ser>
        <c:ser>
          <c:idx val="2"/>
          <c:order val="2"/>
          <c:tx>
            <c:strRef>
              <c:f>'II.5 Salario prom.'!$D$3</c:f>
              <c:strCache>
                <c:ptCount val="1"/>
                <c:pt idx="0">
                  <c:v>Público Centralizado</c:v>
                </c:pt>
              </c:strCache>
            </c:strRef>
          </c:tx>
          <c:spPr>
            <a:ln w="34925">
              <a:gradFill>
                <a:gsLst>
                  <a:gs pos="0">
                    <a:srgbClr val="000082"/>
                  </a:gs>
                  <a:gs pos="26000">
                    <a:srgbClr val="0047FF"/>
                  </a:gs>
                  <a:gs pos="28000">
                    <a:srgbClr val="000082"/>
                  </a:gs>
                  <a:gs pos="42999">
                    <a:srgbClr val="0047FF"/>
                  </a:gs>
                  <a:gs pos="58000">
                    <a:srgbClr val="000082"/>
                  </a:gs>
                  <a:gs pos="72000">
                    <a:srgbClr val="0047FF"/>
                  </a:gs>
                  <a:gs pos="87000">
                    <a:srgbClr val="000082"/>
                  </a:gs>
                  <a:gs pos="100000">
                    <a:srgbClr val="0047FF"/>
                  </a:gs>
                </a:gsLst>
                <a:lin ang="5400000" scaled="0"/>
              </a:gradFill>
            </a:ln>
          </c:spPr>
          <c:marker>
            <c:symbol val="triangle"/>
            <c:size val="10"/>
            <c:spPr>
              <a:gradFill>
                <a:gsLst>
                  <a:gs pos="0">
                    <a:srgbClr val="000082"/>
                  </a:gs>
                  <a:gs pos="13000">
                    <a:srgbClr val="0047FF"/>
                  </a:gs>
                  <a:gs pos="28000">
                    <a:srgbClr val="000082"/>
                  </a:gs>
                  <a:gs pos="42999">
                    <a:srgbClr val="0047FF"/>
                  </a:gs>
                  <a:gs pos="58000">
                    <a:srgbClr val="000082"/>
                  </a:gs>
                  <a:gs pos="72000">
                    <a:srgbClr val="0047FF"/>
                  </a:gs>
                  <a:gs pos="87000">
                    <a:srgbClr val="000082"/>
                  </a:gs>
                  <a:gs pos="100000">
                    <a:srgbClr val="0047FF"/>
                  </a:gs>
                </a:gsLst>
                <a:lin ang="5400000" scaled="0"/>
              </a:gradFill>
            </c:spPr>
          </c:marker>
          <c:dLbls>
            <c:dLbl>
              <c:idx val="7"/>
              <c:layout>
                <c:manualLayout>
                  <c:x val="-1.7488081665007549E-3"/>
                  <c:y val="-3.3824318758438721E-2"/>
                </c:manualLayout>
              </c:layout>
              <c:tx>
                <c:rich>
                  <a:bodyPr/>
                  <a:lstStyle/>
                  <a:p>
                    <a:r>
                      <a:rPr lang="en-US" sz="2000" b="1">
                        <a:solidFill>
                          <a:schemeClr val="accent1">
                            <a:lumMod val="50000"/>
                          </a:schemeClr>
                        </a:solidFill>
                      </a:rPr>
                      <a:t>Público Centralizado </a:t>
                    </a:r>
                  </a:p>
                  <a:p>
                    <a:r>
                      <a:rPr lang="en-US" sz="2000" b="1">
                        <a:solidFill>
                          <a:schemeClr val="accent1">
                            <a:lumMod val="50000"/>
                          </a:schemeClr>
                        </a:solidFill>
                      </a:rPr>
                      <a:t>RD$ 24,425.00</a:t>
                    </a:r>
                    <a:endParaRPr lang="en-US"/>
                  </a:p>
                </c:rich>
              </c:tx>
              <c:dLblPos val="r"/>
              <c:showLegendKey val="0"/>
              <c:showVal val="1"/>
              <c:showCatName val="0"/>
              <c:showSerName val="1"/>
              <c:showPercent val="0"/>
              <c:showBubbleSize val="0"/>
              <c:extLst>
                <c:ext xmlns:c15="http://schemas.microsoft.com/office/drawing/2012/chart" uri="{CE6537A1-D6FC-4f65-9D91-7224C49458BB}">
                  <c15:layout/>
                </c:ext>
              </c:extLst>
            </c:dLbl>
            <c:spPr>
              <a:noFill/>
              <a:ln>
                <a:noFill/>
              </a:ln>
              <a:effectLst/>
            </c:spPr>
            <c:txPr>
              <a:bodyPr/>
              <a:lstStyle/>
              <a:p>
                <a:pPr>
                  <a:defRPr sz="1800" b="1">
                    <a:solidFill>
                      <a:schemeClr val="accent1">
                        <a:lumMod val="50000"/>
                      </a:schemeClr>
                    </a:solidFill>
                  </a:defRPr>
                </a:pPr>
                <a:endParaRPr lang="es-E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'II.5 Salario prom.'!$A$4:$A$11</c:f>
              <c:strCache>
                <c:ptCount val="8"/>
                <c:pt idx="0">
                  <c:v>Dic.08</c:v>
                </c:pt>
                <c:pt idx="1">
                  <c:v>Dic.09</c:v>
                </c:pt>
                <c:pt idx="2">
                  <c:v>Dic.10</c:v>
                </c:pt>
                <c:pt idx="3">
                  <c:v>Dic.11</c:v>
                </c:pt>
                <c:pt idx="4">
                  <c:v>Dic.12</c:v>
                </c:pt>
                <c:pt idx="5">
                  <c:v>Dic.13</c:v>
                </c:pt>
                <c:pt idx="6">
                  <c:v>Dic.14</c:v>
                </c:pt>
                <c:pt idx="7">
                  <c:v>Nov.15</c:v>
                </c:pt>
              </c:strCache>
            </c:strRef>
          </c:cat>
          <c:val>
            <c:numRef>
              <c:f>'II.5 Salario prom.'!$D$4:$D$11</c:f>
              <c:numCache>
                <c:formatCode>_(* #,##0.00_);_(* \(#,##0.00\);_(* "-"??_);_(@_)</c:formatCode>
                <c:ptCount val="8"/>
                <c:pt idx="0">
                  <c:v>14748.51</c:v>
                </c:pt>
                <c:pt idx="1">
                  <c:v>15155.74</c:v>
                </c:pt>
                <c:pt idx="2">
                  <c:v>15971.57</c:v>
                </c:pt>
                <c:pt idx="3">
                  <c:v>17399</c:v>
                </c:pt>
                <c:pt idx="4">
                  <c:v>17851</c:v>
                </c:pt>
                <c:pt idx="5">
                  <c:v>20747</c:v>
                </c:pt>
                <c:pt idx="6">
                  <c:v>22507</c:v>
                </c:pt>
                <c:pt idx="7">
                  <c:v>24425</c:v>
                </c:pt>
              </c:numCache>
            </c:numRef>
          </c:val>
          <c:smooth val="0"/>
        </c:ser>
        <c:dLbls>
          <c:showLegendKey val="0"/>
          <c:showVal val="0"/>
          <c:showCatName val="0"/>
          <c:showSerName val="0"/>
          <c:showPercent val="0"/>
          <c:showBubbleSize val="0"/>
        </c:dLbls>
        <c:marker val="1"/>
        <c:smooth val="0"/>
        <c:axId val="378395088"/>
        <c:axId val="380006896"/>
      </c:lineChart>
      <c:catAx>
        <c:axId val="378395088"/>
        <c:scaling>
          <c:orientation val="minMax"/>
        </c:scaling>
        <c:delete val="0"/>
        <c:axPos val="b"/>
        <c:numFmt formatCode="General" sourceLinked="0"/>
        <c:majorTickMark val="none"/>
        <c:minorTickMark val="none"/>
        <c:tickLblPos val="nextTo"/>
        <c:txPr>
          <a:bodyPr/>
          <a:lstStyle/>
          <a:p>
            <a:pPr>
              <a:defRPr sz="1800" b="1"/>
            </a:pPr>
            <a:endParaRPr lang="es-ES"/>
          </a:p>
        </c:txPr>
        <c:crossAx val="380006896"/>
        <c:crosses val="autoZero"/>
        <c:auto val="1"/>
        <c:lblAlgn val="ctr"/>
        <c:lblOffset val="100"/>
        <c:noMultiLvlLbl val="0"/>
      </c:catAx>
      <c:valAx>
        <c:axId val="380006896"/>
        <c:scaling>
          <c:orientation val="minMax"/>
          <c:max val="25000"/>
          <c:min val="10000"/>
        </c:scaling>
        <c:delete val="0"/>
        <c:axPos val="l"/>
        <c:numFmt formatCode="_(* #,##0.00_);_(* \(#,##0.00\);_(* &quot;-&quot;??_);_(@_)" sourceLinked="1"/>
        <c:majorTickMark val="none"/>
        <c:minorTickMark val="none"/>
        <c:tickLblPos val="nextTo"/>
        <c:txPr>
          <a:bodyPr/>
          <a:lstStyle/>
          <a:p>
            <a:pPr>
              <a:defRPr sz="1050"/>
            </a:pPr>
            <a:endParaRPr lang="es-ES"/>
          </a:p>
        </c:txPr>
        <c:crossAx val="378395088"/>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3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pPr>
            <a:r>
              <a:rPr lang="en-US" sz="1050"/>
              <a:t> Seguro de Vejez, Discapacidad y Sobrevivencia (SVDS)</a:t>
            </a:r>
          </a:p>
          <a:p>
            <a:pPr>
              <a:defRPr sz="1050"/>
            </a:pPr>
            <a:r>
              <a:rPr lang="es-DO" sz="1050" b="1" i="0" u="none" strike="noStrike" baseline="0">
                <a:effectLst/>
              </a:rPr>
              <a:t>Población Económicamente Activa Afiliada al SVDS por Género    </a:t>
            </a:r>
            <a:endParaRPr lang="en-US" sz="1050"/>
          </a:p>
        </c:rich>
      </c:tx>
      <c:layout>
        <c:manualLayout>
          <c:xMode val="edge"/>
          <c:yMode val="edge"/>
          <c:x val="0.28310774586012571"/>
          <c:y val="1.7386807540777149E-2"/>
        </c:manualLayout>
      </c:layout>
      <c:overlay val="0"/>
    </c:title>
    <c:autoTitleDeleted val="0"/>
    <c:plotArea>
      <c:layout>
        <c:manualLayout>
          <c:layoutTarget val="inner"/>
          <c:xMode val="edge"/>
          <c:yMode val="edge"/>
          <c:x val="6.5116487304758552E-2"/>
          <c:y val="0.2599154086630891"/>
          <c:w val="0.85292748854154432"/>
          <c:h val="0.52586121002390629"/>
        </c:manualLayout>
      </c:layout>
      <c:lineChart>
        <c:grouping val="standard"/>
        <c:varyColors val="0"/>
        <c:ser>
          <c:idx val="0"/>
          <c:order val="0"/>
          <c:tx>
            <c:strRef>
              <c:f>III.5.9.PEA_Pensiones_Género!$E$3</c:f>
              <c:strCache>
                <c:ptCount val="1"/>
                <c:pt idx="0">
                  <c:v>% Hombres /PEA</c:v>
                </c:pt>
              </c:strCache>
            </c:strRef>
          </c:tx>
          <c:dLbls>
            <c:dLbl>
              <c:idx val="0"/>
              <c:layout>
                <c:manualLayout>
                  <c:x val="-2.8140176507787273E-2"/>
                  <c:y val="-2.862396977447882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2.8601984453435859E-2"/>
                  <c:y val="-2.995224323074265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2.9597792813211756E-2"/>
                  <c:y val="-2.761110275228340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3.0095641029945882E-2"/>
                  <c:y val="-3.344712484187883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2.7786825154318448E-2"/>
                  <c:y val="-3.061626850783779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2.9633945010605071E-2"/>
                  <c:y val="-3.194454196410161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3.954802259887006E-2"/>
                  <c:y val="-3.145477942026337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3.6668961155974907E-2"/>
                  <c:y val="-4.193969384400198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3.1444912669498504E-2"/>
                  <c:y val="-3.561395589882480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3.0250994745059958E-2"/>
                  <c:y val="-3.426963349326556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2.7266241466021622E-3"/>
                  <c:y val="-1.079689506896744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2.7375201288244885E-2"/>
                  <c:y val="-4.3392518409206049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800">
                    <a:solidFill>
                      <a:srgbClr val="00206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III.5.9.PEA_Pensiones_Género!$A$4:$A$16</c:f>
              <c:strCache>
                <c:ptCount val="11"/>
                <c:pt idx="0">
                  <c:v>2005</c:v>
                </c:pt>
                <c:pt idx="1">
                  <c:v>2006</c:v>
                </c:pt>
                <c:pt idx="2">
                  <c:v>2007</c:v>
                </c:pt>
                <c:pt idx="3">
                  <c:v>2008</c:v>
                </c:pt>
                <c:pt idx="4">
                  <c:v>2009</c:v>
                </c:pt>
                <c:pt idx="5">
                  <c:v>2010</c:v>
                </c:pt>
                <c:pt idx="6">
                  <c:v>2011</c:v>
                </c:pt>
                <c:pt idx="7">
                  <c:v>2012</c:v>
                </c:pt>
                <c:pt idx="8">
                  <c:v>2013</c:v>
                </c:pt>
                <c:pt idx="9">
                  <c:v>2014</c:v>
                </c:pt>
                <c:pt idx="10">
                  <c:v>Nov. 2015</c:v>
                </c:pt>
              </c:strCache>
            </c:strRef>
          </c:cat>
          <c:val>
            <c:numRef>
              <c:f>III.5.9.PEA_Pensiones_Género!$E$4:$E$16</c:f>
              <c:numCache>
                <c:formatCode>0.0%</c:formatCode>
                <c:ptCount val="11"/>
                <c:pt idx="0">
                  <c:v>0.60781652254894247</c:v>
                </c:pt>
                <c:pt idx="1">
                  <c:v>0.60658924291511795</c:v>
                </c:pt>
                <c:pt idx="2">
                  <c:v>0.61422441397978056</c:v>
                </c:pt>
                <c:pt idx="3">
                  <c:v>0.60003377160269811</c:v>
                </c:pt>
                <c:pt idx="4">
                  <c:v>0.62470531252640438</c:v>
                </c:pt>
                <c:pt idx="5">
                  <c:v>0.61495424947904653</c:v>
                </c:pt>
                <c:pt idx="6">
                  <c:v>0.60464196509247115</c:v>
                </c:pt>
                <c:pt idx="7">
                  <c:v>0.59522771771370908</c:v>
                </c:pt>
                <c:pt idx="8">
                  <c:v>0.60178845781728629</c:v>
                </c:pt>
                <c:pt idx="9">
                  <c:v>0.6246174236167904</c:v>
                </c:pt>
                <c:pt idx="10">
                  <c:v>0.59167631497092943</c:v>
                </c:pt>
              </c:numCache>
            </c:numRef>
          </c:val>
          <c:smooth val="0"/>
        </c:ser>
        <c:ser>
          <c:idx val="1"/>
          <c:order val="1"/>
          <c:tx>
            <c:strRef>
              <c:f>III.5.9.PEA_Pensiones_Género!$F$3</c:f>
              <c:strCache>
                <c:ptCount val="1"/>
                <c:pt idx="0">
                  <c:v>%  Mujeres / PEA</c:v>
                </c:pt>
              </c:strCache>
            </c:strRef>
          </c:tx>
          <c:dLbls>
            <c:dLbl>
              <c:idx val="0"/>
              <c:layout>
                <c:manualLayout>
                  <c:x val="-3.624330540771957E-2"/>
                  <c:y val="-3.375160907434341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3.954802259887006E-2"/>
                  <c:y val="2.988791639123413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4.519774011299435E-2"/>
                  <c:y val="-3.652967558928610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3.3898305084745763E-2"/>
                  <c:y val="3.985055518831217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3.954802259886999E-2"/>
                  <c:y val="3.652967558928615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3.954802259887006E-2"/>
                  <c:y val="3.985055518831217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3.954802259887006E-2"/>
                  <c:y val="3.652967558928615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3.954802259887006E-2"/>
                  <c:y val="2.988791639123413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2.8248587570621469E-2"/>
                  <c:y val="4.649231438636420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2.9221157308449711E-2"/>
                  <c:y val="4.276191545104748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4.0222118084622055E-3"/>
                  <c:y val="-4.0000000000001042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2.73753280839895E-2"/>
                  <c:y val="5.12820672108798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800">
                    <a:solidFill>
                      <a:srgbClr val="C0000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III.5.9.PEA_Pensiones_Género!$A$4:$A$16</c:f>
              <c:strCache>
                <c:ptCount val="11"/>
                <c:pt idx="0">
                  <c:v>2005</c:v>
                </c:pt>
                <c:pt idx="1">
                  <c:v>2006</c:v>
                </c:pt>
                <c:pt idx="2">
                  <c:v>2007</c:v>
                </c:pt>
                <c:pt idx="3">
                  <c:v>2008</c:v>
                </c:pt>
                <c:pt idx="4">
                  <c:v>2009</c:v>
                </c:pt>
                <c:pt idx="5">
                  <c:v>2010</c:v>
                </c:pt>
                <c:pt idx="6">
                  <c:v>2011</c:v>
                </c:pt>
                <c:pt idx="7">
                  <c:v>2012</c:v>
                </c:pt>
                <c:pt idx="8">
                  <c:v>2013</c:v>
                </c:pt>
                <c:pt idx="9">
                  <c:v>2014</c:v>
                </c:pt>
                <c:pt idx="10">
                  <c:v>Nov. 2015</c:v>
                </c:pt>
              </c:strCache>
            </c:strRef>
          </c:cat>
          <c:val>
            <c:numRef>
              <c:f>III.5.9.PEA_Pensiones_Género!$F$4:$F$16</c:f>
              <c:numCache>
                <c:formatCode>0.0%</c:formatCode>
                <c:ptCount val="11"/>
                <c:pt idx="0">
                  <c:v>0.39218347745105753</c:v>
                </c:pt>
                <c:pt idx="1">
                  <c:v>0.3934107570848821</c:v>
                </c:pt>
                <c:pt idx="2">
                  <c:v>0.3857755860202195</c:v>
                </c:pt>
                <c:pt idx="3">
                  <c:v>0.39996622839730195</c:v>
                </c:pt>
                <c:pt idx="4">
                  <c:v>0.37529468747359562</c:v>
                </c:pt>
                <c:pt idx="5">
                  <c:v>0.38504575052095352</c:v>
                </c:pt>
                <c:pt idx="6">
                  <c:v>0.3953580349075288</c:v>
                </c:pt>
                <c:pt idx="7">
                  <c:v>0.40477228228629086</c:v>
                </c:pt>
                <c:pt idx="8">
                  <c:v>0.39821154218271371</c:v>
                </c:pt>
                <c:pt idx="9">
                  <c:v>0.37538257638320965</c:v>
                </c:pt>
                <c:pt idx="10">
                  <c:v>0.40832368502907063</c:v>
                </c:pt>
              </c:numCache>
            </c:numRef>
          </c:val>
          <c:smooth val="0"/>
        </c:ser>
        <c:ser>
          <c:idx val="2"/>
          <c:order val="2"/>
          <c:tx>
            <c:strRef>
              <c:f>III.5.9.PEA_Pensiones_Género!$J$3</c:f>
              <c:strCache>
                <c:ptCount val="1"/>
                <c:pt idx="0">
                  <c:v>% Hombres Cotizantes</c:v>
                </c:pt>
              </c:strCache>
            </c:strRef>
          </c:tx>
          <c:marker>
            <c:spPr>
              <a:solidFill>
                <a:schemeClr val="accent5">
                  <a:lumMod val="50000"/>
                </a:schemeClr>
              </a:solidFill>
            </c:spPr>
          </c:marker>
          <c:dLbls>
            <c:dLbl>
              <c:idx val="0"/>
              <c:layout>
                <c:manualLayout>
                  <c:x val="-3.0983104723849818E-2"/>
                  <c:y val="3.344712484187883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3.1906608688839266E-2"/>
                  <c:y val="2.712138689670155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4.519774011299435E-2"/>
                  <c:y val="3.844473040254411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4.519774011299435E-2"/>
                  <c:y val="3.494975491140375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3.954802259886999E-2"/>
                  <c:y val="3.145477942026337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4.519774011299435E-2"/>
                  <c:y val="3.145477942026337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3.954802259887006E-2"/>
                  <c:y val="2.096985294684224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3.3898305084745763E-2"/>
                  <c:y val="3.494975491140375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3.3898305084745763E-2"/>
                  <c:y val="2.096985294684224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2.7622405408279187E-2"/>
                  <c:y val="2.237892237992544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7.2252111512262985E-3"/>
                  <c:y val="4.5106382978723405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2.2573315634703096E-2"/>
                  <c:y val="3.1871868289191127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800">
                    <a:solidFill>
                      <a:schemeClr val="accent3">
                        <a:lumMod val="5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III.5.9.PEA_Pensiones_Género!$A$4:$A$16</c:f>
              <c:strCache>
                <c:ptCount val="11"/>
                <c:pt idx="0">
                  <c:v>2005</c:v>
                </c:pt>
                <c:pt idx="1">
                  <c:v>2006</c:v>
                </c:pt>
                <c:pt idx="2">
                  <c:v>2007</c:v>
                </c:pt>
                <c:pt idx="3">
                  <c:v>2008</c:v>
                </c:pt>
                <c:pt idx="4">
                  <c:v>2009</c:v>
                </c:pt>
                <c:pt idx="5">
                  <c:v>2010</c:v>
                </c:pt>
                <c:pt idx="6">
                  <c:v>2011</c:v>
                </c:pt>
                <c:pt idx="7">
                  <c:v>2012</c:v>
                </c:pt>
                <c:pt idx="8">
                  <c:v>2013</c:v>
                </c:pt>
                <c:pt idx="9">
                  <c:v>2014</c:v>
                </c:pt>
                <c:pt idx="10">
                  <c:v>Nov. 2015</c:v>
                </c:pt>
              </c:strCache>
            </c:strRef>
          </c:cat>
          <c:val>
            <c:numRef>
              <c:f>III.5.9.PEA_Pensiones_Género!$J$4:$J$16</c:f>
              <c:numCache>
                <c:formatCode>0.0%</c:formatCode>
                <c:ptCount val="11"/>
                <c:pt idx="0">
                  <c:v>0.6160944120392905</c:v>
                </c:pt>
                <c:pt idx="1">
                  <c:v>0.60152060121509565</c:v>
                </c:pt>
                <c:pt idx="2">
                  <c:v>0.60198772890584018</c:v>
                </c:pt>
                <c:pt idx="3">
                  <c:v>0.59432552866759958</c:v>
                </c:pt>
                <c:pt idx="4">
                  <c:v>0.56694265277525657</c:v>
                </c:pt>
                <c:pt idx="5">
                  <c:v>0.56742975165622755</c:v>
                </c:pt>
                <c:pt idx="6">
                  <c:v>0.56520220795313736</c:v>
                </c:pt>
                <c:pt idx="7">
                  <c:v>0.56240429946628434</c:v>
                </c:pt>
                <c:pt idx="8">
                  <c:v>0.55924401909705834</c:v>
                </c:pt>
                <c:pt idx="9">
                  <c:v>0.55398066285156644</c:v>
                </c:pt>
                <c:pt idx="10">
                  <c:v>0.55133440270715506</c:v>
                </c:pt>
              </c:numCache>
            </c:numRef>
          </c:val>
          <c:smooth val="0"/>
        </c:ser>
        <c:ser>
          <c:idx val="3"/>
          <c:order val="3"/>
          <c:tx>
            <c:strRef>
              <c:f>III.5.9.PEA_Pensiones_Género!$K$3</c:f>
              <c:strCache>
                <c:ptCount val="1"/>
                <c:pt idx="0">
                  <c:v>% Mujeres Cotizantes</c:v>
                </c:pt>
              </c:strCache>
            </c:strRef>
          </c:tx>
          <c:dLbls>
            <c:dLbl>
              <c:idx val="0"/>
              <c:layout>
                <c:manualLayout>
                  <c:x val="-3.190660868883928E-2"/>
                  <c:y val="2.340828415556335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4.7080979284369114E-2"/>
                  <c:y val="-3.320879599026015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4.519774011299435E-2"/>
                  <c:y val="3.652967558928622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3.954802259887006E-2"/>
                  <c:y val="-2.988791639123407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3.954802259886999E-2"/>
                  <c:y val="-3.652967558928610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4.3314500941619587E-2"/>
                  <c:y val="-3.652967558928615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3.2015065913370999E-2"/>
                  <c:y val="-2.988791639123413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3.3898305084745763E-2"/>
                  <c:y val="-2.988791639123413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3.0131826741996232E-2"/>
                  <c:y val="-2.65670367922081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2.7560581335662353E-2"/>
                  <c:y val="-2.71296155804562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1.5132050237687393E-3"/>
                  <c:y val="-8.9600714804266481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2.0953265835879652E-2"/>
                  <c:y val="-2.4139525172989808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800">
                    <a:solidFill>
                      <a:srgbClr val="7030A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III.5.9.PEA_Pensiones_Género!$A$4:$A$16</c:f>
              <c:strCache>
                <c:ptCount val="11"/>
                <c:pt idx="0">
                  <c:v>2005</c:v>
                </c:pt>
                <c:pt idx="1">
                  <c:v>2006</c:v>
                </c:pt>
                <c:pt idx="2">
                  <c:v>2007</c:v>
                </c:pt>
                <c:pt idx="3">
                  <c:v>2008</c:v>
                </c:pt>
                <c:pt idx="4">
                  <c:v>2009</c:v>
                </c:pt>
                <c:pt idx="5">
                  <c:v>2010</c:v>
                </c:pt>
                <c:pt idx="6">
                  <c:v>2011</c:v>
                </c:pt>
                <c:pt idx="7">
                  <c:v>2012</c:v>
                </c:pt>
                <c:pt idx="8">
                  <c:v>2013</c:v>
                </c:pt>
                <c:pt idx="9">
                  <c:v>2014</c:v>
                </c:pt>
                <c:pt idx="10">
                  <c:v>Nov. 2015</c:v>
                </c:pt>
              </c:strCache>
            </c:strRef>
          </c:cat>
          <c:val>
            <c:numRef>
              <c:f>III.5.9.PEA_Pensiones_Género!$K$4:$K$16</c:f>
              <c:numCache>
                <c:formatCode>0.0%</c:formatCode>
                <c:ptCount val="11"/>
                <c:pt idx="0">
                  <c:v>0.3839055879607095</c:v>
                </c:pt>
                <c:pt idx="1">
                  <c:v>0.39847939878490429</c:v>
                </c:pt>
                <c:pt idx="2">
                  <c:v>0.39801227109415976</c:v>
                </c:pt>
                <c:pt idx="3">
                  <c:v>0.40567447133240048</c:v>
                </c:pt>
                <c:pt idx="4">
                  <c:v>0.43305734722474343</c:v>
                </c:pt>
                <c:pt idx="5">
                  <c:v>0.43257024834377239</c:v>
                </c:pt>
                <c:pt idx="6">
                  <c:v>0.4347977920468627</c:v>
                </c:pt>
                <c:pt idx="7">
                  <c:v>0.43759570053371566</c:v>
                </c:pt>
                <c:pt idx="8">
                  <c:v>0.44075598090294166</c:v>
                </c:pt>
                <c:pt idx="9">
                  <c:v>0.44601933714843356</c:v>
                </c:pt>
                <c:pt idx="10">
                  <c:v>0.44866559729284494</c:v>
                </c:pt>
              </c:numCache>
            </c:numRef>
          </c:val>
          <c:smooth val="0"/>
        </c:ser>
        <c:dLbls>
          <c:showLegendKey val="0"/>
          <c:showVal val="0"/>
          <c:showCatName val="0"/>
          <c:showSerName val="0"/>
          <c:showPercent val="0"/>
          <c:showBubbleSize val="0"/>
        </c:dLbls>
        <c:marker val="1"/>
        <c:smooth val="0"/>
        <c:axId val="500219248"/>
        <c:axId val="500219640"/>
      </c:lineChart>
      <c:catAx>
        <c:axId val="500219248"/>
        <c:scaling>
          <c:orientation val="minMax"/>
        </c:scaling>
        <c:delete val="0"/>
        <c:axPos val="b"/>
        <c:numFmt formatCode="General" sourceLinked="1"/>
        <c:majorTickMark val="none"/>
        <c:minorTickMark val="none"/>
        <c:tickLblPos val="nextTo"/>
        <c:txPr>
          <a:bodyPr/>
          <a:lstStyle/>
          <a:p>
            <a:pPr>
              <a:defRPr sz="900"/>
            </a:pPr>
            <a:endParaRPr lang="es-ES"/>
          </a:p>
        </c:txPr>
        <c:crossAx val="500219640"/>
        <c:crosses val="autoZero"/>
        <c:auto val="1"/>
        <c:lblAlgn val="ctr"/>
        <c:lblOffset val="100"/>
        <c:noMultiLvlLbl val="0"/>
      </c:catAx>
      <c:valAx>
        <c:axId val="500219640"/>
        <c:scaling>
          <c:orientation val="minMax"/>
        </c:scaling>
        <c:delete val="1"/>
        <c:axPos val="l"/>
        <c:numFmt formatCode="0.0%" sourceLinked="1"/>
        <c:majorTickMark val="none"/>
        <c:minorTickMark val="none"/>
        <c:tickLblPos val="nextTo"/>
        <c:crossAx val="500219248"/>
        <c:crosses val="autoZero"/>
        <c:crossBetween val="between"/>
      </c:valAx>
    </c:plotArea>
    <c:legend>
      <c:legendPos val="b"/>
      <c:layout>
        <c:manualLayout>
          <c:xMode val="edge"/>
          <c:yMode val="edge"/>
          <c:x val="4.7448359999776146E-2"/>
          <c:y val="0.10443474820424517"/>
          <c:w val="0.9"/>
          <c:h val="4.3066018021632638E-2"/>
        </c:manualLayout>
      </c:layout>
      <c:overlay val="0"/>
      <c:txPr>
        <a:bodyPr/>
        <a:lstStyle/>
        <a:p>
          <a:pPr>
            <a:defRPr sz="9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600"/>
            </a:pPr>
            <a:r>
              <a:rPr lang="es-DO" sz="1600"/>
              <a:t>Afiliados y Cotizantes del SVDS por Género</a:t>
            </a:r>
          </a:p>
        </c:rich>
      </c:tx>
      <c:layout>
        <c:manualLayout>
          <c:xMode val="edge"/>
          <c:yMode val="edge"/>
          <c:x val="0.35790801386664917"/>
          <c:y val="1.208036277851782E-2"/>
        </c:manualLayout>
      </c:layout>
      <c:overlay val="1"/>
    </c:title>
    <c:autoTitleDeleted val="0"/>
    <c:plotArea>
      <c:layout>
        <c:manualLayout>
          <c:layoutTarget val="inner"/>
          <c:xMode val="edge"/>
          <c:yMode val="edge"/>
          <c:x val="8.7168156480972619E-2"/>
          <c:y val="0.17785966510600196"/>
          <c:w val="0.78412305916747649"/>
          <c:h val="0.69481809728775723"/>
        </c:manualLayout>
      </c:layout>
      <c:barChart>
        <c:barDir val="bar"/>
        <c:grouping val="clustered"/>
        <c:varyColors val="0"/>
        <c:ser>
          <c:idx val="0"/>
          <c:order val="0"/>
          <c:tx>
            <c:strRef>
              <c:f>'III.5.10.Cot.Afil X Sexo'!$B$24</c:f>
              <c:strCache>
                <c:ptCount val="1"/>
                <c:pt idx="0">
                  <c:v>Afiliados Masculinos</c:v>
                </c:pt>
              </c:strCache>
            </c:strRef>
          </c:tx>
          <c:spPr>
            <a:solidFill>
              <a:schemeClr val="accent3">
                <a:lumMod val="75000"/>
              </a:schemeClr>
            </a:solidFill>
          </c:spPr>
          <c:invertIfNegative val="0"/>
          <c:dLbls>
            <c:dLbl>
              <c:idx val="10"/>
              <c:layout>
                <c:manualLayout>
                  <c:x val="-6.4102564102565046E-3"/>
                  <c:y val="0"/>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1.8467768508995158E-3"/>
                  <c:y val="-6.717924785426441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400" b="1"/>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'III.5.10.Cot.Afil X Sexo'!$A$25:$A$37</c:f>
              <c:strCache>
                <c:ptCount val="13"/>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Nov.15</c:v>
                </c:pt>
              </c:strCache>
            </c:strRef>
          </c:cat>
          <c:val>
            <c:numRef>
              <c:f>'III.5.10.Cot.Afil X Sexo'!$B$25:$B$37</c:f>
              <c:numCache>
                <c:formatCode>#,##0</c:formatCode>
                <c:ptCount val="13"/>
                <c:pt idx="0">
                  <c:v>568158</c:v>
                </c:pt>
                <c:pt idx="1">
                  <c:v>685676</c:v>
                </c:pt>
                <c:pt idx="2">
                  <c:v>828566</c:v>
                </c:pt>
                <c:pt idx="3">
                  <c:v>930043</c:v>
                </c:pt>
                <c:pt idx="4">
                  <c:v>1055907</c:v>
                </c:pt>
                <c:pt idx="5">
                  <c:v>1165631</c:v>
                </c:pt>
                <c:pt idx="6">
                  <c:v>1281904</c:v>
                </c:pt>
                <c:pt idx="7">
                  <c:v>1383536</c:v>
                </c:pt>
                <c:pt idx="8">
                  <c:v>1480731</c:v>
                </c:pt>
                <c:pt idx="9">
                  <c:v>1570504</c:v>
                </c:pt>
                <c:pt idx="10">
                  <c:v>1661097</c:v>
                </c:pt>
                <c:pt idx="11">
                  <c:v>1759926</c:v>
                </c:pt>
                <c:pt idx="12">
                  <c:v>1856017</c:v>
                </c:pt>
              </c:numCache>
            </c:numRef>
          </c:val>
        </c:ser>
        <c:ser>
          <c:idx val="1"/>
          <c:order val="1"/>
          <c:tx>
            <c:strRef>
              <c:f>'III.5.10.Cot.Afil X Sexo'!$C$24</c:f>
              <c:strCache>
                <c:ptCount val="1"/>
                <c:pt idx="0">
                  <c:v>Cotizantes Masculinos</c:v>
                </c:pt>
              </c:strCache>
            </c:strRef>
          </c:tx>
          <c:spPr>
            <a:solidFill>
              <a:schemeClr val="accent3">
                <a:lumMod val="60000"/>
                <a:lumOff val="40000"/>
              </a:schemeClr>
            </a:solidFill>
          </c:spPr>
          <c:invertIfNegative val="0"/>
          <c:dLbls>
            <c:spPr>
              <a:noFill/>
              <a:ln>
                <a:noFill/>
              </a:ln>
              <a:effectLst/>
            </c:spPr>
            <c:txPr>
              <a:bodyPr/>
              <a:lstStyle/>
              <a:p>
                <a:pPr>
                  <a:defRPr sz="1400" b="1"/>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'III.5.10.Cot.Afil X Sexo'!$A$25:$A$37</c:f>
              <c:strCache>
                <c:ptCount val="13"/>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Nov.15</c:v>
                </c:pt>
              </c:strCache>
            </c:strRef>
          </c:cat>
          <c:val>
            <c:numRef>
              <c:f>'III.5.10.Cot.Afil X Sexo'!$C$25:$C$37</c:f>
              <c:numCache>
                <c:formatCode>#,##0</c:formatCode>
                <c:ptCount val="13"/>
                <c:pt idx="0">
                  <c:v>350832</c:v>
                </c:pt>
                <c:pt idx="1">
                  <c:v>356770</c:v>
                </c:pt>
                <c:pt idx="2">
                  <c:v>386054</c:v>
                </c:pt>
                <c:pt idx="3">
                  <c:v>486327</c:v>
                </c:pt>
                <c:pt idx="4">
                  <c:v>549737</c:v>
                </c:pt>
                <c:pt idx="5">
                  <c:v>552570</c:v>
                </c:pt>
                <c:pt idx="6">
                  <c:v>634008</c:v>
                </c:pt>
                <c:pt idx="7">
                  <c:v>675015</c:v>
                </c:pt>
                <c:pt idx="8">
                  <c:v>702422</c:v>
                </c:pt>
                <c:pt idx="9">
                  <c:v>726141</c:v>
                </c:pt>
                <c:pt idx="10">
                  <c:v>770060</c:v>
                </c:pt>
                <c:pt idx="11">
                  <c:v>835620</c:v>
                </c:pt>
                <c:pt idx="12">
                  <c:v>865466</c:v>
                </c:pt>
              </c:numCache>
            </c:numRef>
          </c:val>
        </c:ser>
        <c:ser>
          <c:idx val="2"/>
          <c:order val="2"/>
          <c:tx>
            <c:strRef>
              <c:f>'III.5.10.Cot.Afil X Sexo'!$D$24</c:f>
              <c:strCache>
                <c:ptCount val="1"/>
                <c:pt idx="0">
                  <c:v>Afiliados Femeninos</c:v>
                </c:pt>
              </c:strCache>
            </c:strRef>
          </c:tx>
          <c:spPr>
            <a:solidFill>
              <a:schemeClr val="accent6">
                <a:lumMod val="75000"/>
              </a:schemeClr>
            </a:solidFill>
          </c:spPr>
          <c:invertIfNegative val="0"/>
          <c:dLbls>
            <c:numFmt formatCode="#,##0.00;[Red]#,##0.00" sourceLinked="0"/>
            <c:spPr>
              <a:noFill/>
              <a:ln>
                <a:noFill/>
              </a:ln>
              <a:effectLst/>
            </c:spPr>
            <c:txPr>
              <a:bodyPr wrap="square" lIns="38100" tIns="19050" rIns="38100" bIns="19050" anchor="ctr">
                <a:spAutoFit/>
              </a:bodyPr>
              <a:lstStyle/>
              <a:p>
                <a:pPr>
                  <a:defRPr sz="1200" b="1">
                    <a:solidFill>
                      <a:sysClr val="windowText" lastClr="00000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'III.5.10.Cot.Afil X Sexo'!$A$25:$A$37</c:f>
              <c:strCache>
                <c:ptCount val="13"/>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Nov.15</c:v>
                </c:pt>
              </c:strCache>
            </c:strRef>
          </c:cat>
          <c:val>
            <c:numRef>
              <c:f>'III.5.10.Cot.Afil X Sexo'!$D$25:$D$37</c:f>
              <c:numCache>
                <c:formatCode>#,##0</c:formatCode>
                <c:ptCount val="13"/>
                <c:pt idx="0">
                  <c:v>-418380</c:v>
                </c:pt>
                <c:pt idx="1">
                  <c:v>-504526</c:v>
                </c:pt>
                <c:pt idx="2">
                  <c:v>-600955</c:v>
                </c:pt>
                <c:pt idx="3">
                  <c:v>-658578</c:v>
                </c:pt>
                <c:pt idx="4">
                  <c:v>-741120</c:v>
                </c:pt>
                <c:pt idx="5">
                  <c:v>-818089</c:v>
                </c:pt>
                <c:pt idx="6">
                  <c:v>-911986</c:v>
                </c:pt>
                <c:pt idx="7">
                  <c:v>-991247</c:v>
                </c:pt>
                <c:pt idx="8">
                  <c:v>-1072243</c:v>
                </c:pt>
                <c:pt idx="9">
                  <c:v>-1143945</c:v>
                </c:pt>
                <c:pt idx="10">
                  <c:v>-1220033</c:v>
                </c:pt>
                <c:pt idx="11">
                  <c:v>-1309974</c:v>
                </c:pt>
                <c:pt idx="12">
                  <c:v>-1397357</c:v>
                </c:pt>
              </c:numCache>
            </c:numRef>
          </c:val>
        </c:ser>
        <c:ser>
          <c:idx val="3"/>
          <c:order val="3"/>
          <c:tx>
            <c:strRef>
              <c:f>'III.5.10.Cot.Afil X Sexo'!$E$24</c:f>
              <c:strCache>
                <c:ptCount val="1"/>
                <c:pt idx="0">
                  <c:v>Cotizantes Femeninos</c:v>
                </c:pt>
              </c:strCache>
            </c:strRef>
          </c:tx>
          <c:spPr>
            <a:solidFill>
              <a:schemeClr val="accent6">
                <a:lumMod val="60000"/>
                <a:lumOff val="40000"/>
              </a:schemeClr>
            </a:solidFill>
          </c:spPr>
          <c:invertIfNegative val="0"/>
          <c:dLbls>
            <c:dLbl>
              <c:idx val="0"/>
              <c:layout>
                <c:manualLayout>
                  <c:x val="-6.2774639045825489E-2"/>
                  <c:y val="2.275312855517633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6.1519146264908973E-2"/>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6.7796610169491525E-2"/>
                  <c:y val="8.342717427781019E-17"/>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6.6541117388575016E-2"/>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6.6541117388575016E-2"/>
                  <c:y val="2.275312855517633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7.1563088512241052E-2"/>
                  <c:y val="-2.275312855517633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7.2818581293157561E-2"/>
                  <c:y val="-2.275312855517633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7.0307595731324501E-2"/>
                  <c:y val="-4.5506257110352671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7.2818581293157561E-2"/>
                  <c:y val="2.275312855517633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7.1563088512241052E-2"/>
                  <c:y val="-2.2753128555176752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7.5329369139592012E-2"/>
                  <c:y val="-4.1713587138905095E-17"/>
                </c:manualLayout>
              </c:layout>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7.5329566854990579E-2"/>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12"/>
              <c:layout>
                <c:manualLayout>
                  <c:x val="-6.50385626054613E-2"/>
                  <c:y val="-3.0790132909628392E-17"/>
                </c:manualLayout>
              </c:layout>
              <c:showLegendKey val="0"/>
              <c:showVal val="1"/>
              <c:showCatName val="0"/>
              <c:showSerName val="0"/>
              <c:showPercent val="0"/>
              <c:showBubbleSize val="0"/>
              <c:extLst>
                <c:ext xmlns:c15="http://schemas.microsoft.com/office/drawing/2012/chart" uri="{CE6537A1-D6FC-4f65-9D91-7224C49458BB}">
                  <c15:layout/>
                </c:ext>
              </c:extLst>
            </c:dLbl>
            <c:numFmt formatCode="#,##0.00;[Red]#,##0.00" sourceLinked="0"/>
            <c:spPr>
              <a:noFill/>
              <a:ln>
                <a:noFill/>
              </a:ln>
              <a:effectLst/>
            </c:spPr>
            <c:txPr>
              <a:bodyPr wrap="square" lIns="38100" tIns="19050" rIns="38100" bIns="19050" anchor="ctr">
                <a:spAutoFit/>
              </a:bodyPr>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'III.5.10.Cot.Afil X Sexo'!$A$25:$A$37</c:f>
              <c:strCache>
                <c:ptCount val="13"/>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Nov.15</c:v>
                </c:pt>
              </c:strCache>
            </c:strRef>
          </c:cat>
          <c:val>
            <c:numRef>
              <c:f>'III.5.10.Cot.Afil X Sexo'!$E$25:$E$37</c:f>
              <c:numCache>
                <c:formatCode>#,##0</c:formatCode>
                <c:ptCount val="13"/>
                <c:pt idx="0">
                  <c:v>-226037</c:v>
                </c:pt>
                <c:pt idx="1">
                  <c:v>-236516</c:v>
                </c:pt>
                <c:pt idx="2">
                  <c:v>-240561</c:v>
                </c:pt>
                <c:pt idx="3">
                  <c:v>-322169</c:v>
                </c:pt>
                <c:pt idx="4">
                  <c:v>-363466</c:v>
                </c:pt>
                <c:pt idx="5">
                  <c:v>-377173</c:v>
                </c:pt>
                <c:pt idx="6">
                  <c:v>-484285</c:v>
                </c:pt>
                <c:pt idx="7">
                  <c:v>-514586</c:v>
                </c:pt>
                <c:pt idx="8">
                  <c:v>-540358</c:v>
                </c:pt>
                <c:pt idx="9">
                  <c:v>-564996</c:v>
                </c:pt>
                <c:pt idx="10">
                  <c:v>-606906</c:v>
                </c:pt>
                <c:pt idx="11">
                  <c:v>-672772</c:v>
                </c:pt>
                <c:pt idx="12">
                  <c:v>-704300</c:v>
                </c:pt>
              </c:numCache>
            </c:numRef>
          </c:val>
        </c:ser>
        <c:dLbls>
          <c:showLegendKey val="0"/>
          <c:showVal val="0"/>
          <c:showCatName val="0"/>
          <c:showSerName val="0"/>
          <c:showPercent val="0"/>
          <c:showBubbleSize val="0"/>
        </c:dLbls>
        <c:gapWidth val="6"/>
        <c:overlap val="97"/>
        <c:axId val="500221600"/>
        <c:axId val="500220424"/>
      </c:barChart>
      <c:catAx>
        <c:axId val="500221600"/>
        <c:scaling>
          <c:orientation val="minMax"/>
        </c:scaling>
        <c:delete val="0"/>
        <c:axPos val="l"/>
        <c:numFmt formatCode="General" sourceLinked="0"/>
        <c:majorTickMark val="out"/>
        <c:minorTickMark val="none"/>
        <c:tickLblPos val="high"/>
        <c:crossAx val="500220424"/>
        <c:crossesAt val="0"/>
        <c:auto val="1"/>
        <c:lblAlgn val="ctr"/>
        <c:lblOffset val="100"/>
        <c:noMultiLvlLbl val="0"/>
      </c:catAx>
      <c:valAx>
        <c:axId val="500220424"/>
        <c:scaling>
          <c:orientation val="minMax"/>
        </c:scaling>
        <c:delete val="0"/>
        <c:axPos val="b"/>
        <c:numFmt formatCode="#,##0;[Red]#,##0" sourceLinked="0"/>
        <c:majorTickMark val="out"/>
        <c:minorTickMark val="none"/>
        <c:tickLblPos val="nextTo"/>
        <c:crossAx val="500221600"/>
        <c:crosses val="autoZero"/>
        <c:crossBetween val="between"/>
      </c:valAx>
    </c:plotArea>
    <c:legend>
      <c:legendPos val="r"/>
      <c:layout>
        <c:manualLayout>
          <c:xMode val="edge"/>
          <c:yMode val="edge"/>
          <c:x val="9.3140022165967964E-2"/>
          <c:y val="5.6943183335602998E-2"/>
          <c:w val="0.79605435143632741"/>
          <c:h val="3.6723418121958173E-2"/>
        </c:manualLayout>
      </c:layout>
      <c:overlay val="0"/>
      <c:txPr>
        <a:bodyPr/>
        <a:lstStyle/>
        <a:p>
          <a:pPr>
            <a:defRPr sz="14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3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title>
      <c:tx>
        <c:rich>
          <a:bodyPr/>
          <a:lstStyle/>
          <a:p>
            <a:pPr>
              <a:defRPr sz="2000"/>
            </a:pPr>
            <a:r>
              <a:rPr lang="en-US" sz="2000"/>
              <a:t>Seguro de Vejez, Discapacidad y Sobrevivencia (SVDS)</a:t>
            </a:r>
          </a:p>
          <a:p>
            <a:pPr>
              <a:defRPr sz="2000"/>
            </a:pPr>
            <a:r>
              <a:rPr lang="en-US" sz="2000"/>
              <a:t>Traspasos Totales por Año</a:t>
            </a:r>
          </a:p>
        </c:rich>
      </c:tx>
      <c:layout>
        <c:manualLayout>
          <c:xMode val="edge"/>
          <c:yMode val="edge"/>
          <c:x val="0.3365595404869669"/>
          <c:y val="1.3405149398147055E-2"/>
        </c:manualLayout>
      </c:layout>
      <c:overlay val="1"/>
    </c:title>
    <c:autoTitleDeleted val="0"/>
    <c:view3D>
      <c:rotX val="20"/>
      <c:rotY val="20"/>
      <c:depthPercent val="100"/>
      <c:rAngAx val="1"/>
    </c:view3D>
    <c:floor>
      <c:thickness val="0"/>
    </c:floor>
    <c:sideWall>
      <c:thickness val="0"/>
      <c:spPr>
        <a:ln>
          <a:noFill/>
        </a:ln>
      </c:spPr>
    </c:sideWall>
    <c:backWall>
      <c:thickness val="0"/>
      <c:spPr>
        <a:ln>
          <a:noFill/>
        </a:ln>
      </c:spPr>
    </c:backWall>
    <c:plotArea>
      <c:layout>
        <c:manualLayout>
          <c:layoutTarget val="inner"/>
          <c:xMode val="edge"/>
          <c:yMode val="edge"/>
          <c:x val="9.770230288930452E-3"/>
          <c:y val="0.15260467291360424"/>
          <c:w val="0.97024052197613508"/>
          <c:h val="0.64670421107009268"/>
        </c:manualLayout>
      </c:layout>
      <c:bar3DChart>
        <c:barDir val="col"/>
        <c:grouping val="clustered"/>
        <c:varyColors val="0"/>
        <c:ser>
          <c:idx val="0"/>
          <c:order val="0"/>
          <c:tx>
            <c:strRef>
              <c:f>'III.5.11.Traspasos anual'!$B$4</c:f>
              <c:strCache>
                <c:ptCount val="1"/>
                <c:pt idx="0">
                  <c:v>Casos</c:v>
                </c:pt>
              </c:strCache>
            </c:strRef>
          </c:tx>
          <c:spPr>
            <a:gradFill flip="none" rotWithShape="1">
              <a:gsLst>
                <a:gs pos="88000">
                  <a:schemeClr val="accent3">
                    <a:lumMod val="50000"/>
                  </a:schemeClr>
                </a:gs>
                <a:gs pos="0">
                  <a:srgbClr val="FFF200"/>
                </a:gs>
                <a:gs pos="10000">
                  <a:srgbClr val="FF7A00"/>
                </a:gs>
                <a:gs pos="61000">
                  <a:srgbClr val="00B0F0"/>
                </a:gs>
                <a:gs pos="100000">
                  <a:srgbClr val="4D0808"/>
                </a:gs>
              </a:gsLst>
              <a:path path="rect">
                <a:fillToRect l="100000" t="100000"/>
              </a:path>
              <a:tileRect r="-100000" b="-100000"/>
            </a:gradFill>
            <a:ln>
              <a:solidFill>
                <a:srgbClr val="990099"/>
              </a:solidFill>
            </a:ln>
          </c:spPr>
          <c:invertIfNegative val="0"/>
          <c:dPt>
            <c:idx val="7"/>
            <c:invertIfNegative val="0"/>
            <c:bubble3D val="0"/>
          </c:dPt>
          <c:dPt>
            <c:idx val="8"/>
            <c:invertIfNegative val="0"/>
            <c:bubble3D val="0"/>
          </c:dPt>
          <c:dPt>
            <c:idx val="9"/>
            <c:invertIfNegative val="0"/>
            <c:bubble3D val="0"/>
          </c:dPt>
          <c:dLbls>
            <c:dLbl>
              <c:idx val="0"/>
              <c:layout>
                <c:manualLayout>
                  <c:x val="9.9634557251947042E-3"/>
                  <c:y val="-5.293553054178381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9.9634557251947042E-3"/>
                  <c:y val="-6.617716070407163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2698368939926255E-2"/>
                  <c:y val="-3.98470800530550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0898230763128691E-2"/>
                  <c:y val="-4.737428198872668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9.9912345500504842E-3"/>
                  <c:y val="-5.864981119646016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1.3598778433203612E-2"/>
                  <c:y val="-2.895027624309392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6253409035159039E-2"/>
                  <c:y val="-2.691941822189353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2618640945968441E-2"/>
                  <c:y val="-2.876089383854642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1.3545606417621234E-2"/>
                  <c:y val="-3.4664520526094457E-2"/>
                </c:manualLayout>
              </c:layout>
              <c:spPr/>
              <c:txPr>
                <a:bodyPr/>
                <a:lstStyle/>
                <a:p>
                  <a:pPr>
                    <a:defRPr sz="2800" b="0">
                      <a:solidFill>
                        <a:sysClr val="windowText" lastClr="000000"/>
                      </a:solidFill>
                    </a:defRPr>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1.7042555190547266E-2"/>
                  <c:y val="-2.390709697070224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8.038277673476299E-3"/>
                  <c:y val="-1.8741636360309288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28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'III.5.11.Traspasos anual'!$A$5:$A$15</c:f>
              <c:strCache>
                <c:ptCount val="11"/>
                <c:pt idx="0">
                  <c:v>2005</c:v>
                </c:pt>
                <c:pt idx="1">
                  <c:v>2006</c:v>
                </c:pt>
                <c:pt idx="2">
                  <c:v>2007</c:v>
                </c:pt>
                <c:pt idx="3">
                  <c:v>2008</c:v>
                </c:pt>
                <c:pt idx="4">
                  <c:v>2009</c:v>
                </c:pt>
                <c:pt idx="5">
                  <c:v>2010</c:v>
                </c:pt>
                <c:pt idx="6">
                  <c:v>2011</c:v>
                </c:pt>
                <c:pt idx="7">
                  <c:v>2012</c:v>
                </c:pt>
                <c:pt idx="8">
                  <c:v>2013</c:v>
                </c:pt>
                <c:pt idx="9">
                  <c:v>2014</c:v>
                </c:pt>
                <c:pt idx="10">
                  <c:v>Ene-Nov. 15</c:v>
                </c:pt>
              </c:strCache>
            </c:strRef>
          </c:cat>
          <c:val>
            <c:numRef>
              <c:f>'III.5.11.Traspasos anual'!$B$5:$B$15</c:f>
              <c:numCache>
                <c:formatCode>_(* #,##0_);_(* \(#,##0\);_(* "-"??_);_(@_)</c:formatCode>
                <c:ptCount val="11"/>
                <c:pt idx="0">
                  <c:v>733</c:v>
                </c:pt>
                <c:pt idx="1">
                  <c:v>1859</c:v>
                </c:pt>
                <c:pt idx="2">
                  <c:v>1247</c:v>
                </c:pt>
                <c:pt idx="3">
                  <c:v>1028</c:v>
                </c:pt>
                <c:pt idx="4">
                  <c:v>25287</c:v>
                </c:pt>
                <c:pt idx="5">
                  <c:v>10644</c:v>
                </c:pt>
                <c:pt idx="6">
                  <c:v>6268</c:v>
                </c:pt>
                <c:pt idx="7">
                  <c:v>10046</c:v>
                </c:pt>
                <c:pt idx="8">
                  <c:v>15740</c:v>
                </c:pt>
                <c:pt idx="9">
                  <c:v>32365</c:v>
                </c:pt>
                <c:pt idx="10">
                  <c:v>38433</c:v>
                </c:pt>
              </c:numCache>
            </c:numRef>
          </c:val>
        </c:ser>
        <c:dLbls>
          <c:showLegendKey val="0"/>
          <c:showVal val="0"/>
          <c:showCatName val="0"/>
          <c:showSerName val="0"/>
          <c:showPercent val="0"/>
          <c:showBubbleSize val="0"/>
        </c:dLbls>
        <c:gapWidth val="43"/>
        <c:gapDepth val="165"/>
        <c:shape val="cone"/>
        <c:axId val="500206704"/>
        <c:axId val="500202000"/>
        <c:axId val="0"/>
      </c:bar3DChart>
      <c:catAx>
        <c:axId val="500206704"/>
        <c:scaling>
          <c:orientation val="minMax"/>
        </c:scaling>
        <c:delete val="0"/>
        <c:axPos val="b"/>
        <c:numFmt formatCode="General" sourceLinked="1"/>
        <c:majorTickMark val="none"/>
        <c:minorTickMark val="none"/>
        <c:tickLblPos val="nextTo"/>
        <c:txPr>
          <a:bodyPr/>
          <a:lstStyle/>
          <a:p>
            <a:pPr>
              <a:defRPr sz="2000"/>
            </a:pPr>
            <a:endParaRPr lang="es-ES"/>
          </a:p>
        </c:txPr>
        <c:crossAx val="500202000"/>
        <c:crosses val="autoZero"/>
        <c:auto val="1"/>
        <c:lblAlgn val="ctr"/>
        <c:lblOffset val="100"/>
        <c:noMultiLvlLbl val="0"/>
      </c:catAx>
      <c:valAx>
        <c:axId val="500202000"/>
        <c:scaling>
          <c:orientation val="minMax"/>
        </c:scaling>
        <c:delete val="1"/>
        <c:axPos val="l"/>
        <c:numFmt formatCode="_(* #,##0_);_(* \(#,##0\);_(* &quot;-&quot;??_);_(@_)" sourceLinked="1"/>
        <c:majorTickMark val="out"/>
        <c:minorTickMark val="none"/>
        <c:tickLblPos val="nextTo"/>
        <c:crossAx val="500206704"/>
        <c:crosses val="autoZero"/>
        <c:crossBetween val="between"/>
      </c:valAx>
    </c:plotArea>
    <c:plotVisOnly val="1"/>
    <c:dispBlanksAs val="gap"/>
    <c:showDLblsOverMax val="0"/>
  </c:chart>
  <c:spPr>
    <a:ln>
      <a:noFill/>
    </a:ln>
  </c:spPr>
  <c:printSettings>
    <c:headerFooter/>
    <c:pageMargins b="0.75000000000001177" l="0.70000000000000062" r="0.70000000000000062" t="0.75000000000001177" header="0.30000000000000032" footer="0.30000000000000032"/>
    <c:pageSetup/>
  </c:printSettings>
  <c:userShapes r:id="rId1"/>
</c:chartSpace>
</file>

<file path=xl/charts/chart3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Traspasos Recibidos en Entidades de Reparto</a:t>
            </a:r>
          </a:p>
        </c:rich>
      </c:tx>
      <c:layout>
        <c:manualLayout>
          <c:xMode val="edge"/>
          <c:yMode val="edge"/>
          <c:x val="0.2623915825635087"/>
          <c:y val="3.4652081937402608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2.1758342124421712E-2"/>
          <c:y val="0.19933017222193777"/>
          <c:w val="0.95630992253822755"/>
          <c:h val="0.63018722990608356"/>
        </c:manualLayout>
      </c:layout>
      <c:bar3DChart>
        <c:barDir val="col"/>
        <c:grouping val="stacked"/>
        <c:varyColors val="0"/>
        <c:ser>
          <c:idx val="0"/>
          <c:order val="0"/>
          <c:tx>
            <c:strRef>
              <c:f>'III.5.12.Trasp. recibidos'!$L$4</c:f>
              <c:strCache>
                <c:ptCount val="1"/>
                <c:pt idx="0">
                  <c:v>FPBC</c:v>
                </c:pt>
              </c:strCache>
            </c:strRef>
          </c:tx>
          <c:invertIfNegative val="0"/>
          <c:cat>
            <c:strRef>
              <c:f>'III.5.12.Trasp. recibidos'!$A$5:$A$15</c:f>
              <c:strCache>
                <c:ptCount val="11"/>
                <c:pt idx="0">
                  <c:v>2005</c:v>
                </c:pt>
                <c:pt idx="1">
                  <c:v>2006</c:v>
                </c:pt>
                <c:pt idx="2">
                  <c:v>2007</c:v>
                </c:pt>
                <c:pt idx="3">
                  <c:v>2008</c:v>
                </c:pt>
                <c:pt idx="4">
                  <c:v>2009</c:v>
                </c:pt>
                <c:pt idx="5">
                  <c:v>2010</c:v>
                </c:pt>
                <c:pt idx="6">
                  <c:v>2011</c:v>
                </c:pt>
                <c:pt idx="7">
                  <c:v>2012</c:v>
                </c:pt>
                <c:pt idx="8">
                  <c:v>2013</c:v>
                </c:pt>
                <c:pt idx="9">
                  <c:v>2014</c:v>
                </c:pt>
                <c:pt idx="10">
                  <c:v>Ene-Nov.15</c:v>
                </c:pt>
              </c:strCache>
            </c:strRef>
          </c:cat>
          <c:val>
            <c:numRef>
              <c:f>'III.5.12.Trasp. recibidos'!$L$5:$L$15</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er>
        <c:ser>
          <c:idx val="1"/>
          <c:order val="1"/>
          <c:tx>
            <c:strRef>
              <c:f>'III.5.12.Trasp. recibidos'!$M$4</c:f>
              <c:strCache>
                <c:ptCount val="1"/>
                <c:pt idx="0">
                  <c:v>Bco. Reservas</c:v>
                </c:pt>
              </c:strCache>
            </c:strRef>
          </c:tx>
          <c:invertIfNegative val="0"/>
          <c:cat>
            <c:strRef>
              <c:f>'III.5.12.Trasp. recibidos'!$A$5:$A$15</c:f>
              <c:strCache>
                <c:ptCount val="11"/>
                <c:pt idx="0">
                  <c:v>2005</c:v>
                </c:pt>
                <c:pt idx="1">
                  <c:v>2006</c:v>
                </c:pt>
                <c:pt idx="2">
                  <c:v>2007</c:v>
                </c:pt>
                <c:pt idx="3">
                  <c:v>2008</c:v>
                </c:pt>
                <c:pt idx="4">
                  <c:v>2009</c:v>
                </c:pt>
                <c:pt idx="5">
                  <c:v>2010</c:v>
                </c:pt>
                <c:pt idx="6">
                  <c:v>2011</c:v>
                </c:pt>
                <c:pt idx="7">
                  <c:v>2012</c:v>
                </c:pt>
                <c:pt idx="8">
                  <c:v>2013</c:v>
                </c:pt>
                <c:pt idx="9">
                  <c:v>2014</c:v>
                </c:pt>
                <c:pt idx="10">
                  <c:v>Ene-Nov.15</c:v>
                </c:pt>
              </c:strCache>
            </c:strRef>
          </c:cat>
          <c:val>
            <c:numRef>
              <c:f>'III.5.12.Trasp. recibidos'!$M$5:$M$15</c:f>
              <c:numCache>
                <c:formatCode>#,##0</c:formatCode>
                <c:ptCount val="11"/>
                <c:pt idx="0">
                  <c:v>0</c:v>
                </c:pt>
                <c:pt idx="1">
                  <c:v>0</c:v>
                </c:pt>
                <c:pt idx="2">
                  <c:v>0</c:v>
                </c:pt>
                <c:pt idx="3">
                  <c:v>0</c:v>
                </c:pt>
                <c:pt idx="4">
                  <c:v>0</c:v>
                </c:pt>
                <c:pt idx="5">
                  <c:v>1</c:v>
                </c:pt>
                <c:pt idx="6">
                  <c:v>0</c:v>
                </c:pt>
                <c:pt idx="7">
                  <c:v>513</c:v>
                </c:pt>
                <c:pt idx="8">
                  <c:v>0</c:v>
                </c:pt>
                <c:pt idx="9">
                  <c:v>0</c:v>
                </c:pt>
                <c:pt idx="10">
                  <c:v>11</c:v>
                </c:pt>
              </c:numCache>
            </c:numRef>
          </c:val>
        </c:ser>
        <c:ser>
          <c:idx val="2"/>
          <c:order val="2"/>
          <c:tx>
            <c:strRef>
              <c:f>'III.5.12.Trasp. recibidos'!$N$4</c:f>
              <c:strCache>
                <c:ptCount val="1"/>
                <c:pt idx="0">
                  <c:v>INABIMA</c:v>
                </c:pt>
              </c:strCache>
            </c:strRef>
          </c:tx>
          <c:invertIfNegative val="0"/>
          <c:cat>
            <c:strRef>
              <c:f>'III.5.12.Trasp. recibidos'!$A$5:$A$15</c:f>
              <c:strCache>
                <c:ptCount val="11"/>
                <c:pt idx="0">
                  <c:v>2005</c:v>
                </c:pt>
                <c:pt idx="1">
                  <c:v>2006</c:v>
                </c:pt>
                <c:pt idx="2">
                  <c:v>2007</c:v>
                </c:pt>
                <c:pt idx="3">
                  <c:v>2008</c:v>
                </c:pt>
                <c:pt idx="4">
                  <c:v>2009</c:v>
                </c:pt>
                <c:pt idx="5">
                  <c:v>2010</c:v>
                </c:pt>
                <c:pt idx="6">
                  <c:v>2011</c:v>
                </c:pt>
                <c:pt idx="7">
                  <c:v>2012</c:v>
                </c:pt>
                <c:pt idx="8">
                  <c:v>2013</c:v>
                </c:pt>
                <c:pt idx="9">
                  <c:v>2014</c:v>
                </c:pt>
                <c:pt idx="10">
                  <c:v>Ene-Nov.15</c:v>
                </c:pt>
              </c:strCache>
            </c:strRef>
          </c:cat>
          <c:val>
            <c:numRef>
              <c:f>'III.5.12.Trasp. recibidos'!$N$5:$N$15</c:f>
              <c:numCache>
                <c:formatCode>#,##0</c:formatCode>
                <c:ptCount val="11"/>
                <c:pt idx="0">
                  <c:v>0</c:v>
                </c:pt>
                <c:pt idx="1">
                  <c:v>0</c:v>
                </c:pt>
                <c:pt idx="2">
                  <c:v>0</c:v>
                </c:pt>
                <c:pt idx="3">
                  <c:v>0</c:v>
                </c:pt>
                <c:pt idx="4">
                  <c:v>21139</c:v>
                </c:pt>
                <c:pt idx="5">
                  <c:v>3310</c:v>
                </c:pt>
                <c:pt idx="6">
                  <c:v>1778</c:v>
                </c:pt>
                <c:pt idx="7">
                  <c:v>2945</c:v>
                </c:pt>
                <c:pt idx="8">
                  <c:v>2249</c:v>
                </c:pt>
                <c:pt idx="9">
                  <c:v>7035</c:v>
                </c:pt>
                <c:pt idx="10">
                  <c:v>5112</c:v>
                </c:pt>
              </c:numCache>
            </c:numRef>
          </c:val>
        </c:ser>
        <c:ser>
          <c:idx val="3"/>
          <c:order val="3"/>
          <c:tx>
            <c:strRef>
              <c:f>'III.5.12.Trasp. recibidos'!$O$4</c:f>
              <c:strCache>
                <c:ptCount val="1"/>
                <c:pt idx="0">
                  <c:v>Ministerio de  Hacienda</c:v>
                </c:pt>
              </c:strCache>
            </c:strRef>
          </c:tx>
          <c:invertIfNegative val="0"/>
          <c:dLbls>
            <c:dLbl>
              <c:idx val="0"/>
              <c:layout>
                <c:manualLayout>
                  <c:x val="0"/>
                  <c:y val="-3.877917655930088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0"/>
                  <c:y val="-4.847397069912596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0"/>
                  <c:y val="-4.459605304319617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0"/>
                  <c:y val="-4.071813538726580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1.1980652326679454E-2"/>
                  <c:y val="-6.90682150191571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1.3607095113494502E-2"/>
                  <c:y val="-8.7140877366744696E-2"/>
                </c:manualLayout>
              </c:layout>
              <c:tx>
                <c:rich>
                  <a:bodyPr/>
                  <a:lstStyle/>
                  <a:p>
                    <a:r>
                      <a:rPr lang="en-US"/>
                      <a:t>23,721</a:t>
                    </a:r>
                  </a:p>
                </c:rich>
              </c:tx>
              <c:showLegendKey val="0"/>
              <c:showVal val="0"/>
              <c:showCatName val="0"/>
              <c:showSerName val="0"/>
              <c:showPercent val="0"/>
              <c:showBubbleSize val="0"/>
              <c:extLst>
                <c:ext xmlns:c15="http://schemas.microsoft.com/office/drawing/2012/chart" uri="{CE6537A1-D6FC-4f65-9D91-7224C49458BB}">
                  <c15:layout/>
                </c:ext>
              </c:extLst>
            </c:dLbl>
            <c:dLbl>
              <c:idx val="6"/>
              <c:layout>
                <c:manualLayout>
                  <c:x val="7.701226531908292E-3"/>
                  <c:y val="-3.9798256978453656E-2"/>
                </c:manualLayout>
              </c:layout>
              <c:tx>
                <c:rich>
                  <a:bodyPr/>
                  <a:lstStyle/>
                  <a:p>
                    <a:r>
                      <a:rPr lang="en-US" sz="1400"/>
                      <a:t>7,425</a:t>
                    </a:r>
                  </a:p>
                </c:rich>
              </c:tx>
              <c:showLegendKey val="0"/>
              <c:showVal val="0"/>
              <c:showCatName val="0"/>
              <c:showSerName val="0"/>
              <c:showPercent val="0"/>
              <c:showBubbleSize val="0"/>
              <c:extLst>
                <c:ext xmlns:c15="http://schemas.microsoft.com/office/drawing/2012/chart" uri="{CE6537A1-D6FC-4f65-9D91-7224C49458BB}">
                  <c15:layout/>
                </c:ext>
              </c:extLst>
            </c:dLbl>
            <c:dLbl>
              <c:idx val="7"/>
              <c:layout>
                <c:manualLayout>
                  <c:x val="1.1530211890660901E-2"/>
                  <c:y val="-3.7010070501158072E-2"/>
                </c:manualLayout>
              </c:layout>
              <c:tx>
                <c:rich>
                  <a:bodyPr/>
                  <a:lstStyle/>
                  <a:p>
                    <a:pPr>
                      <a:defRPr sz="1400" b="0"/>
                    </a:pPr>
                    <a:r>
                      <a:rPr lang="en-US" sz="1400" b="0"/>
                      <a:t>1,977</a:t>
                    </a:r>
                  </a:p>
                </c:rich>
              </c:tx>
              <c:spPr/>
              <c:showLegendKey val="0"/>
              <c:showVal val="0"/>
              <c:showCatName val="0"/>
              <c:showSerName val="0"/>
              <c:showPercent val="0"/>
              <c:showBubbleSize val="0"/>
              <c:extLst>
                <c:ext xmlns:c15="http://schemas.microsoft.com/office/drawing/2012/chart" uri="{CE6537A1-D6FC-4f65-9D91-7224C49458BB}">
                  <c15:layout/>
                </c:ext>
              </c:extLst>
            </c:dLbl>
            <c:dLbl>
              <c:idx val="8"/>
              <c:layout>
                <c:manualLayout>
                  <c:x val="1.1072401050512158E-2"/>
                  <c:y val="-6.1829250128136878E-2"/>
                </c:manualLayout>
              </c:layout>
              <c:tx>
                <c:rich>
                  <a:bodyPr/>
                  <a:lstStyle/>
                  <a:p>
                    <a:r>
                      <a:rPr lang="en-US"/>
                      <a:t>1,212</a:t>
                    </a:r>
                  </a:p>
                </c:rich>
              </c:tx>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1.6083795307109319E-2"/>
                  <c:y val="-4.830601259174777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1.7346938310918145E-2"/>
                  <c:y val="-3.7158471224421501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'III.5.12.Trasp. recibidos'!$A$5:$A$15</c:f>
              <c:strCache>
                <c:ptCount val="11"/>
                <c:pt idx="0">
                  <c:v>2005</c:v>
                </c:pt>
                <c:pt idx="1">
                  <c:v>2006</c:v>
                </c:pt>
                <c:pt idx="2">
                  <c:v>2007</c:v>
                </c:pt>
                <c:pt idx="3">
                  <c:v>2008</c:v>
                </c:pt>
                <c:pt idx="4">
                  <c:v>2009</c:v>
                </c:pt>
                <c:pt idx="5">
                  <c:v>2010</c:v>
                </c:pt>
                <c:pt idx="6">
                  <c:v>2011</c:v>
                </c:pt>
                <c:pt idx="7">
                  <c:v>2012</c:v>
                </c:pt>
                <c:pt idx="8">
                  <c:v>2013</c:v>
                </c:pt>
                <c:pt idx="9">
                  <c:v>2014</c:v>
                </c:pt>
                <c:pt idx="10">
                  <c:v>Ene-Nov.15</c:v>
                </c:pt>
              </c:strCache>
            </c:strRef>
          </c:cat>
          <c:val>
            <c:numRef>
              <c:f>'III.5.12.Trasp. recibidos'!$O$5:$O$15</c:f>
              <c:numCache>
                <c:formatCode>#,##0</c:formatCode>
                <c:ptCount val="11"/>
                <c:pt idx="0">
                  <c:v>0</c:v>
                </c:pt>
                <c:pt idx="1">
                  <c:v>20</c:v>
                </c:pt>
                <c:pt idx="2">
                  <c:v>0</c:v>
                </c:pt>
                <c:pt idx="3">
                  <c:v>0</c:v>
                </c:pt>
                <c:pt idx="4">
                  <c:v>2582</c:v>
                </c:pt>
                <c:pt idx="5">
                  <c:v>4114</c:v>
                </c:pt>
                <c:pt idx="6">
                  <c:v>199</c:v>
                </c:pt>
                <c:pt idx="7">
                  <c:v>17</c:v>
                </c:pt>
                <c:pt idx="8">
                  <c:v>1532</c:v>
                </c:pt>
                <c:pt idx="9">
                  <c:v>462</c:v>
                </c:pt>
                <c:pt idx="10">
                  <c:v>426</c:v>
                </c:pt>
              </c:numCache>
            </c:numRef>
          </c:val>
        </c:ser>
        <c:dLbls>
          <c:showLegendKey val="0"/>
          <c:showVal val="0"/>
          <c:showCatName val="0"/>
          <c:showSerName val="0"/>
          <c:showPercent val="0"/>
          <c:showBubbleSize val="0"/>
        </c:dLbls>
        <c:gapWidth val="17"/>
        <c:shape val="cylinder"/>
        <c:axId val="500211800"/>
        <c:axId val="500204352"/>
        <c:axId val="0"/>
      </c:bar3DChart>
      <c:catAx>
        <c:axId val="500211800"/>
        <c:scaling>
          <c:orientation val="minMax"/>
        </c:scaling>
        <c:delete val="0"/>
        <c:axPos val="b"/>
        <c:numFmt formatCode="General" sourceLinked="1"/>
        <c:majorTickMark val="none"/>
        <c:minorTickMark val="none"/>
        <c:tickLblPos val="nextTo"/>
        <c:txPr>
          <a:bodyPr/>
          <a:lstStyle/>
          <a:p>
            <a:pPr>
              <a:defRPr sz="1200"/>
            </a:pPr>
            <a:endParaRPr lang="es-ES"/>
          </a:p>
        </c:txPr>
        <c:crossAx val="500204352"/>
        <c:crosses val="autoZero"/>
        <c:auto val="1"/>
        <c:lblAlgn val="ctr"/>
        <c:lblOffset val="100"/>
        <c:noMultiLvlLbl val="0"/>
      </c:catAx>
      <c:valAx>
        <c:axId val="500204352"/>
        <c:scaling>
          <c:orientation val="minMax"/>
        </c:scaling>
        <c:delete val="1"/>
        <c:axPos val="l"/>
        <c:numFmt formatCode="#,##0" sourceLinked="1"/>
        <c:majorTickMark val="out"/>
        <c:minorTickMark val="none"/>
        <c:tickLblPos val="nextTo"/>
        <c:crossAx val="500211800"/>
        <c:crosses val="autoZero"/>
        <c:crossBetween val="between"/>
      </c:valAx>
      <c:spPr>
        <a:noFill/>
        <a:ln w="25400">
          <a:noFill/>
        </a:ln>
      </c:spPr>
    </c:plotArea>
    <c:legend>
      <c:legendPos val="b"/>
      <c:layout>
        <c:manualLayout>
          <c:xMode val="edge"/>
          <c:yMode val="edge"/>
          <c:x val="0.12028221639893172"/>
          <c:y val="9.4544241460428932E-2"/>
          <c:w val="0.84826283199441688"/>
          <c:h val="3.9755426611277539E-2"/>
        </c:manualLayout>
      </c:layout>
      <c:overlay val="0"/>
      <c:txPr>
        <a:bodyPr/>
        <a:lstStyle/>
        <a:p>
          <a:pPr>
            <a:defRPr sz="1100"/>
          </a:pPr>
          <a:endParaRPr lang="es-ES"/>
        </a:p>
      </c:txPr>
    </c:legend>
    <c:plotVisOnly val="1"/>
    <c:dispBlanksAs val="gap"/>
    <c:showDLblsOverMax val="0"/>
  </c:chart>
  <c:spPr>
    <a:ln>
      <a:noFill/>
    </a:ln>
  </c:spPr>
  <c:printSettings>
    <c:headerFooter/>
    <c:pageMargins b="0.75000000000000233" l="0.70000000000000062" r="0.70000000000000062" t="0.75000000000000233" header="0.30000000000000032" footer="0.30000000000000032"/>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Traspasos Recibidos en Entidades de CCI</a:t>
            </a:r>
          </a:p>
        </c:rich>
      </c:tx>
      <c:layout>
        <c:manualLayout>
          <c:xMode val="edge"/>
          <c:yMode val="edge"/>
          <c:x val="0.24190479633453035"/>
          <c:y val="3.8816108685104316E-2"/>
        </c:manualLayout>
      </c:layout>
      <c:overlay val="0"/>
    </c:title>
    <c:autoTitleDeleted val="0"/>
    <c:view3D>
      <c:rotX val="15"/>
      <c:rotY val="20"/>
      <c:depthPercent val="100"/>
      <c:rAngAx val="1"/>
    </c:view3D>
    <c:floor>
      <c:thickness val="0"/>
    </c:floor>
    <c:sideWall>
      <c:thickness val="0"/>
    </c:sideWall>
    <c:backWall>
      <c:thickness val="0"/>
      <c:spPr>
        <a:ln>
          <a:noFill/>
        </a:ln>
      </c:spPr>
    </c:backWall>
    <c:plotArea>
      <c:layout>
        <c:manualLayout>
          <c:layoutTarget val="inner"/>
          <c:xMode val="edge"/>
          <c:yMode val="edge"/>
          <c:x val="1.9539493109050711E-2"/>
          <c:y val="0.21875376903854787"/>
          <c:w val="0.95940431431777218"/>
          <c:h val="0.64896254780379525"/>
        </c:manualLayout>
      </c:layout>
      <c:bar3DChart>
        <c:barDir val="col"/>
        <c:grouping val="stacked"/>
        <c:varyColors val="0"/>
        <c:ser>
          <c:idx val="0"/>
          <c:order val="0"/>
          <c:tx>
            <c:strRef>
              <c:f>'III.5.12.Trasp. recibidos'!$B$4</c:f>
              <c:strCache>
                <c:ptCount val="1"/>
                <c:pt idx="0">
                  <c:v>Camino </c:v>
                </c:pt>
              </c:strCache>
            </c:strRef>
          </c:tx>
          <c:invertIfNegative val="0"/>
          <c:cat>
            <c:strRef>
              <c:f>'III.5.12.Trasp. recibidos'!$A$5:$A$15</c:f>
              <c:strCache>
                <c:ptCount val="11"/>
                <c:pt idx="0">
                  <c:v>2005</c:v>
                </c:pt>
                <c:pt idx="1">
                  <c:v>2006</c:v>
                </c:pt>
                <c:pt idx="2">
                  <c:v>2007</c:v>
                </c:pt>
                <c:pt idx="3">
                  <c:v>2008</c:v>
                </c:pt>
                <c:pt idx="4">
                  <c:v>2009</c:v>
                </c:pt>
                <c:pt idx="5">
                  <c:v>2010</c:v>
                </c:pt>
                <c:pt idx="6">
                  <c:v>2011</c:v>
                </c:pt>
                <c:pt idx="7">
                  <c:v>2012</c:v>
                </c:pt>
                <c:pt idx="8">
                  <c:v>2013</c:v>
                </c:pt>
                <c:pt idx="9">
                  <c:v>2014</c:v>
                </c:pt>
                <c:pt idx="10">
                  <c:v>Ene-Nov.15</c:v>
                </c:pt>
              </c:strCache>
            </c:strRef>
          </c:cat>
          <c:val>
            <c:numRef>
              <c:f>'III.5.12.Trasp. recibidos'!$B$5:$B$15</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er>
        <c:ser>
          <c:idx val="1"/>
          <c:order val="1"/>
          <c:tx>
            <c:strRef>
              <c:f>'III.5.12.Trasp. recibidos'!$C$4</c:f>
              <c:strCache>
                <c:ptCount val="1"/>
                <c:pt idx="0">
                  <c:v>Caribalico</c:v>
                </c:pt>
              </c:strCache>
            </c:strRef>
          </c:tx>
          <c:spPr>
            <a:solidFill>
              <a:srgbClr val="FF0000"/>
            </a:solidFill>
          </c:spPr>
          <c:invertIfNegative val="0"/>
          <c:cat>
            <c:strRef>
              <c:f>'III.5.12.Trasp. recibidos'!$A$5:$A$15</c:f>
              <c:strCache>
                <c:ptCount val="11"/>
                <c:pt idx="0">
                  <c:v>2005</c:v>
                </c:pt>
                <c:pt idx="1">
                  <c:v>2006</c:v>
                </c:pt>
                <c:pt idx="2">
                  <c:v>2007</c:v>
                </c:pt>
                <c:pt idx="3">
                  <c:v>2008</c:v>
                </c:pt>
                <c:pt idx="4">
                  <c:v>2009</c:v>
                </c:pt>
                <c:pt idx="5">
                  <c:v>2010</c:v>
                </c:pt>
                <c:pt idx="6">
                  <c:v>2011</c:v>
                </c:pt>
                <c:pt idx="7">
                  <c:v>2012</c:v>
                </c:pt>
                <c:pt idx="8">
                  <c:v>2013</c:v>
                </c:pt>
                <c:pt idx="9">
                  <c:v>2014</c:v>
                </c:pt>
                <c:pt idx="10">
                  <c:v>Ene-Nov.15</c:v>
                </c:pt>
              </c:strCache>
            </c:strRef>
          </c:cat>
          <c:val>
            <c:numRef>
              <c:f>'III.5.12.Trasp. recibidos'!$C$5:$C$15</c:f>
              <c:numCache>
                <c:formatCode>#,##0</c:formatCode>
                <c:ptCount val="11"/>
                <c:pt idx="0">
                  <c:v>4</c:v>
                </c:pt>
                <c:pt idx="1">
                  <c:v>19</c:v>
                </c:pt>
                <c:pt idx="2">
                  <c:v>0</c:v>
                </c:pt>
                <c:pt idx="3">
                  <c:v>0</c:v>
                </c:pt>
                <c:pt idx="4">
                  <c:v>0</c:v>
                </c:pt>
                <c:pt idx="5">
                  <c:v>0</c:v>
                </c:pt>
                <c:pt idx="6">
                  <c:v>0</c:v>
                </c:pt>
                <c:pt idx="7">
                  <c:v>0</c:v>
                </c:pt>
                <c:pt idx="8">
                  <c:v>0</c:v>
                </c:pt>
                <c:pt idx="9">
                  <c:v>0</c:v>
                </c:pt>
                <c:pt idx="10">
                  <c:v>0</c:v>
                </c:pt>
              </c:numCache>
            </c:numRef>
          </c:val>
        </c:ser>
        <c:ser>
          <c:idx val="2"/>
          <c:order val="2"/>
          <c:tx>
            <c:strRef>
              <c:f>'III.5.12.Trasp. recibidos'!$D$4</c:f>
              <c:strCache>
                <c:ptCount val="1"/>
                <c:pt idx="0">
                  <c:v>León</c:v>
                </c:pt>
              </c:strCache>
            </c:strRef>
          </c:tx>
          <c:spPr>
            <a:solidFill>
              <a:srgbClr val="002060"/>
            </a:solidFill>
          </c:spPr>
          <c:invertIfNegative val="0"/>
          <c:cat>
            <c:strRef>
              <c:f>'III.5.12.Trasp. recibidos'!$A$5:$A$15</c:f>
              <c:strCache>
                <c:ptCount val="11"/>
                <c:pt idx="0">
                  <c:v>2005</c:v>
                </c:pt>
                <c:pt idx="1">
                  <c:v>2006</c:v>
                </c:pt>
                <c:pt idx="2">
                  <c:v>2007</c:v>
                </c:pt>
                <c:pt idx="3">
                  <c:v>2008</c:v>
                </c:pt>
                <c:pt idx="4">
                  <c:v>2009</c:v>
                </c:pt>
                <c:pt idx="5">
                  <c:v>2010</c:v>
                </c:pt>
                <c:pt idx="6">
                  <c:v>2011</c:v>
                </c:pt>
                <c:pt idx="7">
                  <c:v>2012</c:v>
                </c:pt>
                <c:pt idx="8">
                  <c:v>2013</c:v>
                </c:pt>
                <c:pt idx="9">
                  <c:v>2014</c:v>
                </c:pt>
                <c:pt idx="10">
                  <c:v>Ene-Nov.15</c:v>
                </c:pt>
              </c:strCache>
            </c:strRef>
          </c:cat>
          <c:val>
            <c:numRef>
              <c:f>'III.5.12.Trasp. recibidos'!$D$5:$D$15</c:f>
              <c:numCache>
                <c:formatCode>#,##0</c:formatCode>
                <c:ptCount val="11"/>
                <c:pt idx="0">
                  <c:v>279</c:v>
                </c:pt>
                <c:pt idx="1">
                  <c:v>349</c:v>
                </c:pt>
                <c:pt idx="2">
                  <c:v>57</c:v>
                </c:pt>
                <c:pt idx="3">
                  <c:v>0</c:v>
                </c:pt>
                <c:pt idx="4">
                  <c:v>0</c:v>
                </c:pt>
                <c:pt idx="5">
                  <c:v>0</c:v>
                </c:pt>
                <c:pt idx="6">
                  <c:v>0</c:v>
                </c:pt>
                <c:pt idx="7">
                  <c:v>0</c:v>
                </c:pt>
                <c:pt idx="8">
                  <c:v>0</c:v>
                </c:pt>
                <c:pt idx="9">
                  <c:v>0</c:v>
                </c:pt>
                <c:pt idx="10">
                  <c:v>0</c:v>
                </c:pt>
              </c:numCache>
            </c:numRef>
          </c:val>
        </c:ser>
        <c:ser>
          <c:idx val="3"/>
          <c:order val="3"/>
          <c:tx>
            <c:strRef>
              <c:f>'III.5.12.Trasp. recibidos'!$E$4</c:f>
              <c:strCache>
                <c:ptCount val="1"/>
                <c:pt idx="0">
                  <c:v> Popular</c:v>
                </c:pt>
              </c:strCache>
            </c:strRef>
          </c:tx>
          <c:spPr>
            <a:solidFill>
              <a:schemeClr val="accent3">
                <a:lumMod val="75000"/>
              </a:schemeClr>
            </a:solidFill>
          </c:spPr>
          <c:invertIfNegative val="0"/>
          <c:cat>
            <c:strRef>
              <c:f>'III.5.12.Trasp. recibidos'!$A$5:$A$15</c:f>
              <c:strCache>
                <c:ptCount val="11"/>
                <c:pt idx="0">
                  <c:v>2005</c:v>
                </c:pt>
                <c:pt idx="1">
                  <c:v>2006</c:v>
                </c:pt>
                <c:pt idx="2">
                  <c:v>2007</c:v>
                </c:pt>
                <c:pt idx="3">
                  <c:v>2008</c:v>
                </c:pt>
                <c:pt idx="4">
                  <c:v>2009</c:v>
                </c:pt>
                <c:pt idx="5">
                  <c:v>2010</c:v>
                </c:pt>
                <c:pt idx="6">
                  <c:v>2011</c:v>
                </c:pt>
                <c:pt idx="7">
                  <c:v>2012</c:v>
                </c:pt>
                <c:pt idx="8">
                  <c:v>2013</c:v>
                </c:pt>
                <c:pt idx="9">
                  <c:v>2014</c:v>
                </c:pt>
                <c:pt idx="10">
                  <c:v>Ene-Nov.15</c:v>
                </c:pt>
              </c:strCache>
            </c:strRef>
          </c:cat>
          <c:val>
            <c:numRef>
              <c:f>'III.5.12.Trasp. recibidos'!$E$5:$E$15</c:f>
              <c:numCache>
                <c:formatCode>#,##0</c:formatCode>
                <c:ptCount val="11"/>
                <c:pt idx="0">
                  <c:v>115</c:v>
                </c:pt>
                <c:pt idx="1">
                  <c:v>176</c:v>
                </c:pt>
                <c:pt idx="2">
                  <c:v>136</c:v>
                </c:pt>
                <c:pt idx="3">
                  <c:v>217</c:v>
                </c:pt>
                <c:pt idx="4">
                  <c:v>174</c:v>
                </c:pt>
                <c:pt idx="5">
                  <c:v>505</c:v>
                </c:pt>
                <c:pt idx="6">
                  <c:v>572</c:v>
                </c:pt>
                <c:pt idx="7">
                  <c:v>1014</c:v>
                </c:pt>
                <c:pt idx="8">
                  <c:v>1482</c:v>
                </c:pt>
                <c:pt idx="9">
                  <c:v>2468</c:v>
                </c:pt>
                <c:pt idx="10">
                  <c:v>4478</c:v>
                </c:pt>
              </c:numCache>
            </c:numRef>
          </c:val>
        </c:ser>
        <c:ser>
          <c:idx val="4"/>
          <c:order val="4"/>
          <c:tx>
            <c:strRef>
              <c:f>'III.5.12.Trasp. recibidos'!$F$4</c:f>
              <c:strCache>
                <c:ptCount val="1"/>
                <c:pt idx="0">
                  <c:v>Porvenir </c:v>
                </c:pt>
              </c:strCache>
            </c:strRef>
          </c:tx>
          <c:invertIfNegative val="0"/>
          <c:cat>
            <c:strRef>
              <c:f>'III.5.12.Trasp. recibidos'!$A$5:$A$15</c:f>
              <c:strCache>
                <c:ptCount val="11"/>
                <c:pt idx="0">
                  <c:v>2005</c:v>
                </c:pt>
                <c:pt idx="1">
                  <c:v>2006</c:v>
                </c:pt>
                <c:pt idx="2">
                  <c:v>2007</c:v>
                </c:pt>
                <c:pt idx="3">
                  <c:v>2008</c:v>
                </c:pt>
                <c:pt idx="4">
                  <c:v>2009</c:v>
                </c:pt>
                <c:pt idx="5">
                  <c:v>2010</c:v>
                </c:pt>
                <c:pt idx="6">
                  <c:v>2011</c:v>
                </c:pt>
                <c:pt idx="7">
                  <c:v>2012</c:v>
                </c:pt>
                <c:pt idx="8">
                  <c:v>2013</c:v>
                </c:pt>
                <c:pt idx="9">
                  <c:v>2014</c:v>
                </c:pt>
                <c:pt idx="10">
                  <c:v>Ene-Nov.15</c:v>
                </c:pt>
              </c:strCache>
            </c:strRef>
          </c:cat>
          <c:val>
            <c:numRef>
              <c:f>'III.5.12.Trasp. recibidos'!$F$5:$F$15</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er>
        <c:ser>
          <c:idx val="5"/>
          <c:order val="5"/>
          <c:tx>
            <c:strRef>
              <c:f>'III.5.12.Trasp. recibidos'!$G$4</c:f>
              <c:strCache>
                <c:ptCount val="1"/>
                <c:pt idx="0">
                  <c:v> Reservas </c:v>
                </c:pt>
              </c:strCache>
            </c:strRef>
          </c:tx>
          <c:spPr>
            <a:solidFill>
              <a:schemeClr val="accent5">
                <a:lumMod val="75000"/>
              </a:schemeClr>
            </a:solidFill>
          </c:spPr>
          <c:invertIfNegative val="0"/>
          <c:cat>
            <c:strRef>
              <c:f>'III.5.12.Trasp. recibidos'!$A$5:$A$15</c:f>
              <c:strCache>
                <c:ptCount val="11"/>
                <c:pt idx="0">
                  <c:v>2005</c:v>
                </c:pt>
                <c:pt idx="1">
                  <c:v>2006</c:v>
                </c:pt>
                <c:pt idx="2">
                  <c:v>2007</c:v>
                </c:pt>
                <c:pt idx="3">
                  <c:v>2008</c:v>
                </c:pt>
                <c:pt idx="4">
                  <c:v>2009</c:v>
                </c:pt>
                <c:pt idx="5">
                  <c:v>2010</c:v>
                </c:pt>
                <c:pt idx="6">
                  <c:v>2011</c:v>
                </c:pt>
                <c:pt idx="7">
                  <c:v>2012</c:v>
                </c:pt>
                <c:pt idx="8">
                  <c:v>2013</c:v>
                </c:pt>
                <c:pt idx="9">
                  <c:v>2014</c:v>
                </c:pt>
                <c:pt idx="10">
                  <c:v>Ene-Nov.15</c:v>
                </c:pt>
              </c:strCache>
            </c:strRef>
          </c:cat>
          <c:val>
            <c:numRef>
              <c:f>'III.5.12.Trasp. recibidos'!$G$5:$G$15</c:f>
              <c:numCache>
                <c:formatCode>#,##0</c:formatCode>
                <c:ptCount val="11"/>
                <c:pt idx="0">
                  <c:v>128</c:v>
                </c:pt>
                <c:pt idx="1">
                  <c:v>1070</c:v>
                </c:pt>
                <c:pt idx="2">
                  <c:v>585</c:v>
                </c:pt>
                <c:pt idx="3">
                  <c:v>497</c:v>
                </c:pt>
                <c:pt idx="4">
                  <c:v>1232</c:v>
                </c:pt>
                <c:pt idx="5">
                  <c:v>2471</c:v>
                </c:pt>
                <c:pt idx="6">
                  <c:v>3158</c:v>
                </c:pt>
                <c:pt idx="7">
                  <c:v>3741</c:v>
                </c:pt>
                <c:pt idx="8">
                  <c:v>7614</c:v>
                </c:pt>
                <c:pt idx="9">
                  <c:v>14806</c:v>
                </c:pt>
                <c:pt idx="10">
                  <c:v>18263</c:v>
                </c:pt>
              </c:numCache>
            </c:numRef>
          </c:val>
        </c:ser>
        <c:ser>
          <c:idx val="6"/>
          <c:order val="6"/>
          <c:tx>
            <c:strRef>
              <c:f>'III.5.12.Trasp. recibidos'!$H$4</c:f>
              <c:strCache>
                <c:ptCount val="1"/>
                <c:pt idx="0">
                  <c:v>Romana</c:v>
                </c:pt>
              </c:strCache>
            </c:strRef>
          </c:tx>
          <c:invertIfNegative val="0"/>
          <c:cat>
            <c:strRef>
              <c:f>'III.5.12.Trasp. recibidos'!$A$5:$A$15</c:f>
              <c:strCache>
                <c:ptCount val="11"/>
                <c:pt idx="0">
                  <c:v>2005</c:v>
                </c:pt>
                <c:pt idx="1">
                  <c:v>2006</c:v>
                </c:pt>
                <c:pt idx="2">
                  <c:v>2007</c:v>
                </c:pt>
                <c:pt idx="3">
                  <c:v>2008</c:v>
                </c:pt>
                <c:pt idx="4">
                  <c:v>2009</c:v>
                </c:pt>
                <c:pt idx="5">
                  <c:v>2010</c:v>
                </c:pt>
                <c:pt idx="6">
                  <c:v>2011</c:v>
                </c:pt>
                <c:pt idx="7">
                  <c:v>2012</c:v>
                </c:pt>
                <c:pt idx="8">
                  <c:v>2013</c:v>
                </c:pt>
                <c:pt idx="9">
                  <c:v>2014</c:v>
                </c:pt>
                <c:pt idx="10">
                  <c:v>Ene-Nov.15</c:v>
                </c:pt>
              </c:strCache>
            </c:strRef>
          </c:cat>
          <c:val>
            <c:numRef>
              <c:f>'III.5.12.Trasp. recibidos'!$H$5:$H$15</c:f>
              <c:numCache>
                <c:formatCode>#,##0</c:formatCode>
                <c:ptCount val="11"/>
                <c:pt idx="0">
                  <c:v>3</c:v>
                </c:pt>
                <c:pt idx="1">
                  <c:v>19</c:v>
                </c:pt>
                <c:pt idx="2">
                  <c:v>8</c:v>
                </c:pt>
                <c:pt idx="3">
                  <c:v>3</c:v>
                </c:pt>
                <c:pt idx="4">
                  <c:v>3</c:v>
                </c:pt>
                <c:pt idx="5">
                  <c:v>2</c:v>
                </c:pt>
                <c:pt idx="6">
                  <c:v>8</c:v>
                </c:pt>
                <c:pt idx="7">
                  <c:v>11</c:v>
                </c:pt>
                <c:pt idx="8">
                  <c:v>7</c:v>
                </c:pt>
                <c:pt idx="9">
                  <c:v>768</c:v>
                </c:pt>
                <c:pt idx="10">
                  <c:v>961</c:v>
                </c:pt>
              </c:numCache>
            </c:numRef>
          </c:val>
        </c:ser>
        <c:ser>
          <c:idx val="7"/>
          <c:order val="7"/>
          <c:tx>
            <c:strRef>
              <c:f>'III.5.12.Trasp. recibidos'!$I$4</c:f>
              <c:strCache>
                <c:ptCount val="1"/>
                <c:pt idx="0">
                  <c:v>Scotia Crecer</c:v>
                </c:pt>
              </c:strCache>
            </c:strRef>
          </c:tx>
          <c:spPr>
            <a:solidFill>
              <a:srgbClr val="00B050"/>
            </a:solidFill>
          </c:spPr>
          <c:invertIfNegative val="0"/>
          <c:cat>
            <c:strRef>
              <c:f>'III.5.12.Trasp. recibidos'!$A$5:$A$15</c:f>
              <c:strCache>
                <c:ptCount val="11"/>
                <c:pt idx="0">
                  <c:v>2005</c:v>
                </c:pt>
                <c:pt idx="1">
                  <c:v>2006</c:v>
                </c:pt>
                <c:pt idx="2">
                  <c:v>2007</c:v>
                </c:pt>
                <c:pt idx="3">
                  <c:v>2008</c:v>
                </c:pt>
                <c:pt idx="4">
                  <c:v>2009</c:v>
                </c:pt>
                <c:pt idx="5">
                  <c:v>2010</c:v>
                </c:pt>
                <c:pt idx="6">
                  <c:v>2011</c:v>
                </c:pt>
                <c:pt idx="7">
                  <c:v>2012</c:v>
                </c:pt>
                <c:pt idx="8">
                  <c:v>2013</c:v>
                </c:pt>
                <c:pt idx="9">
                  <c:v>2014</c:v>
                </c:pt>
                <c:pt idx="10">
                  <c:v>Ene-Nov.15</c:v>
                </c:pt>
              </c:strCache>
            </c:strRef>
          </c:cat>
          <c:val>
            <c:numRef>
              <c:f>'III.5.12.Trasp. recibidos'!$I$5:$I$15</c:f>
              <c:numCache>
                <c:formatCode>#,##0</c:formatCode>
                <c:ptCount val="11"/>
                <c:pt idx="0">
                  <c:v>68</c:v>
                </c:pt>
                <c:pt idx="1">
                  <c:v>94</c:v>
                </c:pt>
                <c:pt idx="2">
                  <c:v>27</c:v>
                </c:pt>
                <c:pt idx="3">
                  <c:v>131</c:v>
                </c:pt>
                <c:pt idx="4">
                  <c:v>52</c:v>
                </c:pt>
                <c:pt idx="5">
                  <c:v>116</c:v>
                </c:pt>
                <c:pt idx="6">
                  <c:v>306</c:v>
                </c:pt>
                <c:pt idx="7">
                  <c:v>1022</c:v>
                </c:pt>
                <c:pt idx="8">
                  <c:v>1578</c:v>
                </c:pt>
                <c:pt idx="9">
                  <c:v>4313</c:v>
                </c:pt>
                <c:pt idx="10">
                  <c:v>5171</c:v>
                </c:pt>
              </c:numCache>
            </c:numRef>
          </c:val>
        </c:ser>
        <c:ser>
          <c:idx val="8"/>
          <c:order val="8"/>
          <c:tx>
            <c:strRef>
              <c:f>'III.5.12.Trasp. recibidos'!$J$4</c:f>
              <c:strCache>
                <c:ptCount val="1"/>
                <c:pt idx="0">
                  <c:v>Siembra</c:v>
                </c:pt>
              </c:strCache>
            </c:strRef>
          </c:tx>
          <c:spPr>
            <a:solidFill>
              <a:schemeClr val="accent6">
                <a:lumMod val="75000"/>
              </a:schemeClr>
            </a:solidFill>
          </c:spPr>
          <c:invertIfNegative val="0"/>
          <c:dLbls>
            <c:dLbl>
              <c:idx val="0"/>
              <c:layout>
                <c:manualLayout>
                  <c:x val="1.7763161943530575E-3"/>
                  <c:y val="-4.8561152179485666E-2"/>
                </c:manualLayout>
              </c:layout>
              <c:tx>
                <c:rich>
                  <a:bodyPr/>
                  <a:lstStyle/>
                  <a:p>
                    <a:r>
                      <a:rPr lang="en-US" sz="1400"/>
                      <a:t>1,348</a:t>
                    </a:r>
                  </a:p>
                </c:rich>
              </c:tx>
              <c:showLegendKey val="0"/>
              <c:showVal val="0"/>
              <c:showCatName val="0"/>
              <c:showSerName val="0"/>
              <c:showPercent val="0"/>
              <c:showBubbleSize val="0"/>
              <c:extLst>
                <c:ext xmlns:c15="http://schemas.microsoft.com/office/drawing/2012/chart" uri="{CE6537A1-D6FC-4f65-9D91-7224C49458BB}">
                  <c15:layout/>
                </c:ext>
              </c:extLst>
            </c:dLbl>
            <c:dLbl>
              <c:idx val="1"/>
              <c:layout>
                <c:manualLayout>
                  <c:x val="8.8815809717653262E-3"/>
                  <c:y val="-5.2446044353844749E-2"/>
                </c:manualLayout>
              </c:layout>
              <c:tx>
                <c:rich>
                  <a:bodyPr/>
                  <a:lstStyle/>
                  <a:p>
                    <a:r>
                      <a:rPr lang="en-US" sz="1400"/>
                      <a:t>733</a:t>
                    </a:r>
                  </a:p>
                </c:rich>
              </c:tx>
              <c:showLegendKey val="0"/>
              <c:showVal val="0"/>
              <c:showCatName val="0"/>
              <c:showSerName val="0"/>
              <c:showPercent val="0"/>
              <c:showBubbleSize val="0"/>
              <c:extLst>
                <c:ext xmlns:c15="http://schemas.microsoft.com/office/drawing/2012/chart" uri="{CE6537A1-D6FC-4f65-9D91-7224C49458BB}">
                  <c15:layout/>
                </c:ext>
              </c:extLst>
            </c:dLbl>
            <c:dLbl>
              <c:idx val="2"/>
              <c:layout>
                <c:manualLayout>
                  <c:x val="5.3289485830591513E-3"/>
                  <c:y val="-4.8561152179485666E-2"/>
                </c:manualLayout>
              </c:layout>
              <c:tx>
                <c:rich>
                  <a:bodyPr/>
                  <a:lstStyle/>
                  <a:p>
                    <a:r>
                      <a:rPr lang="en-US" sz="1400"/>
                      <a:t>1,839</a:t>
                    </a:r>
                  </a:p>
                </c:rich>
              </c:tx>
              <c:showLegendKey val="0"/>
              <c:showVal val="0"/>
              <c:showCatName val="0"/>
              <c:showSerName val="0"/>
              <c:showPercent val="0"/>
              <c:showBubbleSize val="0"/>
              <c:extLst>
                <c:ext xmlns:c15="http://schemas.microsoft.com/office/drawing/2012/chart" uri="{CE6537A1-D6FC-4f65-9D91-7224C49458BB}">
                  <c15:layout/>
                </c:ext>
              </c:extLst>
            </c:dLbl>
            <c:dLbl>
              <c:idx val="3"/>
              <c:layout>
                <c:manualLayout>
                  <c:x val="1.2434213360471316E-2"/>
                  <c:y val="-9.1295119045943882E-2"/>
                </c:manualLayout>
              </c:layout>
              <c:tx>
                <c:rich>
                  <a:bodyPr/>
                  <a:lstStyle/>
                  <a:p>
                    <a:r>
                      <a:rPr lang="en-US" sz="1400"/>
                      <a:t>1,247</a:t>
                    </a:r>
                  </a:p>
                </c:rich>
              </c:tx>
              <c:showLegendKey val="0"/>
              <c:showVal val="0"/>
              <c:showCatName val="0"/>
              <c:showSerName val="0"/>
              <c:showPercent val="0"/>
              <c:showBubbleSize val="0"/>
              <c:extLst>
                <c:ext xmlns:c15="http://schemas.microsoft.com/office/drawing/2012/chart" uri="{CE6537A1-D6FC-4f65-9D91-7224C49458BB}">
                  <c15:layout/>
                </c:ext>
              </c:extLst>
            </c:dLbl>
            <c:dLbl>
              <c:idx val="4"/>
              <c:layout>
                <c:manualLayout>
                  <c:x val="7.1052647774122023E-3"/>
                  <c:y val="-7.3812951312818648E-2"/>
                </c:manualLayout>
              </c:layout>
              <c:tx>
                <c:rich>
                  <a:bodyPr/>
                  <a:lstStyle/>
                  <a:p>
                    <a:r>
                      <a:rPr lang="en-US" sz="1400"/>
                      <a:t>1,028</a:t>
                    </a:r>
                  </a:p>
                </c:rich>
              </c:tx>
              <c:showLegendKey val="0"/>
              <c:showVal val="0"/>
              <c:showCatName val="0"/>
              <c:showSerName val="0"/>
              <c:showPercent val="0"/>
              <c:showBubbleSize val="0"/>
              <c:extLst>
                <c:ext xmlns:c15="http://schemas.microsoft.com/office/drawing/2012/chart" uri="{CE6537A1-D6FC-4f65-9D91-7224C49458BB}">
                  <c15:layout/>
                </c:ext>
              </c:extLst>
            </c:dLbl>
            <c:dLbl>
              <c:idx val="5"/>
              <c:layout>
                <c:manualLayout>
                  <c:x val="7.1052647774122023E-3"/>
                  <c:y val="-6.0215828702562257E-2"/>
                </c:manualLayout>
              </c:layout>
              <c:tx>
                <c:rich>
                  <a:bodyPr/>
                  <a:lstStyle/>
                  <a:p>
                    <a:r>
                      <a:rPr lang="en-US" sz="1400"/>
                      <a:t>1,566</a:t>
                    </a:r>
                  </a:p>
                </c:rich>
              </c:tx>
              <c:showLegendKey val="0"/>
              <c:showVal val="0"/>
              <c:showCatName val="0"/>
              <c:showSerName val="0"/>
              <c:showPercent val="0"/>
              <c:showBubbleSize val="0"/>
              <c:extLst>
                <c:ext xmlns:c15="http://schemas.microsoft.com/office/drawing/2012/chart" uri="{CE6537A1-D6FC-4f65-9D91-7224C49458BB}">
                  <c15:layout/>
                </c:ext>
              </c:extLst>
            </c:dLbl>
            <c:dLbl>
              <c:idx val="6"/>
              <c:layout>
                <c:manualLayout>
                  <c:x val="8.8815809717653262E-3"/>
                  <c:y val="-6.0215828702562257E-2"/>
                </c:manualLayout>
              </c:layout>
              <c:tx>
                <c:rich>
                  <a:bodyPr/>
                  <a:lstStyle/>
                  <a:p>
                    <a:r>
                      <a:rPr lang="en-US" sz="1400"/>
                      <a:t>3,219</a:t>
                    </a:r>
                  </a:p>
                </c:rich>
              </c:tx>
              <c:showLegendKey val="0"/>
              <c:showVal val="0"/>
              <c:showCatName val="0"/>
              <c:showSerName val="0"/>
              <c:showPercent val="0"/>
              <c:showBubbleSize val="0"/>
              <c:extLst>
                <c:ext xmlns:c15="http://schemas.microsoft.com/office/drawing/2012/chart" uri="{CE6537A1-D6FC-4f65-9D91-7224C49458BB}">
                  <c15:layout/>
                </c:ext>
              </c:extLst>
            </c:dLbl>
            <c:dLbl>
              <c:idx val="7"/>
              <c:layout>
                <c:manualLayout>
                  <c:x val="1.2434213360471316E-2"/>
                  <c:y val="-5.4388490441024319E-2"/>
                </c:manualLayout>
              </c:layout>
              <c:tx>
                <c:rich>
                  <a:bodyPr/>
                  <a:lstStyle/>
                  <a:p>
                    <a:pPr>
                      <a:defRPr sz="1400" b="0"/>
                    </a:pPr>
                    <a:r>
                      <a:rPr lang="en-US" sz="1400" b="0"/>
                      <a:t>4,291</a:t>
                    </a:r>
                  </a:p>
                </c:rich>
              </c:tx>
              <c:spPr/>
              <c:showLegendKey val="0"/>
              <c:showVal val="0"/>
              <c:showCatName val="0"/>
              <c:showSerName val="0"/>
              <c:showPercent val="0"/>
              <c:showBubbleSize val="0"/>
              <c:extLst>
                <c:ext xmlns:c15="http://schemas.microsoft.com/office/drawing/2012/chart" uri="{CE6537A1-D6FC-4f65-9D91-7224C49458BB}">
                  <c15:layout/>
                </c:ext>
              </c:extLst>
            </c:dLbl>
            <c:dLbl>
              <c:idx val="8"/>
              <c:layout>
                <c:manualLayout>
                  <c:x val="1.3060143640993919E-2"/>
                  <c:y val="-7.1809801067442988E-2"/>
                </c:manualLayout>
              </c:layout>
              <c:tx>
                <c:rich>
                  <a:bodyPr/>
                  <a:lstStyle/>
                  <a:p>
                    <a:r>
                      <a:rPr lang="en-US"/>
                      <a:t>3,327</a:t>
                    </a:r>
                  </a:p>
                </c:rich>
              </c:tx>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1.7004480077979601E-2"/>
                  <c:y val="-6.598738476467734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1.7004480077979601E-2"/>
                  <c:y val="-6.0164968461911696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'III.5.12.Trasp. recibidos'!$A$5:$A$15</c:f>
              <c:strCache>
                <c:ptCount val="11"/>
                <c:pt idx="0">
                  <c:v>2005</c:v>
                </c:pt>
                <c:pt idx="1">
                  <c:v>2006</c:v>
                </c:pt>
                <c:pt idx="2">
                  <c:v>2007</c:v>
                </c:pt>
                <c:pt idx="3">
                  <c:v>2008</c:v>
                </c:pt>
                <c:pt idx="4">
                  <c:v>2009</c:v>
                </c:pt>
                <c:pt idx="5">
                  <c:v>2010</c:v>
                </c:pt>
                <c:pt idx="6">
                  <c:v>2011</c:v>
                </c:pt>
                <c:pt idx="7">
                  <c:v>2012</c:v>
                </c:pt>
                <c:pt idx="8">
                  <c:v>2013</c:v>
                </c:pt>
                <c:pt idx="9">
                  <c:v>2014</c:v>
                </c:pt>
                <c:pt idx="10">
                  <c:v>Ene-Nov.15</c:v>
                </c:pt>
              </c:strCache>
            </c:strRef>
          </c:cat>
          <c:val>
            <c:numRef>
              <c:f>'III.5.12.Trasp. recibidos'!$J$5:$J$15</c:f>
              <c:numCache>
                <c:formatCode>#,##0</c:formatCode>
                <c:ptCount val="11"/>
                <c:pt idx="0">
                  <c:v>136</c:v>
                </c:pt>
                <c:pt idx="1">
                  <c:v>112</c:v>
                </c:pt>
                <c:pt idx="2">
                  <c:v>434</c:v>
                </c:pt>
                <c:pt idx="3">
                  <c:v>180</c:v>
                </c:pt>
                <c:pt idx="4">
                  <c:v>105</c:v>
                </c:pt>
                <c:pt idx="5">
                  <c:v>125</c:v>
                </c:pt>
                <c:pt idx="6">
                  <c:v>247</c:v>
                </c:pt>
                <c:pt idx="7">
                  <c:v>783</c:v>
                </c:pt>
                <c:pt idx="8">
                  <c:v>1278</c:v>
                </c:pt>
                <c:pt idx="9">
                  <c:v>2513</c:v>
                </c:pt>
                <c:pt idx="10">
                  <c:v>4011</c:v>
                </c:pt>
              </c:numCache>
            </c:numRef>
          </c:val>
        </c:ser>
        <c:dLbls>
          <c:showLegendKey val="0"/>
          <c:showVal val="0"/>
          <c:showCatName val="0"/>
          <c:showSerName val="0"/>
          <c:showPercent val="0"/>
          <c:showBubbleSize val="0"/>
        </c:dLbls>
        <c:gapWidth val="29"/>
        <c:shape val="cylinder"/>
        <c:axId val="500214544"/>
        <c:axId val="500214936"/>
        <c:axId val="0"/>
      </c:bar3DChart>
      <c:catAx>
        <c:axId val="500214544"/>
        <c:scaling>
          <c:orientation val="minMax"/>
        </c:scaling>
        <c:delete val="0"/>
        <c:axPos val="b"/>
        <c:numFmt formatCode="General" sourceLinked="1"/>
        <c:majorTickMark val="none"/>
        <c:minorTickMark val="none"/>
        <c:tickLblPos val="nextTo"/>
        <c:txPr>
          <a:bodyPr/>
          <a:lstStyle/>
          <a:p>
            <a:pPr>
              <a:defRPr sz="1200"/>
            </a:pPr>
            <a:endParaRPr lang="es-ES"/>
          </a:p>
        </c:txPr>
        <c:crossAx val="500214936"/>
        <c:crosses val="autoZero"/>
        <c:auto val="1"/>
        <c:lblAlgn val="ctr"/>
        <c:lblOffset val="100"/>
        <c:noMultiLvlLbl val="0"/>
      </c:catAx>
      <c:valAx>
        <c:axId val="500214936"/>
        <c:scaling>
          <c:orientation val="minMax"/>
        </c:scaling>
        <c:delete val="1"/>
        <c:axPos val="l"/>
        <c:numFmt formatCode="#,##0" sourceLinked="1"/>
        <c:majorTickMark val="out"/>
        <c:minorTickMark val="none"/>
        <c:tickLblPos val="nextTo"/>
        <c:crossAx val="500214544"/>
        <c:crosses val="autoZero"/>
        <c:crossBetween val="between"/>
      </c:valAx>
      <c:spPr>
        <a:noFill/>
        <a:ln w="25400">
          <a:noFill/>
        </a:ln>
      </c:spPr>
    </c:plotArea>
    <c:legend>
      <c:legendPos val="b"/>
      <c:layout>
        <c:manualLayout>
          <c:xMode val="edge"/>
          <c:yMode val="edge"/>
          <c:x val="6.4250490719838472E-3"/>
          <c:y val="9.8525981195581994E-2"/>
          <c:w val="0.9613377957493866"/>
          <c:h val="3.7480773418606519E-2"/>
        </c:manualLayout>
      </c:layout>
      <c:overlay val="0"/>
      <c:txPr>
        <a:bodyPr/>
        <a:lstStyle/>
        <a:p>
          <a:pPr>
            <a:defRPr sz="1200"/>
          </a:pPr>
          <a:endParaRPr lang="es-ES"/>
        </a:p>
      </c:txPr>
    </c:legend>
    <c:plotVisOnly val="1"/>
    <c:dispBlanksAs val="gap"/>
    <c:showDLblsOverMax val="0"/>
  </c:chart>
  <c:spPr>
    <a:ln>
      <a:noFill/>
    </a:ln>
  </c:spPr>
  <c:printSettings>
    <c:headerFooter/>
    <c:pageMargins b="0.75000000000000233" l="0.70000000000000062" r="0.70000000000000062" t="0.75000000000000233" header="0.30000000000000032" footer="0.30000000000000032"/>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Traspasos Cedidos por las Entidades de CCI</a:t>
            </a:r>
          </a:p>
        </c:rich>
      </c:tx>
      <c:layout>
        <c:manualLayout>
          <c:xMode val="edge"/>
          <c:yMode val="edge"/>
          <c:x val="0.21764108335551838"/>
          <c:y val="3.5074533734528499E-2"/>
        </c:manualLayout>
      </c:layout>
      <c:overlay val="0"/>
    </c:title>
    <c:autoTitleDeleted val="0"/>
    <c:view3D>
      <c:rotX val="15"/>
      <c:rotY val="20"/>
      <c:depthPercent val="100"/>
      <c:rAngAx val="1"/>
    </c:view3D>
    <c:floor>
      <c:thickness val="0"/>
    </c:floor>
    <c:sideWall>
      <c:thickness val="0"/>
      <c:spPr>
        <a:ln>
          <a:noFill/>
        </a:ln>
      </c:spPr>
    </c:sideWall>
    <c:backWall>
      <c:thickness val="0"/>
      <c:spPr>
        <a:ln>
          <a:noFill/>
        </a:ln>
      </c:spPr>
    </c:backWall>
    <c:plotArea>
      <c:layout>
        <c:manualLayout>
          <c:layoutTarget val="inner"/>
          <c:xMode val="edge"/>
          <c:yMode val="edge"/>
          <c:x val="1.8531889641204405E-2"/>
          <c:y val="0.2045049436708099"/>
          <c:w val="0.97592240861209223"/>
          <c:h val="0.67389459156540166"/>
        </c:manualLayout>
      </c:layout>
      <c:bar3DChart>
        <c:barDir val="col"/>
        <c:grouping val="stacked"/>
        <c:varyColors val="0"/>
        <c:ser>
          <c:idx val="0"/>
          <c:order val="0"/>
          <c:tx>
            <c:strRef>
              <c:f>'III.5.13.Trasp. cedidos'!$B$4</c:f>
              <c:strCache>
                <c:ptCount val="1"/>
                <c:pt idx="0">
                  <c:v>Camino </c:v>
                </c:pt>
              </c:strCache>
            </c:strRef>
          </c:tx>
          <c:invertIfNegative val="0"/>
          <c:cat>
            <c:strRef>
              <c:f>'III.5.13.Trasp. cedidos'!$A$5:$A$15</c:f>
              <c:strCache>
                <c:ptCount val="11"/>
                <c:pt idx="0">
                  <c:v>2005</c:v>
                </c:pt>
                <c:pt idx="1">
                  <c:v>2006</c:v>
                </c:pt>
                <c:pt idx="2">
                  <c:v>2007</c:v>
                </c:pt>
                <c:pt idx="3">
                  <c:v>2008</c:v>
                </c:pt>
                <c:pt idx="4">
                  <c:v>2009</c:v>
                </c:pt>
                <c:pt idx="5">
                  <c:v>2010</c:v>
                </c:pt>
                <c:pt idx="6">
                  <c:v>2011</c:v>
                </c:pt>
                <c:pt idx="7">
                  <c:v>2012</c:v>
                </c:pt>
                <c:pt idx="8">
                  <c:v>2013</c:v>
                </c:pt>
                <c:pt idx="9">
                  <c:v>2014</c:v>
                </c:pt>
                <c:pt idx="10">
                  <c:v>Ene-Nov. 2015</c:v>
                </c:pt>
              </c:strCache>
            </c:strRef>
          </c:cat>
          <c:val>
            <c:numRef>
              <c:f>'III.5.13.Trasp. cedidos'!$B$5:$B$15</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er>
        <c:ser>
          <c:idx val="1"/>
          <c:order val="1"/>
          <c:tx>
            <c:strRef>
              <c:f>'III.5.13.Trasp. cedidos'!$C$4</c:f>
              <c:strCache>
                <c:ptCount val="1"/>
                <c:pt idx="0">
                  <c:v>Caribalico</c:v>
                </c:pt>
              </c:strCache>
            </c:strRef>
          </c:tx>
          <c:invertIfNegative val="0"/>
          <c:cat>
            <c:strRef>
              <c:f>'III.5.13.Trasp. cedidos'!$A$5:$A$15</c:f>
              <c:strCache>
                <c:ptCount val="11"/>
                <c:pt idx="0">
                  <c:v>2005</c:v>
                </c:pt>
                <c:pt idx="1">
                  <c:v>2006</c:v>
                </c:pt>
                <c:pt idx="2">
                  <c:v>2007</c:v>
                </c:pt>
                <c:pt idx="3">
                  <c:v>2008</c:v>
                </c:pt>
                <c:pt idx="4">
                  <c:v>2009</c:v>
                </c:pt>
                <c:pt idx="5">
                  <c:v>2010</c:v>
                </c:pt>
                <c:pt idx="6">
                  <c:v>2011</c:v>
                </c:pt>
                <c:pt idx="7">
                  <c:v>2012</c:v>
                </c:pt>
                <c:pt idx="8">
                  <c:v>2013</c:v>
                </c:pt>
                <c:pt idx="9">
                  <c:v>2014</c:v>
                </c:pt>
                <c:pt idx="10">
                  <c:v>Ene-Nov. 2015</c:v>
                </c:pt>
              </c:strCache>
            </c:strRef>
          </c:cat>
          <c:val>
            <c:numRef>
              <c:f>'III.5.13.Trasp. cedidos'!$C$5:$C$15</c:f>
              <c:numCache>
                <c:formatCode>0</c:formatCode>
                <c:ptCount val="11"/>
                <c:pt idx="0">
                  <c:v>57</c:v>
                </c:pt>
                <c:pt idx="1">
                  <c:v>81</c:v>
                </c:pt>
                <c:pt idx="2">
                  <c:v>363</c:v>
                </c:pt>
                <c:pt idx="3">
                  <c:v>0</c:v>
                </c:pt>
                <c:pt idx="4">
                  <c:v>0</c:v>
                </c:pt>
                <c:pt idx="5">
                  <c:v>0</c:v>
                </c:pt>
                <c:pt idx="6">
                  <c:v>0</c:v>
                </c:pt>
                <c:pt idx="7">
                  <c:v>0</c:v>
                </c:pt>
                <c:pt idx="8">
                  <c:v>0</c:v>
                </c:pt>
                <c:pt idx="9">
                  <c:v>0</c:v>
                </c:pt>
                <c:pt idx="10">
                  <c:v>0</c:v>
                </c:pt>
              </c:numCache>
            </c:numRef>
          </c:val>
        </c:ser>
        <c:ser>
          <c:idx val="2"/>
          <c:order val="2"/>
          <c:tx>
            <c:strRef>
              <c:f>'III.5.13.Trasp. cedidos'!$D$4</c:f>
              <c:strCache>
                <c:ptCount val="1"/>
                <c:pt idx="0">
                  <c:v>León</c:v>
                </c:pt>
              </c:strCache>
            </c:strRef>
          </c:tx>
          <c:invertIfNegative val="0"/>
          <c:cat>
            <c:strRef>
              <c:f>'III.5.13.Trasp. cedidos'!$A$5:$A$15</c:f>
              <c:strCache>
                <c:ptCount val="11"/>
                <c:pt idx="0">
                  <c:v>2005</c:v>
                </c:pt>
                <c:pt idx="1">
                  <c:v>2006</c:v>
                </c:pt>
                <c:pt idx="2">
                  <c:v>2007</c:v>
                </c:pt>
                <c:pt idx="3">
                  <c:v>2008</c:v>
                </c:pt>
                <c:pt idx="4">
                  <c:v>2009</c:v>
                </c:pt>
                <c:pt idx="5">
                  <c:v>2010</c:v>
                </c:pt>
                <c:pt idx="6">
                  <c:v>2011</c:v>
                </c:pt>
                <c:pt idx="7">
                  <c:v>2012</c:v>
                </c:pt>
                <c:pt idx="8">
                  <c:v>2013</c:v>
                </c:pt>
                <c:pt idx="9">
                  <c:v>2014</c:v>
                </c:pt>
                <c:pt idx="10">
                  <c:v>Ene-Nov. 2015</c:v>
                </c:pt>
              </c:strCache>
            </c:strRef>
          </c:cat>
          <c:val>
            <c:numRef>
              <c:f>'III.5.13.Trasp. cedidos'!$D$5:$D$15</c:f>
              <c:numCache>
                <c:formatCode>0</c:formatCode>
                <c:ptCount val="11"/>
                <c:pt idx="0">
                  <c:v>14</c:v>
                </c:pt>
                <c:pt idx="1">
                  <c:v>13</c:v>
                </c:pt>
                <c:pt idx="2">
                  <c:v>10</c:v>
                </c:pt>
                <c:pt idx="3">
                  <c:v>0</c:v>
                </c:pt>
                <c:pt idx="4">
                  <c:v>0</c:v>
                </c:pt>
                <c:pt idx="5">
                  <c:v>0</c:v>
                </c:pt>
                <c:pt idx="6">
                  <c:v>0</c:v>
                </c:pt>
                <c:pt idx="7">
                  <c:v>0</c:v>
                </c:pt>
                <c:pt idx="8">
                  <c:v>0</c:v>
                </c:pt>
                <c:pt idx="9">
                  <c:v>0</c:v>
                </c:pt>
                <c:pt idx="10">
                  <c:v>0</c:v>
                </c:pt>
              </c:numCache>
            </c:numRef>
          </c:val>
        </c:ser>
        <c:ser>
          <c:idx val="3"/>
          <c:order val="3"/>
          <c:tx>
            <c:strRef>
              <c:f>'III.5.13.Trasp. cedidos'!$E$4</c:f>
              <c:strCache>
                <c:ptCount val="1"/>
                <c:pt idx="0">
                  <c:v> Popular</c:v>
                </c:pt>
              </c:strCache>
            </c:strRef>
          </c:tx>
          <c:invertIfNegative val="0"/>
          <c:cat>
            <c:strRef>
              <c:f>'III.5.13.Trasp. cedidos'!$A$5:$A$15</c:f>
              <c:strCache>
                <c:ptCount val="11"/>
                <c:pt idx="0">
                  <c:v>2005</c:v>
                </c:pt>
                <c:pt idx="1">
                  <c:v>2006</c:v>
                </c:pt>
                <c:pt idx="2">
                  <c:v>2007</c:v>
                </c:pt>
                <c:pt idx="3">
                  <c:v>2008</c:v>
                </c:pt>
                <c:pt idx="4">
                  <c:v>2009</c:v>
                </c:pt>
                <c:pt idx="5">
                  <c:v>2010</c:v>
                </c:pt>
                <c:pt idx="6">
                  <c:v>2011</c:v>
                </c:pt>
                <c:pt idx="7">
                  <c:v>2012</c:v>
                </c:pt>
                <c:pt idx="8">
                  <c:v>2013</c:v>
                </c:pt>
                <c:pt idx="9">
                  <c:v>2014</c:v>
                </c:pt>
                <c:pt idx="10">
                  <c:v>Ene-Nov. 2015</c:v>
                </c:pt>
              </c:strCache>
            </c:strRef>
          </c:cat>
          <c:val>
            <c:numRef>
              <c:f>'III.5.13.Trasp. cedidos'!$E$5:$E$15</c:f>
              <c:numCache>
                <c:formatCode>_(* #,##0_);_(* \(#,##0\);_(* "-"??_);_(@_)</c:formatCode>
                <c:ptCount val="11"/>
                <c:pt idx="0">
                  <c:v>135</c:v>
                </c:pt>
                <c:pt idx="1">
                  <c:v>181</c:v>
                </c:pt>
                <c:pt idx="2">
                  <c:v>208</c:v>
                </c:pt>
                <c:pt idx="3">
                  <c:v>288</c:v>
                </c:pt>
                <c:pt idx="4">
                  <c:v>5982</c:v>
                </c:pt>
                <c:pt idx="5">
                  <c:v>2345</c:v>
                </c:pt>
                <c:pt idx="6">
                  <c:v>1603</c:v>
                </c:pt>
                <c:pt idx="7">
                  <c:v>2631</c:v>
                </c:pt>
                <c:pt idx="8">
                  <c:v>3642</c:v>
                </c:pt>
                <c:pt idx="9">
                  <c:v>7753</c:v>
                </c:pt>
                <c:pt idx="10">
                  <c:v>9572</c:v>
                </c:pt>
              </c:numCache>
            </c:numRef>
          </c:val>
        </c:ser>
        <c:ser>
          <c:idx val="4"/>
          <c:order val="4"/>
          <c:tx>
            <c:strRef>
              <c:f>'III.5.13.Trasp. cedidos'!$F$4</c:f>
              <c:strCache>
                <c:ptCount val="1"/>
                <c:pt idx="0">
                  <c:v>Porvenir </c:v>
                </c:pt>
              </c:strCache>
            </c:strRef>
          </c:tx>
          <c:invertIfNegative val="0"/>
          <c:cat>
            <c:strRef>
              <c:f>'III.5.13.Trasp. cedidos'!$A$5:$A$15</c:f>
              <c:strCache>
                <c:ptCount val="11"/>
                <c:pt idx="0">
                  <c:v>2005</c:v>
                </c:pt>
                <c:pt idx="1">
                  <c:v>2006</c:v>
                </c:pt>
                <c:pt idx="2">
                  <c:v>2007</c:v>
                </c:pt>
                <c:pt idx="3">
                  <c:v>2008</c:v>
                </c:pt>
                <c:pt idx="4">
                  <c:v>2009</c:v>
                </c:pt>
                <c:pt idx="5">
                  <c:v>2010</c:v>
                </c:pt>
                <c:pt idx="6">
                  <c:v>2011</c:v>
                </c:pt>
                <c:pt idx="7">
                  <c:v>2012</c:v>
                </c:pt>
                <c:pt idx="8">
                  <c:v>2013</c:v>
                </c:pt>
                <c:pt idx="9">
                  <c:v>2014</c:v>
                </c:pt>
                <c:pt idx="10">
                  <c:v>Ene-Nov. 2015</c:v>
                </c:pt>
              </c:strCache>
            </c:strRef>
          </c:cat>
          <c:val>
            <c:numRef>
              <c:f>'III.5.13.Trasp. cedidos'!$F$5:$F$15</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er>
        <c:ser>
          <c:idx val="5"/>
          <c:order val="5"/>
          <c:tx>
            <c:strRef>
              <c:f>'III.5.13.Trasp. cedidos'!$G$4</c:f>
              <c:strCache>
                <c:ptCount val="1"/>
                <c:pt idx="0">
                  <c:v> Reservas </c:v>
                </c:pt>
              </c:strCache>
            </c:strRef>
          </c:tx>
          <c:invertIfNegative val="0"/>
          <c:cat>
            <c:strRef>
              <c:f>'III.5.13.Trasp. cedidos'!$A$5:$A$15</c:f>
              <c:strCache>
                <c:ptCount val="11"/>
                <c:pt idx="0">
                  <c:v>2005</c:v>
                </c:pt>
                <c:pt idx="1">
                  <c:v>2006</c:v>
                </c:pt>
                <c:pt idx="2">
                  <c:v>2007</c:v>
                </c:pt>
                <c:pt idx="3">
                  <c:v>2008</c:v>
                </c:pt>
                <c:pt idx="4">
                  <c:v>2009</c:v>
                </c:pt>
                <c:pt idx="5">
                  <c:v>2010</c:v>
                </c:pt>
                <c:pt idx="6">
                  <c:v>2011</c:v>
                </c:pt>
                <c:pt idx="7">
                  <c:v>2012</c:v>
                </c:pt>
                <c:pt idx="8">
                  <c:v>2013</c:v>
                </c:pt>
                <c:pt idx="9">
                  <c:v>2014</c:v>
                </c:pt>
                <c:pt idx="10">
                  <c:v>Ene-Nov. 2015</c:v>
                </c:pt>
              </c:strCache>
            </c:strRef>
          </c:cat>
          <c:val>
            <c:numRef>
              <c:f>'III.5.13.Trasp. cedidos'!$G$5:$G$15</c:f>
              <c:numCache>
                <c:formatCode>_(* #,##0_);_(* \(#,##0\);_(* "-"??_);_(@_)</c:formatCode>
                <c:ptCount val="11"/>
                <c:pt idx="0">
                  <c:v>76</c:v>
                </c:pt>
                <c:pt idx="1">
                  <c:v>81</c:v>
                </c:pt>
                <c:pt idx="2">
                  <c:v>55</c:v>
                </c:pt>
                <c:pt idx="3">
                  <c:v>65</c:v>
                </c:pt>
                <c:pt idx="4">
                  <c:v>5612</c:v>
                </c:pt>
                <c:pt idx="5">
                  <c:v>3608</c:v>
                </c:pt>
                <c:pt idx="6">
                  <c:v>1068</c:v>
                </c:pt>
                <c:pt idx="7">
                  <c:v>1755</c:v>
                </c:pt>
                <c:pt idx="8">
                  <c:v>3099</c:v>
                </c:pt>
                <c:pt idx="9">
                  <c:v>7468</c:v>
                </c:pt>
                <c:pt idx="10">
                  <c:v>7573</c:v>
                </c:pt>
              </c:numCache>
            </c:numRef>
          </c:val>
        </c:ser>
        <c:ser>
          <c:idx val="6"/>
          <c:order val="6"/>
          <c:tx>
            <c:strRef>
              <c:f>'III.5.13.Trasp. cedidos'!$H$4</c:f>
              <c:strCache>
                <c:ptCount val="1"/>
                <c:pt idx="0">
                  <c:v>Romana</c:v>
                </c:pt>
              </c:strCache>
            </c:strRef>
          </c:tx>
          <c:invertIfNegative val="0"/>
          <c:cat>
            <c:strRef>
              <c:f>'III.5.13.Trasp. cedidos'!$A$5:$A$15</c:f>
              <c:strCache>
                <c:ptCount val="11"/>
                <c:pt idx="0">
                  <c:v>2005</c:v>
                </c:pt>
                <c:pt idx="1">
                  <c:v>2006</c:v>
                </c:pt>
                <c:pt idx="2">
                  <c:v>2007</c:v>
                </c:pt>
                <c:pt idx="3">
                  <c:v>2008</c:v>
                </c:pt>
                <c:pt idx="4">
                  <c:v>2009</c:v>
                </c:pt>
                <c:pt idx="5">
                  <c:v>2010</c:v>
                </c:pt>
                <c:pt idx="6">
                  <c:v>2011</c:v>
                </c:pt>
                <c:pt idx="7">
                  <c:v>2012</c:v>
                </c:pt>
                <c:pt idx="8">
                  <c:v>2013</c:v>
                </c:pt>
                <c:pt idx="9">
                  <c:v>2014</c:v>
                </c:pt>
                <c:pt idx="10">
                  <c:v>Ene-Nov. 2015</c:v>
                </c:pt>
              </c:strCache>
            </c:strRef>
          </c:cat>
          <c:val>
            <c:numRef>
              <c:f>'III.5.13.Trasp. cedidos'!$H$5:$H$15</c:f>
              <c:numCache>
                <c:formatCode>0</c:formatCode>
                <c:ptCount val="11"/>
                <c:pt idx="0">
                  <c:v>8</c:v>
                </c:pt>
                <c:pt idx="1">
                  <c:v>5</c:v>
                </c:pt>
                <c:pt idx="2">
                  <c:v>8</c:v>
                </c:pt>
                <c:pt idx="3">
                  <c:v>19</c:v>
                </c:pt>
                <c:pt idx="4">
                  <c:v>59</c:v>
                </c:pt>
                <c:pt idx="5">
                  <c:v>22</c:v>
                </c:pt>
                <c:pt idx="6">
                  <c:v>23</c:v>
                </c:pt>
                <c:pt idx="7">
                  <c:v>39</c:v>
                </c:pt>
                <c:pt idx="8">
                  <c:v>33</c:v>
                </c:pt>
                <c:pt idx="9">
                  <c:v>107</c:v>
                </c:pt>
                <c:pt idx="10">
                  <c:v>167</c:v>
                </c:pt>
              </c:numCache>
            </c:numRef>
          </c:val>
        </c:ser>
        <c:ser>
          <c:idx val="7"/>
          <c:order val="7"/>
          <c:tx>
            <c:strRef>
              <c:f>'III.5.13.Trasp. cedidos'!$I$4</c:f>
              <c:strCache>
                <c:ptCount val="1"/>
                <c:pt idx="0">
                  <c:v>Scotia Crecer</c:v>
                </c:pt>
              </c:strCache>
            </c:strRef>
          </c:tx>
          <c:invertIfNegative val="0"/>
          <c:cat>
            <c:strRef>
              <c:f>'III.5.13.Trasp. cedidos'!$A$5:$A$15</c:f>
              <c:strCache>
                <c:ptCount val="11"/>
                <c:pt idx="0">
                  <c:v>2005</c:v>
                </c:pt>
                <c:pt idx="1">
                  <c:v>2006</c:v>
                </c:pt>
                <c:pt idx="2">
                  <c:v>2007</c:v>
                </c:pt>
                <c:pt idx="3">
                  <c:v>2008</c:v>
                </c:pt>
                <c:pt idx="4">
                  <c:v>2009</c:v>
                </c:pt>
                <c:pt idx="5">
                  <c:v>2010</c:v>
                </c:pt>
                <c:pt idx="6">
                  <c:v>2011</c:v>
                </c:pt>
                <c:pt idx="7">
                  <c:v>2012</c:v>
                </c:pt>
                <c:pt idx="8">
                  <c:v>2013</c:v>
                </c:pt>
                <c:pt idx="9">
                  <c:v>2014</c:v>
                </c:pt>
                <c:pt idx="10">
                  <c:v>Ene-Nov. 2015</c:v>
                </c:pt>
              </c:strCache>
            </c:strRef>
          </c:cat>
          <c:val>
            <c:numRef>
              <c:f>'III.5.13.Trasp. cedidos'!$I$5:$I$15</c:f>
              <c:numCache>
                <c:formatCode>_(* #,##0_);_(* \(#,##0\);_(* "-"??_);_(@_)</c:formatCode>
                <c:ptCount val="11"/>
                <c:pt idx="0">
                  <c:v>133</c:v>
                </c:pt>
                <c:pt idx="1">
                  <c:v>230</c:v>
                </c:pt>
                <c:pt idx="2">
                  <c:v>288</c:v>
                </c:pt>
                <c:pt idx="3">
                  <c:v>362</c:v>
                </c:pt>
                <c:pt idx="4">
                  <c:v>9295</c:v>
                </c:pt>
                <c:pt idx="5">
                  <c:v>2869</c:v>
                </c:pt>
                <c:pt idx="6">
                  <c:v>2173</c:v>
                </c:pt>
                <c:pt idx="7">
                  <c:v>3381</c:v>
                </c:pt>
                <c:pt idx="8">
                  <c:v>5417</c:v>
                </c:pt>
                <c:pt idx="9">
                  <c:v>11143</c:v>
                </c:pt>
                <c:pt idx="10">
                  <c:v>13062</c:v>
                </c:pt>
              </c:numCache>
            </c:numRef>
          </c:val>
        </c:ser>
        <c:ser>
          <c:idx val="8"/>
          <c:order val="8"/>
          <c:tx>
            <c:strRef>
              <c:f>'III.5.13.Trasp. cedidos'!$J$4</c:f>
              <c:strCache>
                <c:ptCount val="1"/>
                <c:pt idx="0">
                  <c:v>Siembra</c:v>
                </c:pt>
              </c:strCache>
            </c:strRef>
          </c:tx>
          <c:invertIfNegative val="0"/>
          <c:dLbls>
            <c:dLbl>
              <c:idx val="0"/>
              <c:layout>
                <c:manualLayout>
                  <c:x val="0"/>
                  <c:y val="-4.0499673784839464E-2"/>
                </c:manualLayout>
              </c:layout>
              <c:tx>
                <c:rich>
                  <a:bodyPr/>
                  <a:lstStyle/>
                  <a:p>
                    <a:r>
                      <a:rPr lang="en-US"/>
                      <a:t>1,348</a:t>
                    </a:r>
                  </a:p>
                </c:rich>
              </c:tx>
              <c:showLegendKey val="0"/>
              <c:showVal val="0"/>
              <c:showCatName val="0"/>
              <c:showSerName val="0"/>
              <c:showPercent val="0"/>
              <c:showBubbleSize val="0"/>
              <c:extLst>
                <c:ext xmlns:c15="http://schemas.microsoft.com/office/drawing/2012/chart" uri="{CE6537A1-D6FC-4f65-9D91-7224C49458BB}">
                  <c15:layout/>
                </c:ext>
              </c:extLst>
            </c:dLbl>
            <c:dLbl>
              <c:idx val="1"/>
              <c:layout>
                <c:manualLayout>
                  <c:x val="6.7388689604379534E-3"/>
                  <c:y val="-3.3136096733050464E-2"/>
                </c:manualLayout>
              </c:layout>
              <c:tx>
                <c:rich>
                  <a:bodyPr/>
                  <a:lstStyle/>
                  <a:p>
                    <a:r>
                      <a:rPr lang="en-US"/>
                      <a:t>733</a:t>
                    </a:r>
                  </a:p>
                </c:rich>
              </c:tx>
              <c:showLegendKey val="0"/>
              <c:showVal val="0"/>
              <c:showCatName val="0"/>
              <c:showSerName val="0"/>
              <c:showPercent val="0"/>
              <c:showBubbleSize val="0"/>
              <c:extLst>
                <c:ext xmlns:c15="http://schemas.microsoft.com/office/drawing/2012/chart" uri="{CE6537A1-D6FC-4f65-9D91-7224C49458BB}">
                  <c15:layout/>
                </c:ext>
              </c:extLst>
            </c:dLbl>
            <c:dLbl>
              <c:idx val="2"/>
              <c:layout>
                <c:manualLayout>
                  <c:x val="1.6847172401094827E-3"/>
                  <c:y val="-3.6817885258944992E-2"/>
                </c:manualLayout>
              </c:layout>
              <c:tx>
                <c:rich>
                  <a:bodyPr/>
                  <a:lstStyle/>
                  <a:p>
                    <a:r>
                      <a:rPr lang="en-US"/>
                      <a:t>881</a:t>
                    </a:r>
                  </a:p>
                </c:rich>
              </c:tx>
              <c:showLegendKey val="0"/>
              <c:showVal val="0"/>
              <c:showCatName val="0"/>
              <c:showSerName val="0"/>
              <c:showPercent val="0"/>
              <c:showBubbleSize val="0"/>
              <c:extLst>
                <c:ext xmlns:c15="http://schemas.microsoft.com/office/drawing/2012/chart" uri="{CE6537A1-D6FC-4f65-9D91-7224C49458BB}">
                  <c15:layout/>
                </c:ext>
              </c:extLst>
            </c:dLbl>
            <c:dLbl>
              <c:idx val="3"/>
              <c:layout>
                <c:manualLayout>
                  <c:x val="3.3694344802189654E-3"/>
                  <c:y val="-3.4976990995997721E-2"/>
                </c:manualLayout>
              </c:layout>
              <c:tx>
                <c:rich>
                  <a:bodyPr/>
                  <a:lstStyle/>
                  <a:p>
                    <a:r>
                      <a:rPr lang="en-US"/>
                      <a:t>1,145</a:t>
                    </a:r>
                  </a:p>
                </c:rich>
              </c:tx>
              <c:showLegendKey val="0"/>
              <c:showVal val="0"/>
              <c:showCatName val="0"/>
              <c:showSerName val="0"/>
              <c:showPercent val="0"/>
              <c:showBubbleSize val="0"/>
              <c:extLst>
                <c:ext xmlns:c15="http://schemas.microsoft.com/office/drawing/2012/chart" uri="{CE6537A1-D6FC-4f65-9D91-7224C49458BB}">
                  <c15:layout/>
                </c:ext>
              </c:extLst>
            </c:dLbl>
            <c:dLbl>
              <c:idx val="4"/>
              <c:layout>
                <c:manualLayout>
                  <c:x val="1.2612210303355905E-2"/>
                  <c:y val="-6.3013141315087395E-2"/>
                </c:manualLayout>
              </c:layout>
              <c:tx>
                <c:rich>
                  <a:bodyPr/>
                  <a:lstStyle/>
                  <a:p>
                    <a:r>
                      <a:rPr lang="en-US"/>
                      <a:t>962</a:t>
                    </a:r>
                  </a:p>
                </c:rich>
              </c:tx>
              <c:showLegendKey val="0"/>
              <c:showVal val="0"/>
              <c:showCatName val="0"/>
              <c:showSerName val="0"/>
              <c:showPercent val="0"/>
              <c:showBubbleSize val="0"/>
              <c:extLst>
                <c:ext xmlns:c15="http://schemas.microsoft.com/office/drawing/2012/chart" uri="{CE6537A1-D6FC-4f65-9D91-7224C49458BB}">
                  <c15:layout/>
                </c:ext>
              </c:extLst>
            </c:dLbl>
            <c:dLbl>
              <c:idx val="5"/>
              <c:layout>
                <c:manualLayout>
                  <c:x val="5.0541517203284486E-3"/>
                  <c:y val="-0.10493097298799353"/>
                </c:manualLayout>
              </c:layout>
              <c:tx>
                <c:rich>
                  <a:bodyPr/>
                  <a:lstStyle/>
                  <a:p>
                    <a:r>
                      <a:rPr lang="en-US"/>
                      <a:t>25,216</a:t>
                    </a:r>
                  </a:p>
                </c:rich>
              </c:tx>
              <c:showLegendKey val="0"/>
              <c:showVal val="0"/>
              <c:showCatName val="0"/>
              <c:showSerName val="0"/>
              <c:showPercent val="0"/>
              <c:showBubbleSize val="0"/>
              <c:extLst>
                <c:ext xmlns:c15="http://schemas.microsoft.com/office/drawing/2012/chart" uri="{CE6537A1-D6FC-4f65-9D91-7224C49458BB}">
                  <c15:layout/>
                </c:ext>
              </c:extLst>
            </c:dLbl>
            <c:dLbl>
              <c:idx val="6"/>
              <c:layout>
                <c:manualLayout>
                  <c:x val="8.4235862005475025E-3"/>
                  <c:y val="-6.4431299203153838E-2"/>
                </c:manualLayout>
              </c:layout>
              <c:tx>
                <c:rich>
                  <a:bodyPr/>
                  <a:lstStyle/>
                  <a:p>
                    <a:r>
                      <a:rPr lang="en-US"/>
                      <a:t>10,596</a:t>
                    </a:r>
                  </a:p>
                </c:rich>
              </c:tx>
              <c:showLegendKey val="0"/>
              <c:showVal val="0"/>
              <c:showCatName val="0"/>
              <c:showSerName val="0"/>
              <c:showPercent val="0"/>
              <c:showBubbleSize val="0"/>
              <c:extLst>
                <c:ext xmlns:c15="http://schemas.microsoft.com/office/drawing/2012/chart" uri="{CE6537A1-D6FC-4f65-9D91-7224C49458BB}">
                  <c15:layout/>
                </c:ext>
              </c:extLst>
            </c:dLbl>
            <c:dLbl>
              <c:idx val="7"/>
              <c:layout>
                <c:manualLayout>
                  <c:x val="1.1793020680766569E-2"/>
                  <c:y val="-4.6022356573681207E-2"/>
                </c:manualLayout>
              </c:layout>
              <c:tx>
                <c:rich>
                  <a:bodyPr/>
                  <a:lstStyle/>
                  <a:p>
                    <a:pPr>
                      <a:defRPr sz="1400" b="0"/>
                    </a:pPr>
                    <a:r>
                      <a:rPr lang="en-US" sz="1400" b="0"/>
                      <a:t>6,204</a:t>
                    </a:r>
                  </a:p>
                </c:rich>
              </c:tx>
              <c:spPr/>
              <c:showLegendKey val="0"/>
              <c:showVal val="0"/>
              <c:showCatName val="0"/>
              <c:showSerName val="0"/>
              <c:showPercent val="0"/>
              <c:showBubbleSize val="0"/>
              <c:extLst>
                <c:ext xmlns:c15="http://schemas.microsoft.com/office/drawing/2012/chart" uri="{CE6537A1-D6FC-4f65-9D91-7224C49458BB}">
                  <c15:layout/>
                </c:ext>
              </c:extLst>
            </c:dLbl>
            <c:dLbl>
              <c:idx val="8"/>
              <c:layout>
                <c:manualLayout>
                  <c:x val="1.9164207172607969E-2"/>
                  <c:y val="-6.3013141315087326E-2"/>
                </c:manualLayout>
              </c:layout>
              <c:tx>
                <c:rich>
                  <a:bodyPr/>
                  <a:lstStyle/>
                  <a:p>
                    <a:r>
                      <a:rPr lang="en-US"/>
                      <a:t>4,525</a:t>
                    </a:r>
                  </a:p>
                </c:rich>
              </c:tx>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1.1091304286439774E-2"/>
                  <c:y val="-8.61769107834428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1.1091304286439774E-2"/>
                  <c:y val="-8.9923732991418565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'III.5.13.Trasp. cedidos'!$A$5:$A$15</c:f>
              <c:strCache>
                <c:ptCount val="11"/>
                <c:pt idx="0">
                  <c:v>2005</c:v>
                </c:pt>
                <c:pt idx="1">
                  <c:v>2006</c:v>
                </c:pt>
                <c:pt idx="2">
                  <c:v>2007</c:v>
                </c:pt>
                <c:pt idx="3">
                  <c:v>2008</c:v>
                </c:pt>
                <c:pt idx="4">
                  <c:v>2009</c:v>
                </c:pt>
                <c:pt idx="5">
                  <c:v>2010</c:v>
                </c:pt>
                <c:pt idx="6">
                  <c:v>2011</c:v>
                </c:pt>
                <c:pt idx="7">
                  <c:v>2012</c:v>
                </c:pt>
                <c:pt idx="8">
                  <c:v>2013</c:v>
                </c:pt>
                <c:pt idx="9">
                  <c:v>2014</c:v>
                </c:pt>
                <c:pt idx="10">
                  <c:v>Ene-Nov. 2015</c:v>
                </c:pt>
              </c:strCache>
            </c:strRef>
          </c:cat>
          <c:val>
            <c:numRef>
              <c:f>'III.5.13.Trasp. cedidos'!$J$5:$J$15</c:f>
              <c:numCache>
                <c:formatCode>_(* #,##0_);_(* \(#,##0\);_(* "-"??_);_(@_)</c:formatCode>
                <c:ptCount val="11"/>
                <c:pt idx="0">
                  <c:v>310</c:v>
                </c:pt>
                <c:pt idx="1">
                  <c:v>290</c:v>
                </c:pt>
                <c:pt idx="2">
                  <c:v>213</c:v>
                </c:pt>
                <c:pt idx="3">
                  <c:v>228</c:v>
                </c:pt>
                <c:pt idx="4">
                  <c:v>4268</c:v>
                </c:pt>
                <c:pt idx="5">
                  <c:v>1752</c:v>
                </c:pt>
                <c:pt idx="6">
                  <c:v>1337</c:v>
                </c:pt>
                <c:pt idx="7">
                  <c:v>2221</c:v>
                </c:pt>
                <c:pt idx="8">
                  <c:v>3510</c:v>
                </c:pt>
                <c:pt idx="9">
                  <c:v>5850</c:v>
                </c:pt>
                <c:pt idx="10">
                  <c:v>7937</c:v>
                </c:pt>
              </c:numCache>
            </c:numRef>
          </c:val>
        </c:ser>
        <c:dLbls>
          <c:showLegendKey val="0"/>
          <c:showVal val="0"/>
          <c:showCatName val="0"/>
          <c:showSerName val="0"/>
          <c:showPercent val="0"/>
          <c:showBubbleSize val="0"/>
        </c:dLbls>
        <c:gapWidth val="21"/>
        <c:shape val="cylinder"/>
        <c:axId val="500215720"/>
        <c:axId val="500207096"/>
        <c:axId val="0"/>
      </c:bar3DChart>
      <c:catAx>
        <c:axId val="500215720"/>
        <c:scaling>
          <c:orientation val="minMax"/>
        </c:scaling>
        <c:delete val="0"/>
        <c:axPos val="b"/>
        <c:numFmt formatCode="General" sourceLinked="1"/>
        <c:majorTickMark val="none"/>
        <c:minorTickMark val="none"/>
        <c:tickLblPos val="nextTo"/>
        <c:txPr>
          <a:bodyPr/>
          <a:lstStyle/>
          <a:p>
            <a:pPr>
              <a:defRPr sz="1050"/>
            </a:pPr>
            <a:endParaRPr lang="es-ES"/>
          </a:p>
        </c:txPr>
        <c:crossAx val="500207096"/>
        <c:crosses val="autoZero"/>
        <c:auto val="1"/>
        <c:lblAlgn val="ctr"/>
        <c:lblOffset val="100"/>
        <c:noMultiLvlLbl val="0"/>
      </c:catAx>
      <c:valAx>
        <c:axId val="500207096"/>
        <c:scaling>
          <c:orientation val="minMax"/>
        </c:scaling>
        <c:delete val="1"/>
        <c:axPos val="l"/>
        <c:numFmt formatCode="0" sourceLinked="1"/>
        <c:majorTickMark val="out"/>
        <c:minorTickMark val="none"/>
        <c:tickLblPos val="nextTo"/>
        <c:crossAx val="500215720"/>
        <c:crosses val="autoZero"/>
        <c:crossBetween val="between"/>
      </c:valAx>
      <c:spPr>
        <a:noFill/>
        <a:ln w="25400">
          <a:noFill/>
        </a:ln>
      </c:spPr>
    </c:plotArea>
    <c:legend>
      <c:legendPos val="b"/>
      <c:layout>
        <c:manualLayout>
          <c:xMode val="edge"/>
          <c:yMode val="edge"/>
          <c:x val="0"/>
          <c:y val="0.12413443244051771"/>
          <c:w val="0.98737352528955658"/>
          <c:h val="3.7744812285204668E-2"/>
        </c:manualLayout>
      </c:layout>
      <c:overlay val="0"/>
      <c:txPr>
        <a:bodyPr/>
        <a:lstStyle/>
        <a:p>
          <a:pPr>
            <a:defRPr sz="1600"/>
          </a:pPr>
          <a:endParaRPr lang="es-ES"/>
        </a:p>
      </c:txPr>
    </c:legend>
    <c:plotVisOnly val="1"/>
    <c:dispBlanksAs val="gap"/>
    <c:showDLblsOverMax val="0"/>
  </c:chart>
  <c:spPr>
    <a:ln>
      <a:noFill/>
    </a:ln>
  </c:spPr>
  <c:printSettings>
    <c:headerFooter/>
    <c:pageMargins b="0.75000000000000233" l="0.70000000000000062" r="0.70000000000000062" t="0.75000000000000233" header="0.30000000000000032" footer="0.30000000000000032"/>
    <c:pageSetup/>
  </c:printSettings>
  <c:userShapes r:id="rId1"/>
</c:chartSpace>
</file>

<file path=xl/charts/chart3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Traspasos Cedidos por las Entidades de Reparto</a:t>
            </a:r>
          </a:p>
        </c:rich>
      </c:tx>
      <c:layout>
        <c:manualLayout>
          <c:xMode val="edge"/>
          <c:yMode val="edge"/>
          <c:x val="0.16202000799800778"/>
          <c:y val="3.8699505254520525E-2"/>
        </c:manualLayout>
      </c:layout>
      <c:overlay val="0"/>
    </c:title>
    <c:autoTitleDeleted val="0"/>
    <c:view3D>
      <c:rotX val="15"/>
      <c:rotY val="20"/>
      <c:depthPercent val="100"/>
      <c:rAngAx val="1"/>
    </c:view3D>
    <c:floor>
      <c:thickness val="0"/>
    </c:floor>
    <c:sideWall>
      <c:thickness val="0"/>
      <c:spPr>
        <a:ln>
          <a:noFill/>
        </a:ln>
      </c:spPr>
    </c:sideWall>
    <c:backWall>
      <c:thickness val="0"/>
      <c:spPr>
        <a:ln>
          <a:noFill/>
        </a:ln>
      </c:spPr>
    </c:backWall>
    <c:plotArea>
      <c:layout>
        <c:manualLayout>
          <c:layoutTarget val="inner"/>
          <c:xMode val="edge"/>
          <c:yMode val="edge"/>
          <c:x val="0"/>
          <c:y val="0.29714725320735463"/>
          <c:w val="0.99381898383120792"/>
          <c:h val="0.58271984845080027"/>
        </c:manualLayout>
      </c:layout>
      <c:bar3DChart>
        <c:barDir val="col"/>
        <c:grouping val="stacked"/>
        <c:varyColors val="0"/>
        <c:ser>
          <c:idx val="0"/>
          <c:order val="0"/>
          <c:tx>
            <c:strRef>
              <c:f>'III.5.13.Trasp. cedidos'!$L$4</c:f>
              <c:strCache>
                <c:ptCount val="1"/>
                <c:pt idx="0">
                  <c:v>FPBC</c:v>
                </c:pt>
              </c:strCache>
            </c:strRef>
          </c:tx>
          <c:invertIfNegative val="0"/>
          <c:cat>
            <c:strRef>
              <c:f>'III.5.13.Trasp. cedidos'!$A$5:$A$15</c:f>
              <c:strCache>
                <c:ptCount val="11"/>
                <c:pt idx="0">
                  <c:v>2005</c:v>
                </c:pt>
                <c:pt idx="1">
                  <c:v>2006</c:v>
                </c:pt>
                <c:pt idx="2">
                  <c:v>2007</c:v>
                </c:pt>
                <c:pt idx="3">
                  <c:v>2008</c:v>
                </c:pt>
                <c:pt idx="4">
                  <c:v>2009</c:v>
                </c:pt>
                <c:pt idx="5">
                  <c:v>2010</c:v>
                </c:pt>
                <c:pt idx="6">
                  <c:v>2011</c:v>
                </c:pt>
                <c:pt idx="7">
                  <c:v>2012</c:v>
                </c:pt>
                <c:pt idx="8">
                  <c:v>2013</c:v>
                </c:pt>
                <c:pt idx="9">
                  <c:v>2014</c:v>
                </c:pt>
                <c:pt idx="10">
                  <c:v>Ene-Nov. 2015</c:v>
                </c:pt>
              </c:strCache>
            </c:strRef>
          </c:cat>
          <c:val>
            <c:numRef>
              <c:f>'III.5.13.Trasp. cedidos'!$L$5:$L$15</c:f>
              <c:numCache>
                <c:formatCode>0</c:formatCode>
                <c:ptCount val="11"/>
                <c:pt idx="0">
                  <c:v>0</c:v>
                </c:pt>
                <c:pt idx="1">
                  <c:v>259</c:v>
                </c:pt>
                <c:pt idx="2">
                  <c:v>25</c:v>
                </c:pt>
                <c:pt idx="3">
                  <c:v>7</c:v>
                </c:pt>
                <c:pt idx="4">
                  <c:v>7</c:v>
                </c:pt>
                <c:pt idx="5">
                  <c:v>5</c:v>
                </c:pt>
                <c:pt idx="6">
                  <c:v>23</c:v>
                </c:pt>
                <c:pt idx="7">
                  <c:v>3</c:v>
                </c:pt>
                <c:pt idx="8">
                  <c:v>7</c:v>
                </c:pt>
                <c:pt idx="9">
                  <c:v>5</c:v>
                </c:pt>
                <c:pt idx="10">
                  <c:v>2</c:v>
                </c:pt>
              </c:numCache>
            </c:numRef>
          </c:val>
        </c:ser>
        <c:ser>
          <c:idx val="1"/>
          <c:order val="1"/>
          <c:tx>
            <c:strRef>
              <c:f>'III.5.13.Trasp. cedidos'!$M$4</c:f>
              <c:strCache>
                <c:ptCount val="1"/>
                <c:pt idx="0">
                  <c:v>Bco Reservas</c:v>
                </c:pt>
              </c:strCache>
            </c:strRef>
          </c:tx>
          <c:spPr>
            <a:solidFill>
              <a:schemeClr val="accent5">
                <a:lumMod val="50000"/>
              </a:schemeClr>
            </a:solidFill>
          </c:spPr>
          <c:invertIfNegative val="0"/>
          <c:dLbls>
            <c:dLbl>
              <c:idx val="0"/>
              <c:layout>
                <c:manualLayout>
                  <c:x val="-1.8122978824084317E-3"/>
                  <c:y val="-4.776903973090783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0630082021805778E-2"/>
                  <c:y val="-0.22623314889869911"/>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474634715734093E-2"/>
                  <c:y val="-5.6530984359777096E-2"/>
                </c:manualLayout>
              </c:layout>
              <c:tx>
                <c:rich>
                  <a:bodyPr/>
                  <a:lstStyle/>
                  <a:p>
                    <a:r>
                      <a:rPr lang="en-US"/>
                      <a:t>978</a:t>
                    </a:r>
                  </a:p>
                </c:rich>
              </c:tx>
              <c:showLegendKey val="0"/>
              <c:showVal val="0"/>
              <c:showCatName val="0"/>
              <c:showSerName val="0"/>
              <c:showPercent val="0"/>
              <c:showBubbleSize val="0"/>
              <c:extLst>
                <c:ext xmlns:c15="http://schemas.microsoft.com/office/drawing/2012/chart" uri="{CE6537A1-D6FC-4f65-9D91-7224C49458BB}">
                  <c15:layout/>
                </c:ext>
              </c:extLst>
            </c:dLbl>
            <c:dLbl>
              <c:idx val="3"/>
              <c:layout>
                <c:manualLayout>
                  <c:x val="1.3678215649327105E-2"/>
                  <c:y val="-5.4986359547255552E-2"/>
                </c:manualLayout>
              </c:layout>
              <c:tx>
                <c:rich>
                  <a:bodyPr/>
                  <a:lstStyle/>
                  <a:p>
                    <a:r>
                      <a:rPr lang="en-US"/>
                      <a:t>102</a:t>
                    </a:r>
                  </a:p>
                </c:rich>
              </c:tx>
              <c:showLegendKey val="0"/>
              <c:showVal val="0"/>
              <c:showCatName val="0"/>
              <c:showSerName val="0"/>
              <c:showPercent val="0"/>
              <c:showBubbleSize val="0"/>
              <c:extLst>
                <c:ext xmlns:c15="http://schemas.microsoft.com/office/drawing/2012/chart" uri="{CE6537A1-D6FC-4f65-9D91-7224C49458BB}">
                  <c15:layout/>
                </c:ext>
              </c:extLst>
            </c:dLbl>
            <c:dLbl>
              <c:idx val="4"/>
              <c:layout>
                <c:manualLayout>
                  <c:x val="1.9363128210660711E-2"/>
                  <c:y val="-5.1355737298128985E-2"/>
                </c:manualLayout>
              </c:layout>
              <c:tx>
                <c:rich>
                  <a:bodyPr/>
                  <a:lstStyle/>
                  <a:p>
                    <a:r>
                      <a:rPr lang="en-US"/>
                      <a:t>66</a:t>
                    </a:r>
                  </a:p>
                </c:rich>
              </c:tx>
              <c:showLegendKey val="0"/>
              <c:showVal val="0"/>
              <c:showCatName val="0"/>
              <c:showSerName val="0"/>
              <c:showPercent val="0"/>
              <c:showBubbleSize val="0"/>
              <c:extLst>
                <c:ext xmlns:c15="http://schemas.microsoft.com/office/drawing/2012/chart" uri="{CE6537A1-D6FC-4f65-9D91-7224C49458BB}">
                  <c15:layout/>
                </c:ext>
              </c:extLst>
            </c:dLbl>
            <c:dLbl>
              <c:idx val="5"/>
              <c:layout>
                <c:manualLayout>
                  <c:x val="9.0614345960073235E-3"/>
                  <c:y val="-5.1355737298128985E-2"/>
                </c:manualLayout>
              </c:layout>
              <c:tx>
                <c:rich>
                  <a:bodyPr/>
                  <a:lstStyle/>
                  <a:p>
                    <a:r>
                      <a:rPr lang="en-US"/>
                      <a:t>71</a:t>
                    </a:r>
                  </a:p>
                </c:rich>
              </c:tx>
              <c:showLegendKey val="0"/>
              <c:showVal val="0"/>
              <c:showCatName val="0"/>
              <c:showSerName val="0"/>
              <c:showPercent val="0"/>
              <c:showBubbleSize val="0"/>
              <c:extLst>
                <c:ext xmlns:c15="http://schemas.microsoft.com/office/drawing/2012/chart" uri="{CE6537A1-D6FC-4f65-9D91-7224C49458BB}">
                  <c15:layout/>
                </c:ext>
              </c:extLst>
            </c:dLbl>
            <c:dLbl>
              <c:idx val="6"/>
              <c:layout>
                <c:manualLayout>
                  <c:x val="7.2491476768058588E-3"/>
                  <c:y val="-4.2103506405193683E-2"/>
                </c:manualLayout>
              </c:layout>
              <c:tx>
                <c:rich>
                  <a:bodyPr/>
                  <a:lstStyle/>
                  <a:p>
                    <a:r>
                      <a:rPr lang="en-US"/>
                      <a:t>48</a:t>
                    </a:r>
                  </a:p>
                </c:rich>
              </c:tx>
              <c:showLegendKey val="0"/>
              <c:showVal val="0"/>
              <c:showCatName val="0"/>
              <c:showSerName val="0"/>
              <c:showPercent val="0"/>
              <c:showBubbleSize val="0"/>
              <c:extLst>
                <c:ext xmlns:c15="http://schemas.microsoft.com/office/drawing/2012/chart" uri="{CE6537A1-D6FC-4f65-9D91-7224C49458BB}">
                  <c15:layout/>
                </c:ext>
              </c:extLst>
            </c:dLbl>
            <c:dLbl>
              <c:idx val="7"/>
              <c:layout>
                <c:manualLayout>
                  <c:x val="7.2491476768058588E-3"/>
                  <c:y val="-3.8494843564831863E-2"/>
                </c:manualLayout>
              </c:layout>
              <c:tx>
                <c:rich>
                  <a:bodyPr/>
                  <a:lstStyle/>
                  <a:p>
                    <a:pPr>
                      <a:defRPr sz="1400" b="0"/>
                    </a:pPr>
                    <a:r>
                      <a:rPr lang="en-US" sz="1400" b="0"/>
                      <a:t>64</a:t>
                    </a:r>
                  </a:p>
                </c:rich>
              </c:tx>
              <c:spPr/>
              <c:showLegendKey val="0"/>
              <c:showVal val="0"/>
              <c:showCatName val="0"/>
              <c:showSerName val="0"/>
              <c:showPercent val="0"/>
              <c:showBubbleSize val="0"/>
              <c:extLst>
                <c:ext xmlns:c15="http://schemas.microsoft.com/office/drawing/2012/chart" uri="{CE6537A1-D6FC-4f65-9D91-7224C49458BB}">
                  <c15:layout/>
                </c:ext>
              </c:extLst>
            </c:dLbl>
            <c:dLbl>
              <c:idx val="8"/>
              <c:layout>
                <c:manualLayout>
                  <c:x val="1.201096359770832E-2"/>
                  <c:y val="-3.6641908653251419E-2"/>
                </c:manualLayout>
              </c:layout>
              <c:tx>
                <c:rich>
                  <a:bodyPr/>
                  <a:lstStyle/>
                  <a:p>
                    <a:r>
                      <a:rPr lang="en-US"/>
                      <a:t>14</a:t>
                    </a:r>
                  </a:p>
                </c:rich>
              </c:tx>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1.2444447057451548E-2"/>
                  <c:y val="-4.400785673074757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1.0101011707788389E-2"/>
                  <c:y val="-6.1354588089070287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'III.5.13.Trasp. cedidos'!$A$5:$A$15</c:f>
              <c:strCache>
                <c:ptCount val="11"/>
                <c:pt idx="0">
                  <c:v>2005</c:v>
                </c:pt>
                <c:pt idx="1">
                  <c:v>2006</c:v>
                </c:pt>
                <c:pt idx="2">
                  <c:v>2007</c:v>
                </c:pt>
                <c:pt idx="3">
                  <c:v>2008</c:v>
                </c:pt>
                <c:pt idx="4">
                  <c:v>2009</c:v>
                </c:pt>
                <c:pt idx="5">
                  <c:v>2010</c:v>
                </c:pt>
                <c:pt idx="6">
                  <c:v>2011</c:v>
                </c:pt>
                <c:pt idx="7">
                  <c:v>2012</c:v>
                </c:pt>
                <c:pt idx="8">
                  <c:v>2013</c:v>
                </c:pt>
                <c:pt idx="9">
                  <c:v>2014</c:v>
                </c:pt>
                <c:pt idx="10">
                  <c:v>Ene-Nov. 2015</c:v>
                </c:pt>
              </c:strCache>
            </c:strRef>
          </c:cat>
          <c:val>
            <c:numRef>
              <c:f>'III.5.13.Trasp. cedidos'!$M$5:$M$15</c:f>
              <c:numCache>
                <c:formatCode>0</c:formatCode>
                <c:ptCount val="11"/>
                <c:pt idx="0">
                  <c:v>0</c:v>
                </c:pt>
                <c:pt idx="1">
                  <c:v>719</c:v>
                </c:pt>
                <c:pt idx="2">
                  <c:v>77</c:v>
                </c:pt>
                <c:pt idx="3">
                  <c:v>59</c:v>
                </c:pt>
                <c:pt idx="4">
                  <c:v>64</c:v>
                </c:pt>
                <c:pt idx="5">
                  <c:v>43</c:v>
                </c:pt>
                <c:pt idx="6">
                  <c:v>41</c:v>
                </c:pt>
                <c:pt idx="7">
                  <c:v>16</c:v>
                </c:pt>
                <c:pt idx="8">
                  <c:v>32</c:v>
                </c:pt>
                <c:pt idx="9">
                  <c:v>32</c:v>
                </c:pt>
                <c:pt idx="10">
                  <c:v>35</c:v>
                </c:pt>
              </c:numCache>
            </c:numRef>
          </c:val>
        </c:ser>
        <c:ser>
          <c:idx val="2"/>
          <c:order val="2"/>
          <c:tx>
            <c:strRef>
              <c:f>'III.5.13.Trasp. cedidos'!$N$4</c:f>
              <c:strCache>
                <c:ptCount val="1"/>
                <c:pt idx="0">
                  <c:v>INABIMA</c:v>
                </c:pt>
              </c:strCache>
            </c:strRef>
          </c:tx>
          <c:invertIfNegative val="0"/>
          <c:cat>
            <c:strRef>
              <c:f>'III.5.13.Trasp. cedidos'!$A$5:$A$15</c:f>
              <c:strCache>
                <c:ptCount val="11"/>
                <c:pt idx="0">
                  <c:v>2005</c:v>
                </c:pt>
                <c:pt idx="1">
                  <c:v>2006</c:v>
                </c:pt>
                <c:pt idx="2">
                  <c:v>2007</c:v>
                </c:pt>
                <c:pt idx="3">
                  <c:v>2008</c:v>
                </c:pt>
                <c:pt idx="4">
                  <c:v>2009</c:v>
                </c:pt>
                <c:pt idx="5">
                  <c:v>2010</c:v>
                </c:pt>
                <c:pt idx="6">
                  <c:v>2011</c:v>
                </c:pt>
                <c:pt idx="7">
                  <c:v>2012</c:v>
                </c:pt>
                <c:pt idx="8">
                  <c:v>2013</c:v>
                </c:pt>
                <c:pt idx="9">
                  <c:v>2014</c:v>
                </c:pt>
                <c:pt idx="10">
                  <c:v>Ene-Nov. 2015</c:v>
                </c:pt>
              </c:strCache>
            </c:strRef>
          </c:cat>
          <c:val>
            <c:numRef>
              <c:f>'III.5.13.Trasp. cedidos'!$N$5:$N$15</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er>
        <c:ser>
          <c:idx val="3"/>
          <c:order val="3"/>
          <c:tx>
            <c:strRef>
              <c:f>'III.5.13.Trasp. cedidos'!$O$4</c:f>
              <c:strCache>
                <c:ptCount val="1"/>
                <c:pt idx="0">
                  <c:v>S.E.H.</c:v>
                </c:pt>
              </c:strCache>
            </c:strRef>
          </c:tx>
          <c:invertIfNegative val="0"/>
          <c:cat>
            <c:strRef>
              <c:f>'III.5.13.Trasp. cedidos'!$A$5:$A$15</c:f>
              <c:strCache>
                <c:ptCount val="11"/>
                <c:pt idx="0">
                  <c:v>2005</c:v>
                </c:pt>
                <c:pt idx="1">
                  <c:v>2006</c:v>
                </c:pt>
                <c:pt idx="2">
                  <c:v>2007</c:v>
                </c:pt>
                <c:pt idx="3">
                  <c:v>2008</c:v>
                </c:pt>
                <c:pt idx="4">
                  <c:v>2009</c:v>
                </c:pt>
                <c:pt idx="5">
                  <c:v>2010</c:v>
                </c:pt>
                <c:pt idx="6">
                  <c:v>2011</c:v>
                </c:pt>
                <c:pt idx="7">
                  <c:v>2012</c:v>
                </c:pt>
                <c:pt idx="8">
                  <c:v>2013</c:v>
                </c:pt>
                <c:pt idx="9">
                  <c:v>2014</c:v>
                </c:pt>
                <c:pt idx="10">
                  <c:v>Ene-Nov. 2015</c:v>
                </c:pt>
              </c:strCache>
            </c:strRef>
          </c:cat>
          <c:val>
            <c:numRef>
              <c:f>'III.5.13.Trasp. cedidos'!$O$5:$O$15</c:f>
              <c:numCache>
                <c:formatCode>0</c:formatCode>
                <c:ptCount val="11"/>
                <c:pt idx="0">
                  <c:v>0</c:v>
                </c:pt>
                <c:pt idx="1">
                  <c:v>0</c:v>
                </c:pt>
                <c:pt idx="2">
                  <c:v>0</c:v>
                </c:pt>
                <c:pt idx="3">
                  <c:v>0</c:v>
                </c:pt>
                <c:pt idx="4">
                  <c:v>0</c:v>
                </c:pt>
                <c:pt idx="5">
                  <c:v>0</c:v>
                </c:pt>
                <c:pt idx="6">
                  <c:v>0</c:v>
                </c:pt>
                <c:pt idx="7">
                  <c:v>0</c:v>
                </c:pt>
                <c:pt idx="8">
                  <c:v>0</c:v>
                </c:pt>
                <c:pt idx="9">
                  <c:v>7</c:v>
                </c:pt>
                <c:pt idx="10">
                  <c:v>85</c:v>
                </c:pt>
              </c:numCache>
            </c:numRef>
          </c:val>
        </c:ser>
        <c:dLbls>
          <c:showLegendKey val="0"/>
          <c:showVal val="0"/>
          <c:showCatName val="0"/>
          <c:showSerName val="0"/>
          <c:showPercent val="0"/>
          <c:showBubbleSize val="0"/>
        </c:dLbls>
        <c:gapWidth val="13"/>
        <c:shape val="cylinder"/>
        <c:axId val="500232576"/>
        <c:axId val="500233752"/>
        <c:axId val="0"/>
      </c:bar3DChart>
      <c:catAx>
        <c:axId val="500232576"/>
        <c:scaling>
          <c:orientation val="minMax"/>
        </c:scaling>
        <c:delete val="0"/>
        <c:axPos val="b"/>
        <c:numFmt formatCode="General" sourceLinked="1"/>
        <c:majorTickMark val="none"/>
        <c:minorTickMark val="none"/>
        <c:tickLblPos val="nextTo"/>
        <c:txPr>
          <a:bodyPr/>
          <a:lstStyle/>
          <a:p>
            <a:pPr>
              <a:defRPr sz="1050"/>
            </a:pPr>
            <a:endParaRPr lang="es-ES"/>
          </a:p>
        </c:txPr>
        <c:crossAx val="500233752"/>
        <c:crosses val="autoZero"/>
        <c:auto val="1"/>
        <c:lblAlgn val="ctr"/>
        <c:lblOffset val="100"/>
        <c:noMultiLvlLbl val="0"/>
      </c:catAx>
      <c:valAx>
        <c:axId val="500233752"/>
        <c:scaling>
          <c:orientation val="minMax"/>
        </c:scaling>
        <c:delete val="1"/>
        <c:axPos val="l"/>
        <c:numFmt formatCode="0" sourceLinked="1"/>
        <c:majorTickMark val="out"/>
        <c:minorTickMark val="none"/>
        <c:tickLblPos val="nextTo"/>
        <c:crossAx val="500232576"/>
        <c:crosses val="autoZero"/>
        <c:crossBetween val="between"/>
      </c:valAx>
      <c:spPr>
        <a:noFill/>
        <a:ln w="25400">
          <a:noFill/>
        </a:ln>
      </c:spPr>
    </c:plotArea>
    <c:legend>
      <c:legendPos val="b"/>
      <c:layout>
        <c:manualLayout>
          <c:xMode val="edge"/>
          <c:yMode val="edge"/>
          <c:x val="6.6789445345115384E-2"/>
          <c:y val="0.1179027946144086"/>
          <c:w val="0.88273346035814859"/>
          <c:h val="3.7670594623947853E-2"/>
        </c:manualLayout>
      </c:layout>
      <c:overlay val="0"/>
      <c:txPr>
        <a:bodyPr/>
        <a:lstStyle/>
        <a:p>
          <a:pPr>
            <a:defRPr sz="1600"/>
          </a:pPr>
          <a:endParaRPr lang="es-ES"/>
        </a:p>
      </c:txPr>
    </c:legend>
    <c:plotVisOnly val="1"/>
    <c:dispBlanksAs val="gap"/>
    <c:showDLblsOverMax val="0"/>
  </c:chart>
  <c:spPr>
    <a:ln>
      <a:noFill/>
    </a:ln>
  </c:spPr>
  <c:printSettings>
    <c:headerFooter/>
    <c:pageMargins b="0.75000000000000233" l="0.70000000000000062" r="0.70000000000000062" t="0.75000000000000233" header="0.30000000000000032" footer="0.30000000000000032"/>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US" sz="1600">
                <a:latin typeface="+mn-lt"/>
              </a:defRPr>
            </a:pPr>
            <a:r>
              <a:rPr lang="en-US" sz="1600">
                <a:latin typeface="Calibri" pitchFamily="34" charset="0"/>
              </a:rPr>
              <a:t>Traspaso Netos </a:t>
            </a:r>
            <a:r>
              <a:rPr lang="en-US" sz="1600" baseline="0">
                <a:latin typeface="Calibri" pitchFamily="34" charset="0"/>
              </a:rPr>
              <a:t> </a:t>
            </a:r>
            <a:r>
              <a:rPr lang="en-US" sz="1600">
                <a:latin typeface="Calibri" pitchFamily="34" charset="0"/>
              </a:rPr>
              <a:t>Entidades de CCI</a:t>
            </a:r>
          </a:p>
        </c:rich>
      </c:tx>
      <c:layout/>
      <c:overlay val="0"/>
    </c:title>
    <c:autoTitleDeleted val="0"/>
    <c:view3D>
      <c:rotX val="15"/>
      <c:rotY val="20"/>
      <c:depthPercent val="100"/>
      <c:rAngAx val="1"/>
    </c:view3D>
    <c:floor>
      <c:thickness val="0"/>
    </c:floor>
    <c:sideWall>
      <c:thickness val="0"/>
      <c:spPr>
        <a:ln>
          <a:noFill/>
        </a:ln>
      </c:spPr>
    </c:sideWall>
    <c:backWall>
      <c:thickness val="0"/>
      <c:spPr>
        <a:noFill/>
        <a:ln>
          <a:noFill/>
        </a:ln>
      </c:spPr>
    </c:backWall>
    <c:plotArea>
      <c:layout>
        <c:manualLayout>
          <c:layoutTarget val="inner"/>
          <c:xMode val="edge"/>
          <c:yMode val="edge"/>
          <c:x val="2.6806423664136117E-2"/>
          <c:y val="0.23068250920159736"/>
          <c:w val="0.92872111926271006"/>
          <c:h val="0.54100592038880702"/>
        </c:manualLayout>
      </c:layout>
      <c:bar3DChart>
        <c:barDir val="col"/>
        <c:grouping val="stacked"/>
        <c:varyColors val="0"/>
        <c:ser>
          <c:idx val="0"/>
          <c:order val="0"/>
          <c:tx>
            <c:strRef>
              <c:f>'III.5.14.Trasp. netos'!$B$4</c:f>
              <c:strCache>
                <c:ptCount val="1"/>
                <c:pt idx="0">
                  <c:v>Camino </c:v>
                </c:pt>
              </c:strCache>
            </c:strRef>
          </c:tx>
          <c:invertIfNegative val="0"/>
          <c:cat>
            <c:strRef>
              <c:f>'III.5.14.Trasp. netos'!$A$5:$A$15</c:f>
              <c:strCache>
                <c:ptCount val="11"/>
                <c:pt idx="0">
                  <c:v>2005</c:v>
                </c:pt>
                <c:pt idx="1">
                  <c:v>2006</c:v>
                </c:pt>
                <c:pt idx="2">
                  <c:v>2007</c:v>
                </c:pt>
                <c:pt idx="3">
                  <c:v>2008</c:v>
                </c:pt>
                <c:pt idx="4">
                  <c:v>2009</c:v>
                </c:pt>
                <c:pt idx="5">
                  <c:v>2010</c:v>
                </c:pt>
                <c:pt idx="6">
                  <c:v>2011</c:v>
                </c:pt>
                <c:pt idx="7">
                  <c:v>2012</c:v>
                </c:pt>
                <c:pt idx="8">
                  <c:v>2013</c:v>
                </c:pt>
                <c:pt idx="9">
                  <c:v>2014</c:v>
                </c:pt>
                <c:pt idx="10">
                  <c:v>Ene-Nov.2015</c:v>
                </c:pt>
              </c:strCache>
            </c:strRef>
          </c:cat>
          <c:val>
            <c:numRef>
              <c:f>'III.5.14.Trasp. netos'!$B$5:$B$15</c:f>
              <c:numCache>
                <c:formatCode>#,##0_);[Red]\(#,##0\)</c:formatCode>
                <c:ptCount val="11"/>
                <c:pt idx="0">
                  <c:v>0</c:v>
                </c:pt>
                <c:pt idx="1">
                  <c:v>0</c:v>
                </c:pt>
                <c:pt idx="2">
                  <c:v>0</c:v>
                </c:pt>
                <c:pt idx="3">
                  <c:v>0</c:v>
                </c:pt>
                <c:pt idx="4">
                  <c:v>0</c:v>
                </c:pt>
                <c:pt idx="5">
                  <c:v>0</c:v>
                </c:pt>
                <c:pt idx="6">
                  <c:v>0</c:v>
                </c:pt>
                <c:pt idx="7">
                  <c:v>0</c:v>
                </c:pt>
                <c:pt idx="8">
                  <c:v>0</c:v>
                </c:pt>
                <c:pt idx="9">
                  <c:v>0</c:v>
                </c:pt>
                <c:pt idx="10">
                  <c:v>0</c:v>
                </c:pt>
              </c:numCache>
            </c:numRef>
          </c:val>
        </c:ser>
        <c:ser>
          <c:idx val="1"/>
          <c:order val="1"/>
          <c:tx>
            <c:strRef>
              <c:f>'III.5.14.Trasp. netos'!$C$4</c:f>
              <c:strCache>
                <c:ptCount val="1"/>
                <c:pt idx="0">
                  <c:v>Caribalico</c:v>
                </c:pt>
              </c:strCache>
            </c:strRef>
          </c:tx>
          <c:invertIfNegative val="0"/>
          <c:cat>
            <c:strRef>
              <c:f>'III.5.14.Trasp. netos'!$A$5:$A$15</c:f>
              <c:strCache>
                <c:ptCount val="11"/>
                <c:pt idx="0">
                  <c:v>2005</c:v>
                </c:pt>
                <c:pt idx="1">
                  <c:v>2006</c:v>
                </c:pt>
                <c:pt idx="2">
                  <c:v>2007</c:v>
                </c:pt>
                <c:pt idx="3">
                  <c:v>2008</c:v>
                </c:pt>
                <c:pt idx="4">
                  <c:v>2009</c:v>
                </c:pt>
                <c:pt idx="5">
                  <c:v>2010</c:v>
                </c:pt>
                <c:pt idx="6">
                  <c:v>2011</c:v>
                </c:pt>
                <c:pt idx="7">
                  <c:v>2012</c:v>
                </c:pt>
                <c:pt idx="8">
                  <c:v>2013</c:v>
                </c:pt>
                <c:pt idx="9">
                  <c:v>2014</c:v>
                </c:pt>
                <c:pt idx="10">
                  <c:v>Ene-Nov.2015</c:v>
                </c:pt>
              </c:strCache>
            </c:strRef>
          </c:cat>
          <c:val>
            <c:numRef>
              <c:f>'III.5.14.Trasp. netos'!$C$5:$C$15</c:f>
              <c:numCache>
                <c:formatCode>#,##0_);[Red]\(#,##0\)</c:formatCode>
                <c:ptCount val="11"/>
                <c:pt idx="0">
                  <c:v>-53</c:v>
                </c:pt>
                <c:pt idx="1">
                  <c:v>-62</c:v>
                </c:pt>
                <c:pt idx="2">
                  <c:v>-363</c:v>
                </c:pt>
                <c:pt idx="3">
                  <c:v>0</c:v>
                </c:pt>
                <c:pt idx="4">
                  <c:v>0</c:v>
                </c:pt>
                <c:pt idx="5">
                  <c:v>0</c:v>
                </c:pt>
                <c:pt idx="6">
                  <c:v>0</c:v>
                </c:pt>
                <c:pt idx="7">
                  <c:v>0</c:v>
                </c:pt>
                <c:pt idx="8">
                  <c:v>0</c:v>
                </c:pt>
                <c:pt idx="9">
                  <c:v>0</c:v>
                </c:pt>
                <c:pt idx="10">
                  <c:v>0</c:v>
                </c:pt>
              </c:numCache>
            </c:numRef>
          </c:val>
        </c:ser>
        <c:ser>
          <c:idx val="2"/>
          <c:order val="2"/>
          <c:tx>
            <c:strRef>
              <c:f>'III.5.14.Trasp. netos'!$D$4</c:f>
              <c:strCache>
                <c:ptCount val="1"/>
                <c:pt idx="0">
                  <c:v>León</c:v>
                </c:pt>
              </c:strCache>
            </c:strRef>
          </c:tx>
          <c:invertIfNegative val="0"/>
          <c:cat>
            <c:strRef>
              <c:f>'III.5.14.Trasp. netos'!$A$5:$A$15</c:f>
              <c:strCache>
                <c:ptCount val="11"/>
                <c:pt idx="0">
                  <c:v>2005</c:v>
                </c:pt>
                <c:pt idx="1">
                  <c:v>2006</c:v>
                </c:pt>
                <c:pt idx="2">
                  <c:v>2007</c:v>
                </c:pt>
                <c:pt idx="3">
                  <c:v>2008</c:v>
                </c:pt>
                <c:pt idx="4">
                  <c:v>2009</c:v>
                </c:pt>
                <c:pt idx="5">
                  <c:v>2010</c:v>
                </c:pt>
                <c:pt idx="6">
                  <c:v>2011</c:v>
                </c:pt>
                <c:pt idx="7">
                  <c:v>2012</c:v>
                </c:pt>
                <c:pt idx="8">
                  <c:v>2013</c:v>
                </c:pt>
                <c:pt idx="9">
                  <c:v>2014</c:v>
                </c:pt>
                <c:pt idx="10">
                  <c:v>Ene-Nov.2015</c:v>
                </c:pt>
              </c:strCache>
            </c:strRef>
          </c:cat>
          <c:val>
            <c:numRef>
              <c:f>'III.5.14.Trasp. netos'!$D$5:$D$15</c:f>
              <c:numCache>
                <c:formatCode>#,##0_);[Red]\(#,##0\)</c:formatCode>
                <c:ptCount val="11"/>
                <c:pt idx="0">
                  <c:v>265</c:v>
                </c:pt>
                <c:pt idx="1">
                  <c:v>336</c:v>
                </c:pt>
                <c:pt idx="2">
                  <c:v>47</c:v>
                </c:pt>
                <c:pt idx="3">
                  <c:v>0</c:v>
                </c:pt>
                <c:pt idx="4">
                  <c:v>0</c:v>
                </c:pt>
                <c:pt idx="5">
                  <c:v>0</c:v>
                </c:pt>
                <c:pt idx="6">
                  <c:v>0</c:v>
                </c:pt>
                <c:pt idx="7">
                  <c:v>0</c:v>
                </c:pt>
                <c:pt idx="8">
                  <c:v>0</c:v>
                </c:pt>
                <c:pt idx="9">
                  <c:v>0</c:v>
                </c:pt>
                <c:pt idx="10">
                  <c:v>0</c:v>
                </c:pt>
              </c:numCache>
            </c:numRef>
          </c:val>
        </c:ser>
        <c:ser>
          <c:idx val="3"/>
          <c:order val="3"/>
          <c:tx>
            <c:strRef>
              <c:f>'III.5.14.Trasp. netos'!$E$4</c:f>
              <c:strCache>
                <c:ptCount val="1"/>
                <c:pt idx="0">
                  <c:v> Popular</c:v>
                </c:pt>
              </c:strCache>
            </c:strRef>
          </c:tx>
          <c:invertIfNegative val="0"/>
          <c:cat>
            <c:strRef>
              <c:f>'III.5.14.Trasp. netos'!$A$5:$A$15</c:f>
              <c:strCache>
                <c:ptCount val="11"/>
                <c:pt idx="0">
                  <c:v>2005</c:v>
                </c:pt>
                <c:pt idx="1">
                  <c:v>2006</c:v>
                </c:pt>
                <c:pt idx="2">
                  <c:v>2007</c:v>
                </c:pt>
                <c:pt idx="3">
                  <c:v>2008</c:v>
                </c:pt>
                <c:pt idx="4">
                  <c:v>2009</c:v>
                </c:pt>
                <c:pt idx="5">
                  <c:v>2010</c:v>
                </c:pt>
                <c:pt idx="6">
                  <c:v>2011</c:v>
                </c:pt>
                <c:pt idx="7">
                  <c:v>2012</c:v>
                </c:pt>
                <c:pt idx="8">
                  <c:v>2013</c:v>
                </c:pt>
                <c:pt idx="9">
                  <c:v>2014</c:v>
                </c:pt>
                <c:pt idx="10">
                  <c:v>Ene-Nov.2015</c:v>
                </c:pt>
              </c:strCache>
            </c:strRef>
          </c:cat>
          <c:val>
            <c:numRef>
              <c:f>'III.5.14.Trasp. netos'!$E$5:$E$15</c:f>
              <c:numCache>
                <c:formatCode>#,##0_);[Red]\(#,##0\)</c:formatCode>
                <c:ptCount val="11"/>
                <c:pt idx="0">
                  <c:v>-20</c:v>
                </c:pt>
                <c:pt idx="1">
                  <c:v>-5</c:v>
                </c:pt>
                <c:pt idx="2">
                  <c:v>-72</c:v>
                </c:pt>
                <c:pt idx="3">
                  <c:v>-71</c:v>
                </c:pt>
                <c:pt idx="4">
                  <c:v>-5808</c:v>
                </c:pt>
                <c:pt idx="5">
                  <c:v>-1840</c:v>
                </c:pt>
                <c:pt idx="6">
                  <c:v>-1031</c:v>
                </c:pt>
                <c:pt idx="7">
                  <c:v>-1617</c:v>
                </c:pt>
                <c:pt idx="8">
                  <c:v>-2160</c:v>
                </c:pt>
                <c:pt idx="9">
                  <c:v>-5285</c:v>
                </c:pt>
                <c:pt idx="10">
                  <c:v>-5094</c:v>
                </c:pt>
              </c:numCache>
            </c:numRef>
          </c:val>
        </c:ser>
        <c:ser>
          <c:idx val="4"/>
          <c:order val="4"/>
          <c:tx>
            <c:strRef>
              <c:f>'III.5.14.Trasp. netos'!$F$4</c:f>
              <c:strCache>
                <c:ptCount val="1"/>
                <c:pt idx="0">
                  <c:v>Porvenir </c:v>
                </c:pt>
              </c:strCache>
            </c:strRef>
          </c:tx>
          <c:invertIfNegative val="0"/>
          <c:cat>
            <c:strRef>
              <c:f>'III.5.14.Trasp. netos'!$A$5:$A$15</c:f>
              <c:strCache>
                <c:ptCount val="11"/>
                <c:pt idx="0">
                  <c:v>2005</c:v>
                </c:pt>
                <c:pt idx="1">
                  <c:v>2006</c:v>
                </c:pt>
                <c:pt idx="2">
                  <c:v>2007</c:v>
                </c:pt>
                <c:pt idx="3">
                  <c:v>2008</c:v>
                </c:pt>
                <c:pt idx="4">
                  <c:v>2009</c:v>
                </c:pt>
                <c:pt idx="5">
                  <c:v>2010</c:v>
                </c:pt>
                <c:pt idx="6">
                  <c:v>2011</c:v>
                </c:pt>
                <c:pt idx="7">
                  <c:v>2012</c:v>
                </c:pt>
                <c:pt idx="8">
                  <c:v>2013</c:v>
                </c:pt>
                <c:pt idx="9">
                  <c:v>2014</c:v>
                </c:pt>
                <c:pt idx="10">
                  <c:v>Ene-Nov.2015</c:v>
                </c:pt>
              </c:strCache>
            </c:strRef>
          </c:cat>
          <c:val>
            <c:numRef>
              <c:f>'III.5.14.Trasp. netos'!$F$5:$F$15</c:f>
              <c:numCache>
                <c:formatCode>#,##0_);[Red]\(#,##0\)</c:formatCode>
                <c:ptCount val="11"/>
                <c:pt idx="0">
                  <c:v>0</c:v>
                </c:pt>
                <c:pt idx="1">
                  <c:v>0</c:v>
                </c:pt>
                <c:pt idx="2">
                  <c:v>0</c:v>
                </c:pt>
                <c:pt idx="3">
                  <c:v>0</c:v>
                </c:pt>
                <c:pt idx="4">
                  <c:v>0</c:v>
                </c:pt>
                <c:pt idx="5">
                  <c:v>0</c:v>
                </c:pt>
                <c:pt idx="6">
                  <c:v>0</c:v>
                </c:pt>
                <c:pt idx="7">
                  <c:v>0</c:v>
                </c:pt>
                <c:pt idx="8">
                  <c:v>0</c:v>
                </c:pt>
                <c:pt idx="9">
                  <c:v>0</c:v>
                </c:pt>
                <c:pt idx="10">
                  <c:v>0</c:v>
                </c:pt>
              </c:numCache>
            </c:numRef>
          </c:val>
        </c:ser>
        <c:ser>
          <c:idx val="5"/>
          <c:order val="5"/>
          <c:tx>
            <c:strRef>
              <c:f>'III.5.14.Trasp. netos'!$G$4</c:f>
              <c:strCache>
                <c:ptCount val="1"/>
                <c:pt idx="0">
                  <c:v> Reservas </c:v>
                </c:pt>
              </c:strCache>
            </c:strRef>
          </c:tx>
          <c:invertIfNegative val="0"/>
          <c:cat>
            <c:strRef>
              <c:f>'III.5.14.Trasp. netos'!$A$5:$A$15</c:f>
              <c:strCache>
                <c:ptCount val="11"/>
                <c:pt idx="0">
                  <c:v>2005</c:v>
                </c:pt>
                <c:pt idx="1">
                  <c:v>2006</c:v>
                </c:pt>
                <c:pt idx="2">
                  <c:v>2007</c:v>
                </c:pt>
                <c:pt idx="3">
                  <c:v>2008</c:v>
                </c:pt>
                <c:pt idx="4">
                  <c:v>2009</c:v>
                </c:pt>
                <c:pt idx="5">
                  <c:v>2010</c:v>
                </c:pt>
                <c:pt idx="6">
                  <c:v>2011</c:v>
                </c:pt>
                <c:pt idx="7">
                  <c:v>2012</c:v>
                </c:pt>
                <c:pt idx="8">
                  <c:v>2013</c:v>
                </c:pt>
                <c:pt idx="9">
                  <c:v>2014</c:v>
                </c:pt>
                <c:pt idx="10">
                  <c:v>Ene-Nov.2015</c:v>
                </c:pt>
              </c:strCache>
            </c:strRef>
          </c:cat>
          <c:val>
            <c:numRef>
              <c:f>'III.5.14.Trasp. netos'!$G$5:$G$15</c:f>
              <c:numCache>
                <c:formatCode>#,##0_);[Red]\(#,##0\)</c:formatCode>
                <c:ptCount val="11"/>
                <c:pt idx="0">
                  <c:v>52</c:v>
                </c:pt>
                <c:pt idx="1">
                  <c:v>989</c:v>
                </c:pt>
                <c:pt idx="2">
                  <c:v>530</c:v>
                </c:pt>
                <c:pt idx="3">
                  <c:v>432</c:v>
                </c:pt>
                <c:pt idx="4">
                  <c:v>-4380</c:v>
                </c:pt>
                <c:pt idx="5">
                  <c:v>-1137</c:v>
                </c:pt>
                <c:pt idx="6">
                  <c:v>2090</c:v>
                </c:pt>
                <c:pt idx="7">
                  <c:v>1986</c:v>
                </c:pt>
                <c:pt idx="8">
                  <c:v>4515</c:v>
                </c:pt>
                <c:pt idx="9">
                  <c:v>7338</c:v>
                </c:pt>
                <c:pt idx="10">
                  <c:v>10690</c:v>
                </c:pt>
              </c:numCache>
            </c:numRef>
          </c:val>
        </c:ser>
        <c:ser>
          <c:idx val="6"/>
          <c:order val="6"/>
          <c:tx>
            <c:strRef>
              <c:f>'III.5.14.Trasp. netos'!$H$4</c:f>
              <c:strCache>
                <c:ptCount val="1"/>
                <c:pt idx="0">
                  <c:v>Romana</c:v>
                </c:pt>
              </c:strCache>
            </c:strRef>
          </c:tx>
          <c:invertIfNegative val="0"/>
          <c:cat>
            <c:strRef>
              <c:f>'III.5.14.Trasp. netos'!$A$5:$A$15</c:f>
              <c:strCache>
                <c:ptCount val="11"/>
                <c:pt idx="0">
                  <c:v>2005</c:v>
                </c:pt>
                <c:pt idx="1">
                  <c:v>2006</c:v>
                </c:pt>
                <c:pt idx="2">
                  <c:v>2007</c:v>
                </c:pt>
                <c:pt idx="3">
                  <c:v>2008</c:v>
                </c:pt>
                <c:pt idx="4">
                  <c:v>2009</c:v>
                </c:pt>
                <c:pt idx="5">
                  <c:v>2010</c:v>
                </c:pt>
                <c:pt idx="6">
                  <c:v>2011</c:v>
                </c:pt>
                <c:pt idx="7">
                  <c:v>2012</c:v>
                </c:pt>
                <c:pt idx="8">
                  <c:v>2013</c:v>
                </c:pt>
                <c:pt idx="9">
                  <c:v>2014</c:v>
                </c:pt>
                <c:pt idx="10">
                  <c:v>Ene-Nov.2015</c:v>
                </c:pt>
              </c:strCache>
            </c:strRef>
          </c:cat>
          <c:val>
            <c:numRef>
              <c:f>'III.5.14.Trasp. netos'!$H$5:$H$15</c:f>
              <c:numCache>
                <c:formatCode>#,##0_);[Red]\(#,##0\)</c:formatCode>
                <c:ptCount val="11"/>
                <c:pt idx="0">
                  <c:v>-5</c:v>
                </c:pt>
                <c:pt idx="1">
                  <c:v>14</c:v>
                </c:pt>
                <c:pt idx="2">
                  <c:v>0</c:v>
                </c:pt>
                <c:pt idx="3">
                  <c:v>-16</c:v>
                </c:pt>
                <c:pt idx="4">
                  <c:v>-56</c:v>
                </c:pt>
                <c:pt idx="5">
                  <c:v>-20</c:v>
                </c:pt>
                <c:pt idx="6">
                  <c:v>-15</c:v>
                </c:pt>
                <c:pt idx="7">
                  <c:v>-28</c:v>
                </c:pt>
                <c:pt idx="8">
                  <c:v>-26</c:v>
                </c:pt>
                <c:pt idx="9">
                  <c:v>661</c:v>
                </c:pt>
                <c:pt idx="10">
                  <c:v>794</c:v>
                </c:pt>
              </c:numCache>
            </c:numRef>
          </c:val>
        </c:ser>
        <c:ser>
          <c:idx val="7"/>
          <c:order val="7"/>
          <c:tx>
            <c:strRef>
              <c:f>'III.5.14.Trasp. netos'!$I$4</c:f>
              <c:strCache>
                <c:ptCount val="1"/>
                <c:pt idx="0">
                  <c:v>Scotia Crecer</c:v>
                </c:pt>
              </c:strCache>
            </c:strRef>
          </c:tx>
          <c:invertIfNegative val="0"/>
          <c:cat>
            <c:strRef>
              <c:f>'III.5.14.Trasp. netos'!$A$5:$A$15</c:f>
              <c:strCache>
                <c:ptCount val="11"/>
                <c:pt idx="0">
                  <c:v>2005</c:v>
                </c:pt>
                <c:pt idx="1">
                  <c:v>2006</c:v>
                </c:pt>
                <c:pt idx="2">
                  <c:v>2007</c:v>
                </c:pt>
                <c:pt idx="3">
                  <c:v>2008</c:v>
                </c:pt>
                <c:pt idx="4">
                  <c:v>2009</c:v>
                </c:pt>
                <c:pt idx="5">
                  <c:v>2010</c:v>
                </c:pt>
                <c:pt idx="6">
                  <c:v>2011</c:v>
                </c:pt>
                <c:pt idx="7">
                  <c:v>2012</c:v>
                </c:pt>
                <c:pt idx="8">
                  <c:v>2013</c:v>
                </c:pt>
                <c:pt idx="9">
                  <c:v>2014</c:v>
                </c:pt>
                <c:pt idx="10">
                  <c:v>Ene-Nov.2015</c:v>
                </c:pt>
              </c:strCache>
            </c:strRef>
          </c:cat>
          <c:val>
            <c:numRef>
              <c:f>'III.5.14.Trasp. netos'!$I$5:$I$15</c:f>
              <c:numCache>
                <c:formatCode>#,##0_);[Red]\(#,##0\)</c:formatCode>
                <c:ptCount val="11"/>
                <c:pt idx="0">
                  <c:v>-65</c:v>
                </c:pt>
                <c:pt idx="1">
                  <c:v>-136</c:v>
                </c:pt>
                <c:pt idx="2">
                  <c:v>-261</c:v>
                </c:pt>
                <c:pt idx="3">
                  <c:v>-231</c:v>
                </c:pt>
                <c:pt idx="4">
                  <c:v>-9243</c:v>
                </c:pt>
                <c:pt idx="5">
                  <c:v>-2753</c:v>
                </c:pt>
                <c:pt idx="6">
                  <c:v>-1867</c:v>
                </c:pt>
                <c:pt idx="7">
                  <c:v>-2359</c:v>
                </c:pt>
                <c:pt idx="8">
                  <c:v>-3839</c:v>
                </c:pt>
                <c:pt idx="9">
                  <c:v>-6830</c:v>
                </c:pt>
                <c:pt idx="10">
                  <c:v>-7891</c:v>
                </c:pt>
              </c:numCache>
            </c:numRef>
          </c:val>
        </c:ser>
        <c:ser>
          <c:idx val="8"/>
          <c:order val="8"/>
          <c:tx>
            <c:strRef>
              <c:f>'III.5.14.Trasp. netos'!$J$4</c:f>
              <c:strCache>
                <c:ptCount val="1"/>
                <c:pt idx="0">
                  <c:v>Siembra</c:v>
                </c:pt>
              </c:strCache>
            </c:strRef>
          </c:tx>
          <c:invertIfNegative val="0"/>
          <c:cat>
            <c:strRef>
              <c:f>'III.5.14.Trasp. netos'!$A$5:$A$15</c:f>
              <c:strCache>
                <c:ptCount val="11"/>
                <c:pt idx="0">
                  <c:v>2005</c:v>
                </c:pt>
                <c:pt idx="1">
                  <c:v>2006</c:v>
                </c:pt>
                <c:pt idx="2">
                  <c:v>2007</c:v>
                </c:pt>
                <c:pt idx="3">
                  <c:v>2008</c:v>
                </c:pt>
                <c:pt idx="4">
                  <c:v>2009</c:v>
                </c:pt>
                <c:pt idx="5">
                  <c:v>2010</c:v>
                </c:pt>
                <c:pt idx="6">
                  <c:v>2011</c:v>
                </c:pt>
                <c:pt idx="7">
                  <c:v>2012</c:v>
                </c:pt>
                <c:pt idx="8">
                  <c:v>2013</c:v>
                </c:pt>
                <c:pt idx="9">
                  <c:v>2014</c:v>
                </c:pt>
                <c:pt idx="10">
                  <c:v>Ene-Nov.2015</c:v>
                </c:pt>
              </c:strCache>
            </c:strRef>
          </c:cat>
          <c:val>
            <c:numRef>
              <c:f>'III.5.14.Trasp. netos'!$J$5:$J$15</c:f>
              <c:numCache>
                <c:formatCode>#,##0_);[Red]\(#,##0\)</c:formatCode>
                <c:ptCount val="11"/>
                <c:pt idx="0">
                  <c:v>-174</c:v>
                </c:pt>
                <c:pt idx="1">
                  <c:v>-178</c:v>
                </c:pt>
                <c:pt idx="2">
                  <c:v>221</c:v>
                </c:pt>
                <c:pt idx="3">
                  <c:v>-48</c:v>
                </c:pt>
                <c:pt idx="4">
                  <c:v>-4163</c:v>
                </c:pt>
                <c:pt idx="5">
                  <c:v>-1627</c:v>
                </c:pt>
                <c:pt idx="6">
                  <c:v>-1090</c:v>
                </c:pt>
                <c:pt idx="7">
                  <c:v>-1438</c:v>
                </c:pt>
                <c:pt idx="8">
                  <c:v>-2232</c:v>
                </c:pt>
                <c:pt idx="9">
                  <c:v>-3337</c:v>
                </c:pt>
                <c:pt idx="10">
                  <c:v>-3926</c:v>
                </c:pt>
              </c:numCache>
            </c:numRef>
          </c:val>
        </c:ser>
        <c:dLbls>
          <c:showLegendKey val="0"/>
          <c:showVal val="0"/>
          <c:showCatName val="0"/>
          <c:showSerName val="0"/>
          <c:showPercent val="0"/>
          <c:showBubbleSize val="0"/>
        </c:dLbls>
        <c:gapWidth val="42"/>
        <c:shape val="cylinder"/>
        <c:axId val="500233360"/>
        <c:axId val="500228264"/>
        <c:axId val="0"/>
      </c:bar3DChart>
      <c:catAx>
        <c:axId val="500233360"/>
        <c:scaling>
          <c:orientation val="minMax"/>
        </c:scaling>
        <c:delete val="0"/>
        <c:axPos val="b"/>
        <c:numFmt formatCode="General" sourceLinked="1"/>
        <c:majorTickMark val="none"/>
        <c:minorTickMark val="none"/>
        <c:tickLblPos val="low"/>
        <c:txPr>
          <a:bodyPr/>
          <a:lstStyle/>
          <a:p>
            <a:pPr>
              <a:defRPr lang="en-US" sz="1600"/>
            </a:pPr>
            <a:endParaRPr lang="es-ES"/>
          </a:p>
        </c:txPr>
        <c:crossAx val="500228264"/>
        <c:crosses val="autoZero"/>
        <c:auto val="1"/>
        <c:lblAlgn val="ctr"/>
        <c:lblOffset val="100"/>
        <c:noMultiLvlLbl val="0"/>
      </c:catAx>
      <c:valAx>
        <c:axId val="500228264"/>
        <c:scaling>
          <c:orientation val="minMax"/>
        </c:scaling>
        <c:delete val="1"/>
        <c:axPos val="l"/>
        <c:numFmt formatCode="#,##0_);[Red]\(#,##0\)" sourceLinked="1"/>
        <c:majorTickMark val="out"/>
        <c:minorTickMark val="none"/>
        <c:tickLblPos val="nextTo"/>
        <c:crossAx val="500233360"/>
        <c:crosses val="autoZero"/>
        <c:crossBetween val="between"/>
      </c:valAx>
      <c:spPr>
        <a:noFill/>
        <a:ln w="25400">
          <a:noFill/>
        </a:ln>
      </c:spPr>
    </c:plotArea>
    <c:legend>
      <c:legendPos val="b"/>
      <c:layout>
        <c:manualLayout>
          <c:xMode val="edge"/>
          <c:yMode val="edge"/>
          <c:x val="9.494961716260587E-3"/>
          <c:y val="8.0958890181768869E-2"/>
          <c:w val="0.89999991729329787"/>
          <c:h val="7.0503491830088624E-2"/>
        </c:manualLayout>
      </c:layout>
      <c:overlay val="0"/>
      <c:txPr>
        <a:bodyPr/>
        <a:lstStyle/>
        <a:p>
          <a:pPr>
            <a:defRPr lang="en-US" sz="1600"/>
          </a:pPr>
          <a:endParaRPr lang="es-E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userShapes r:id="rId1"/>
</c:chartSpace>
</file>

<file path=xl/charts/chart3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a:defRPr lang="en-US" sz="1600"/>
            </a:pPr>
            <a:r>
              <a:rPr lang="en-US" sz="1600"/>
              <a:t>Traspasos Netos en Entidades de Reparto</a:t>
            </a:r>
          </a:p>
        </c:rich>
      </c:tx>
      <c:layout>
        <c:manualLayout>
          <c:xMode val="edge"/>
          <c:yMode val="edge"/>
          <c:x val="0.30276265466816649"/>
          <c:y val="2.9457174442363159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2.2111486064241969E-2"/>
          <c:y val="0.2873287652530479"/>
          <c:w val="0.97072178477690274"/>
          <c:h val="0.50470083703062818"/>
        </c:manualLayout>
      </c:layout>
      <c:bar3DChart>
        <c:barDir val="col"/>
        <c:grouping val="stacked"/>
        <c:varyColors val="0"/>
        <c:ser>
          <c:idx val="0"/>
          <c:order val="0"/>
          <c:tx>
            <c:strRef>
              <c:f>'III.5.14.Trasp. netos'!$L$4</c:f>
              <c:strCache>
                <c:ptCount val="1"/>
                <c:pt idx="0">
                  <c:v>FPBC</c:v>
                </c:pt>
              </c:strCache>
            </c:strRef>
          </c:tx>
          <c:invertIfNegative val="0"/>
          <c:cat>
            <c:strRef>
              <c:f>'III.5.14.Trasp. netos'!$A$5:$A$15</c:f>
              <c:strCache>
                <c:ptCount val="11"/>
                <c:pt idx="0">
                  <c:v>2005</c:v>
                </c:pt>
                <c:pt idx="1">
                  <c:v>2006</c:v>
                </c:pt>
                <c:pt idx="2">
                  <c:v>2007</c:v>
                </c:pt>
                <c:pt idx="3">
                  <c:v>2008</c:v>
                </c:pt>
                <c:pt idx="4">
                  <c:v>2009</c:v>
                </c:pt>
                <c:pt idx="5">
                  <c:v>2010</c:v>
                </c:pt>
                <c:pt idx="6">
                  <c:v>2011</c:v>
                </c:pt>
                <c:pt idx="7">
                  <c:v>2012</c:v>
                </c:pt>
                <c:pt idx="8">
                  <c:v>2013</c:v>
                </c:pt>
                <c:pt idx="9">
                  <c:v>2014</c:v>
                </c:pt>
                <c:pt idx="10">
                  <c:v>Ene-Nov.2015</c:v>
                </c:pt>
              </c:strCache>
            </c:strRef>
          </c:cat>
          <c:val>
            <c:numRef>
              <c:f>'III.5.14.Trasp. netos'!$L$5:$L$15</c:f>
              <c:numCache>
                <c:formatCode>#,##0_);[Red]\(#,##0\)</c:formatCode>
                <c:ptCount val="11"/>
                <c:pt idx="0">
                  <c:v>0</c:v>
                </c:pt>
                <c:pt idx="1">
                  <c:v>-259</c:v>
                </c:pt>
                <c:pt idx="2">
                  <c:v>-25</c:v>
                </c:pt>
                <c:pt idx="3">
                  <c:v>-7</c:v>
                </c:pt>
                <c:pt idx="4">
                  <c:v>-7</c:v>
                </c:pt>
                <c:pt idx="5">
                  <c:v>-5</c:v>
                </c:pt>
                <c:pt idx="6">
                  <c:v>-23</c:v>
                </c:pt>
                <c:pt idx="7">
                  <c:v>-3</c:v>
                </c:pt>
                <c:pt idx="8">
                  <c:v>-7</c:v>
                </c:pt>
                <c:pt idx="9">
                  <c:v>-5</c:v>
                </c:pt>
                <c:pt idx="10">
                  <c:v>-2</c:v>
                </c:pt>
              </c:numCache>
            </c:numRef>
          </c:val>
        </c:ser>
        <c:ser>
          <c:idx val="1"/>
          <c:order val="1"/>
          <c:tx>
            <c:strRef>
              <c:f>'III.5.14.Trasp. netos'!$M$4</c:f>
              <c:strCache>
                <c:ptCount val="1"/>
                <c:pt idx="0">
                  <c:v>Bco Reservas</c:v>
                </c:pt>
              </c:strCache>
            </c:strRef>
          </c:tx>
          <c:invertIfNegative val="0"/>
          <c:cat>
            <c:strRef>
              <c:f>'III.5.14.Trasp. netos'!$A$5:$A$15</c:f>
              <c:strCache>
                <c:ptCount val="11"/>
                <c:pt idx="0">
                  <c:v>2005</c:v>
                </c:pt>
                <c:pt idx="1">
                  <c:v>2006</c:v>
                </c:pt>
                <c:pt idx="2">
                  <c:v>2007</c:v>
                </c:pt>
                <c:pt idx="3">
                  <c:v>2008</c:v>
                </c:pt>
                <c:pt idx="4">
                  <c:v>2009</c:v>
                </c:pt>
                <c:pt idx="5">
                  <c:v>2010</c:v>
                </c:pt>
                <c:pt idx="6">
                  <c:v>2011</c:v>
                </c:pt>
                <c:pt idx="7">
                  <c:v>2012</c:v>
                </c:pt>
                <c:pt idx="8">
                  <c:v>2013</c:v>
                </c:pt>
                <c:pt idx="9">
                  <c:v>2014</c:v>
                </c:pt>
                <c:pt idx="10">
                  <c:v>Ene-Nov.2015</c:v>
                </c:pt>
              </c:strCache>
            </c:strRef>
          </c:cat>
          <c:val>
            <c:numRef>
              <c:f>'III.5.14.Trasp. netos'!$M$5:$M$15</c:f>
              <c:numCache>
                <c:formatCode>#,##0_);[Red]\(#,##0\)</c:formatCode>
                <c:ptCount val="11"/>
                <c:pt idx="0">
                  <c:v>0</c:v>
                </c:pt>
                <c:pt idx="1">
                  <c:v>-719</c:v>
                </c:pt>
                <c:pt idx="2">
                  <c:v>-77</c:v>
                </c:pt>
                <c:pt idx="3">
                  <c:v>-59</c:v>
                </c:pt>
                <c:pt idx="4">
                  <c:v>-64</c:v>
                </c:pt>
                <c:pt idx="5">
                  <c:v>-42</c:v>
                </c:pt>
                <c:pt idx="6">
                  <c:v>-41</c:v>
                </c:pt>
                <c:pt idx="7">
                  <c:v>497</c:v>
                </c:pt>
                <c:pt idx="8">
                  <c:v>-32</c:v>
                </c:pt>
                <c:pt idx="9">
                  <c:v>-32</c:v>
                </c:pt>
                <c:pt idx="10">
                  <c:v>-24</c:v>
                </c:pt>
              </c:numCache>
            </c:numRef>
          </c:val>
        </c:ser>
        <c:ser>
          <c:idx val="2"/>
          <c:order val="2"/>
          <c:tx>
            <c:strRef>
              <c:f>'III.5.14.Trasp. netos'!$N$4</c:f>
              <c:strCache>
                <c:ptCount val="1"/>
                <c:pt idx="0">
                  <c:v>INABIMA</c:v>
                </c:pt>
              </c:strCache>
            </c:strRef>
          </c:tx>
          <c:invertIfNegative val="0"/>
          <c:cat>
            <c:strRef>
              <c:f>'III.5.14.Trasp. netos'!$A$5:$A$15</c:f>
              <c:strCache>
                <c:ptCount val="11"/>
                <c:pt idx="0">
                  <c:v>2005</c:v>
                </c:pt>
                <c:pt idx="1">
                  <c:v>2006</c:v>
                </c:pt>
                <c:pt idx="2">
                  <c:v>2007</c:v>
                </c:pt>
                <c:pt idx="3">
                  <c:v>2008</c:v>
                </c:pt>
                <c:pt idx="4">
                  <c:v>2009</c:v>
                </c:pt>
                <c:pt idx="5">
                  <c:v>2010</c:v>
                </c:pt>
                <c:pt idx="6">
                  <c:v>2011</c:v>
                </c:pt>
                <c:pt idx="7">
                  <c:v>2012</c:v>
                </c:pt>
                <c:pt idx="8">
                  <c:v>2013</c:v>
                </c:pt>
                <c:pt idx="9">
                  <c:v>2014</c:v>
                </c:pt>
                <c:pt idx="10">
                  <c:v>Ene-Nov.2015</c:v>
                </c:pt>
              </c:strCache>
            </c:strRef>
          </c:cat>
          <c:val>
            <c:numRef>
              <c:f>'III.5.14.Trasp. netos'!$N$5:$N$15</c:f>
              <c:numCache>
                <c:formatCode>#,##0_);[Red]\(#,##0\)</c:formatCode>
                <c:ptCount val="11"/>
                <c:pt idx="0">
                  <c:v>0</c:v>
                </c:pt>
                <c:pt idx="1">
                  <c:v>0</c:v>
                </c:pt>
                <c:pt idx="2">
                  <c:v>0</c:v>
                </c:pt>
                <c:pt idx="3">
                  <c:v>0</c:v>
                </c:pt>
                <c:pt idx="4">
                  <c:v>21139</c:v>
                </c:pt>
                <c:pt idx="5">
                  <c:v>3310</c:v>
                </c:pt>
                <c:pt idx="6">
                  <c:v>1778</c:v>
                </c:pt>
                <c:pt idx="7">
                  <c:v>2945</c:v>
                </c:pt>
                <c:pt idx="8">
                  <c:v>2249</c:v>
                </c:pt>
                <c:pt idx="9">
                  <c:v>7035</c:v>
                </c:pt>
                <c:pt idx="10">
                  <c:v>5112</c:v>
                </c:pt>
              </c:numCache>
            </c:numRef>
          </c:val>
        </c:ser>
        <c:ser>
          <c:idx val="3"/>
          <c:order val="3"/>
          <c:tx>
            <c:strRef>
              <c:f>'III.5.14.Trasp. netos'!$O$4</c:f>
              <c:strCache>
                <c:ptCount val="1"/>
                <c:pt idx="0">
                  <c:v>M.H.</c:v>
                </c:pt>
              </c:strCache>
            </c:strRef>
          </c:tx>
          <c:invertIfNegative val="0"/>
          <c:cat>
            <c:strRef>
              <c:f>'III.5.14.Trasp. netos'!$A$5:$A$15</c:f>
              <c:strCache>
                <c:ptCount val="11"/>
                <c:pt idx="0">
                  <c:v>2005</c:v>
                </c:pt>
                <c:pt idx="1">
                  <c:v>2006</c:v>
                </c:pt>
                <c:pt idx="2">
                  <c:v>2007</c:v>
                </c:pt>
                <c:pt idx="3">
                  <c:v>2008</c:v>
                </c:pt>
                <c:pt idx="4">
                  <c:v>2009</c:v>
                </c:pt>
                <c:pt idx="5">
                  <c:v>2010</c:v>
                </c:pt>
                <c:pt idx="6">
                  <c:v>2011</c:v>
                </c:pt>
                <c:pt idx="7">
                  <c:v>2012</c:v>
                </c:pt>
                <c:pt idx="8">
                  <c:v>2013</c:v>
                </c:pt>
                <c:pt idx="9">
                  <c:v>2014</c:v>
                </c:pt>
                <c:pt idx="10">
                  <c:v>Ene-Nov.2015</c:v>
                </c:pt>
              </c:strCache>
            </c:strRef>
          </c:cat>
          <c:val>
            <c:numRef>
              <c:f>'III.5.14.Trasp. netos'!$O$5:$O$15</c:f>
              <c:numCache>
                <c:formatCode>#,##0_);[Red]\(#,##0\)</c:formatCode>
                <c:ptCount val="11"/>
                <c:pt idx="0">
                  <c:v>0</c:v>
                </c:pt>
                <c:pt idx="1">
                  <c:v>20</c:v>
                </c:pt>
                <c:pt idx="2">
                  <c:v>0</c:v>
                </c:pt>
                <c:pt idx="3">
                  <c:v>0</c:v>
                </c:pt>
                <c:pt idx="4">
                  <c:v>2582</c:v>
                </c:pt>
                <c:pt idx="5">
                  <c:v>4114</c:v>
                </c:pt>
                <c:pt idx="6">
                  <c:v>199</c:v>
                </c:pt>
                <c:pt idx="7">
                  <c:v>17</c:v>
                </c:pt>
                <c:pt idx="8">
                  <c:v>1532</c:v>
                </c:pt>
                <c:pt idx="9">
                  <c:v>455</c:v>
                </c:pt>
                <c:pt idx="10">
                  <c:v>341</c:v>
                </c:pt>
              </c:numCache>
            </c:numRef>
          </c:val>
        </c:ser>
        <c:dLbls>
          <c:showLegendKey val="0"/>
          <c:showVal val="0"/>
          <c:showCatName val="0"/>
          <c:showSerName val="0"/>
          <c:showPercent val="0"/>
          <c:showBubbleSize val="0"/>
        </c:dLbls>
        <c:gapWidth val="41"/>
        <c:shape val="cylinder"/>
        <c:axId val="500205528"/>
        <c:axId val="500226696"/>
        <c:axId val="0"/>
      </c:bar3DChart>
      <c:catAx>
        <c:axId val="500205528"/>
        <c:scaling>
          <c:orientation val="minMax"/>
        </c:scaling>
        <c:delete val="0"/>
        <c:axPos val="b"/>
        <c:numFmt formatCode="General" sourceLinked="1"/>
        <c:majorTickMark val="none"/>
        <c:minorTickMark val="none"/>
        <c:tickLblPos val="low"/>
        <c:txPr>
          <a:bodyPr/>
          <a:lstStyle/>
          <a:p>
            <a:pPr>
              <a:defRPr lang="en-US" sz="1600"/>
            </a:pPr>
            <a:endParaRPr lang="es-ES"/>
          </a:p>
        </c:txPr>
        <c:crossAx val="500226696"/>
        <c:crosses val="autoZero"/>
        <c:auto val="1"/>
        <c:lblAlgn val="ctr"/>
        <c:lblOffset val="100"/>
        <c:noMultiLvlLbl val="0"/>
      </c:catAx>
      <c:valAx>
        <c:axId val="500226696"/>
        <c:scaling>
          <c:orientation val="minMax"/>
        </c:scaling>
        <c:delete val="1"/>
        <c:axPos val="l"/>
        <c:numFmt formatCode="#,##0_);[Red]\(#,##0\)" sourceLinked="1"/>
        <c:majorTickMark val="out"/>
        <c:minorTickMark val="none"/>
        <c:tickLblPos val="nextTo"/>
        <c:crossAx val="500205528"/>
        <c:crosses val="autoZero"/>
        <c:crossBetween val="between"/>
      </c:valAx>
      <c:spPr>
        <a:noFill/>
        <a:ln w="25400">
          <a:noFill/>
        </a:ln>
      </c:spPr>
    </c:plotArea>
    <c:legend>
      <c:legendPos val="b"/>
      <c:layout>
        <c:manualLayout>
          <c:xMode val="edge"/>
          <c:yMode val="edge"/>
          <c:x val="1.7872890888638922E-2"/>
          <c:y val="7.3990418109632375E-2"/>
          <c:w val="0.96418189698136336"/>
          <c:h val="3.6165885468156952E-2"/>
        </c:manualLayout>
      </c:layout>
      <c:overlay val="0"/>
      <c:txPr>
        <a:bodyPr/>
        <a:lstStyle/>
        <a:p>
          <a:pPr>
            <a:defRPr lang="en-US" sz="1600"/>
          </a:pPr>
          <a:endParaRPr lang="es-ES"/>
        </a:p>
      </c:txPr>
    </c:legend>
    <c:plotVisOnly val="1"/>
    <c:dispBlanksAs val="gap"/>
    <c:showDLblsOverMax val="0"/>
  </c:chart>
  <c:spPr>
    <a:ln>
      <a:noFill/>
    </a:ln>
  </c:spPr>
  <c:txPr>
    <a:bodyPr/>
    <a:lstStyle/>
    <a:p>
      <a:pPr>
        <a:defRPr sz="900"/>
      </a:pPr>
      <a:endParaRPr lang="es-ES"/>
    </a:p>
  </c:txPr>
  <c:printSettings>
    <c:headerFooter/>
    <c:pageMargins b="0.75000000000001465" l="0.70000000000000062" r="0.70000000000000062" t="0.75000000000001465" header="0.30000000000000032" footer="0.30000000000000032"/>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000"/>
            </a:pPr>
            <a:r>
              <a:rPr lang="es-DO" sz="2000"/>
              <a:t>Seguro de Riesgos Laborales</a:t>
            </a:r>
          </a:p>
          <a:p>
            <a:pPr>
              <a:defRPr sz="2000"/>
            </a:pPr>
            <a:r>
              <a:rPr lang="es-DO" sz="2000"/>
              <a:t>Comparativo Afiliación al SRL en Relación a la Población Ocupada en el Sector Formal </a:t>
            </a:r>
          </a:p>
        </c:rich>
      </c:tx>
      <c:layout>
        <c:manualLayout>
          <c:xMode val="edge"/>
          <c:yMode val="edge"/>
          <c:x val="0.24325799801097683"/>
          <c:y val="1.3427598120564717E-2"/>
        </c:manualLayout>
      </c:layout>
      <c:overlay val="1"/>
    </c:title>
    <c:autoTitleDeleted val="0"/>
    <c:plotArea>
      <c:layout>
        <c:manualLayout>
          <c:layoutTarget val="inner"/>
          <c:xMode val="edge"/>
          <c:yMode val="edge"/>
          <c:x val="8.051459991135862E-2"/>
          <c:y val="0.25608691620069768"/>
          <c:w val="0.84482439367269102"/>
          <c:h val="0.55353286849278305"/>
        </c:manualLayout>
      </c:layout>
      <c:barChart>
        <c:barDir val="col"/>
        <c:grouping val="clustered"/>
        <c:varyColors val="0"/>
        <c:ser>
          <c:idx val="0"/>
          <c:order val="0"/>
          <c:tx>
            <c:strRef>
              <c:f>'III.6.3.Afil. SRL'!$B$3</c:f>
              <c:strCache>
                <c:ptCount val="1"/>
                <c:pt idx="0">
                  <c:v>Ocupada Sector Formal</c:v>
                </c:pt>
              </c:strCache>
            </c:strRef>
          </c:tx>
          <c:spPr>
            <a:solidFill>
              <a:schemeClr val="accent3">
                <a:lumMod val="75000"/>
              </a:schemeClr>
            </a:solidFill>
          </c:spPr>
          <c:invertIfNegative val="0"/>
          <c:dLbls>
            <c:dLbl>
              <c:idx val="4"/>
              <c:spPr/>
              <c:txPr>
                <a:bodyPr/>
                <a:lstStyle/>
                <a:p>
                  <a:pPr>
                    <a:defRPr sz="2000" b="0"/>
                  </a:pPr>
                  <a:endParaRPr lang="es-ES"/>
                </a:p>
              </c:txPr>
              <c:dLblPos val="outEnd"/>
              <c:showLegendKey val="0"/>
              <c:showVal val="1"/>
              <c:showCatName val="0"/>
              <c:showSerName val="0"/>
              <c:showPercent val="0"/>
              <c:showBubbleSize val="0"/>
            </c:dLbl>
            <c:dLbl>
              <c:idx val="5"/>
              <c:spPr/>
              <c:txPr>
                <a:bodyPr/>
                <a:lstStyle/>
                <a:p>
                  <a:pPr>
                    <a:defRPr sz="2000" b="0"/>
                  </a:pPr>
                  <a:endParaRPr lang="es-ES"/>
                </a:p>
              </c:txPr>
              <c:dLblPos val="outEnd"/>
              <c:showLegendKey val="0"/>
              <c:showVal val="1"/>
              <c:showCatName val="0"/>
              <c:showSerName val="0"/>
              <c:showPercent val="0"/>
              <c:showBubbleSize val="0"/>
            </c:dLbl>
            <c:dLbl>
              <c:idx val="7"/>
              <c:spPr>
                <a:noFill/>
                <a:ln>
                  <a:noFill/>
                </a:ln>
                <a:effectLst/>
              </c:spPr>
              <c:txPr>
                <a:bodyPr/>
                <a:lstStyle/>
                <a:p>
                  <a:pPr>
                    <a:defRPr sz="2000" b="1"/>
                  </a:pPr>
                  <a:endParaRPr lang="es-ES"/>
                </a:p>
              </c:txPr>
              <c:dLblPos val="outEnd"/>
              <c:showLegendKey val="0"/>
              <c:showVal val="1"/>
              <c:showCatName val="0"/>
              <c:showSerName val="0"/>
              <c:showPercent val="0"/>
              <c:showBubbleSize val="0"/>
            </c:dLbl>
            <c:spPr>
              <a:noFill/>
              <a:ln>
                <a:noFill/>
              </a:ln>
              <a:effectLst/>
            </c:spPr>
            <c:txPr>
              <a:bodyPr/>
              <a:lstStyle/>
              <a:p>
                <a:pPr>
                  <a:defRPr sz="2000"/>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'III.6.3.Afil. SRL'!$A$4:$A$11</c:f>
              <c:strCache>
                <c:ptCount val="8"/>
                <c:pt idx="0">
                  <c:v> 2008</c:v>
                </c:pt>
                <c:pt idx="1">
                  <c:v> 2009</c:v>
                </c:pt>
                <c:pt idx="2">
                  <c:v> 2010</c:v>
                </c:pt>
                <c:pt idx="3">
                  <c:v> 2011</c:v>
                </c:pt>
                <c:pt idx="4">
                  <c:v> 2012</c:v>
                </c:pt>
                <c:pt idx="5">
                  <c:v>2013</c:v>
                </c:pt>
                <c:pt idx="6">
                  <c:v>2014</c:v>
                </c:pt>
                <c:pt idx="7">
                  <c:v>Nov. 2015</c:v>
                </c:pt>
              </c:strCache>
            </c:strRef>
          </c:cat>
          <c:val>
            <c:numRef>
              <c:f>'III.6.3.Afil. SRL'!$B$4:$B$11</c:f>
              <c:numCache>
                <c:formatCode>#,##0_);[Red]\(#,##0\)</c:formatCode>
                <c:ptCount val="8"/>
                <c:pt idx="0">
                  <c:v>1566047</c:v>
                </c:pt>
                <c:pt idx="1">
                  <c:v>1560994</c:v>
                </c:pt>
                <c:pt idx="2">
                  <c:v>1631129</c:v>
                </c:pt>
                <c:pt idx="3">
                  <c:v>1686216</c:v>
                </c:pt>
                <c:pt idx="4">
                  <c:v>1716228</c:v>
                </c:pt>
                <c:pt idx="5">
                  <c:v>1769801</c:v>
                </c:pt>
                <c:pt idx="6">
                  <c:v>1865496</c:v>
                </c:pt>
                <c:pt idx="7">
                  <c:v>1965498</c:v>
                </c:pt>
              </c:numCache>
            </c:numRef>
          </c:val>
        </c:ser>
        <c:ser>
          <c:idx val="1"/>
          <c:order val="1"/>
          <c:tx>
            <c:strRef>
              <c:f>'III.6.3.Afil. SRL'!$D$3</c:f>
              <c:strCache>
                <c:ptCount val="1"/>
                <c:pt idx="0">
                  <c:v>Afiliados  SRL</c:v>
                </c:pt>
              </c:strCache>
            </c:strRef>
          </c:tx>
          <c:spPr>
            <a:solidFill>
              <a:srgbClr val="0070C0"/>
            </a:solidFill>
          </c:spPr>
          <c:invertIfNegative val="0"/>
          <c:dLbls>
            <c:dLbl>
              <c:idx val="0"/>
              <c:layout>
                <c:manualLayout>
                  <c:x val="-1.0212360021541532E-3"/>
                  <c:y val="6.059951634102978E-2"/>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3.0808771330698061E-3"/>
                  <c:y val="6.720269487090734E-2"/>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2.1816236875735668E-3"/>
                  <c:y val="7.9066238269707212E-2"/>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3.0476834882956021E-3"/>
                  <c:y val="7.6396072340698604E-2"/>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2.1449144597321438E-3"/>
                  <c:y val="8.0766492734309095E-2"/>
                </c:manualLayout>
              </c:layout>
              <c:spPr/>
              <c:txPr>
                <a:bodyPr/>
                <a:lstStyle/>
                <a:p>
                  <a:pPr>
                    <a:defRPr sz="1800" b="0"/>
                  </a:pPr>
                  <a:endParaRPr lang="es-ES"/>
                </a:p>
              </c:txPr>
              <c:dLblPos val="outEnd"/>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0"/>
                  <c:y val="6.5443131641033908E-2"/>
                </c:manualLayout>
              </c:layout>
              <c:spPr/>
              <c:txPr>
                <a:bodyPr/>
                <a:lstStyle/>
                <a:p>
                  <a:pPr>
                    <a:defRPr sz="1800" b="0"/>
                  </a:pPr>
                  <a:endParaRPr lang="es-ES"/>
                </a:p>
              </c:txPr>
              <c:dLblPos val="outEnd"/>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6147635671449525E-3"/>
                  <c:y val="6.2249574269465903E-2"/>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4.0369089178622624E-3"/>
                  <c:y val="6.4436367548628845E-2"/>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800"/>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'III.6.3.Afil. SRL'!$A$4:$A$11</c:f>
              <c:strCache>
                <c:ptCount val="8"/>
                <c:pt idx="0">
                  <c:v> 2008</c:v>
                </c:pt>
                <c:pt idx="1">
                  <c:v> 2009</c:v>
                </c:pt>
                <c:pt idx="2">
                  <c:v> 2010</c:v>
                </c:pt>
                <c:pt idx="3">
                  <c:v> 2011</c:v>
                </c:pt>
                <c:pt idx="4">
                  <c:v> 2012</c:v>
                </c:pt>
                <c:pt idx="5">
                  <c:v>2013</c:v>
                </c:pt>
                <c:pt idx="6">
                  <c:v>2014</c:v>
                </c:pt>
                <c:pt idx="7">
                  <c:v>Nov. 2015</c:v>
                </c:pt>
              </c:strCache>
            </c:strRef>
          </c:cat>
          <c:val>
            <c:numRef>
              <c:f>'III.6.3.Afil. SRL'!$D$4:$D$11</c:f>
              <c:numCache>
                <c:formatCode>#,##0_);[Red]\(#,##0\)</c:formatCode>
                <c:ptCount val="8"/>
                <c:pt idx="0">
                  <c:v>1188229</c:v>
                </c:pt>
                <c:pt idx="1">
                  <c:v>1227725</c:v>
                </c:pt>
                <c:pt idx="2">
                  <c:v>1299087</c:v>
                </c:pt>
                <c:pt idx="3">
                  <c:v>1367790</c:v>
                </c:pt>
                <c:pt idx="4">
                  <c:v>1430273</c:v>
                </c:pt>
                <c:pt idx="5">
                  <c:v>1530322</c:v>
                </c:pt>
                <c:pt idx="6">
                  <c:v>1651202</c:v>
                </c:pt>
                <c:pt idx="7">
                  <c:v>1750689</c:v>
                </c:pt>
              </c:numCache>
            </c:numRef>
          </c:val>
        </c:ser>
        <c:dLbls>
          <c:showLegendKey val="0"/>
          <c:showVal val="0"/>
          <c:showCatName val="0"/>
          <c:showSerName val="0"/>
          <c:showPercent val="0"/>
          <c:showBubbleSize val="0"/>
        </c:dLbls>
        <c:gapWidth val="65"/>
        <c:axId val="500227480"/>
        <c:axId val="500227872"/>
      </c:barChart>
      <c:lineChart>
        <c:grouping val="standard"/>
        <c:varyColors val="0"/>
        <c:ser>
          <c:idx val="2"/>
          <c:order val="2"/>
          <c:tx>
            <c:strRef>
              <c:f>'III.6.3.Afil. SRL'!$F$3</c:f>
              <c:strCache>
                <c:ptCount val="1"/>
                <c:pt idx="0">
                  <c:v>%  Afil./Ocup.</c:v>
                </c:pt>
              </c:strCache>
            </c:strRef>
          </c:tx>
          <c:spPr>
            <a:ln w="19050">
              <a:solidFill>
                <a:srgbClr val="C00000"/>
              </a:solidFill>
              <a:prstDash val="solid"/>
            </a:ln>
          </c:spPr>
          <c:marker>
            <c:symbol val="circle"/>
            <c:size val="5"/>
          </c:marker>
          <c:dLbls>
            <c:dLbl>
              <c:idx val="0"/>
              <c:layout>
                <c:manualLayout>
                  <c:x val="-5.6300946579441137E-3"/>
                  <c:y val="1.660093651237492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5.2519560164693384E-3"/>
                  <c:y val="2.0561159208730292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4.304588929188214E-3"/>
                  <c:y val="2.6790133186923488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5.3218852961189299E-3"/>
                  <c:y val="1.7633504471774874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5.6517576656623433E-3"/>
                  <c:y val="3.4349857017374003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2.5581377031484954E-3"/>
                  <c:y val="-2.4603744836975368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4.4517251491860352E-3"/>
                  <c:y val="-1.9418420031667615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4.6230772810409488E-4"/>
                  <c:y val="-1.7550261108762125E-2"/>
                </c:manualLayout>
              </c:layout>
              <c:spPr/>
              <c:txPr>
                <a:bodyPr/>
                <a:lstStyle/>
                <a:p>
                  <a:pPr>
                    <a:defRPr sz="2000" b="1">
                      <a:solidFill>
                        <a:sysClr val="windowText" lastClr="000000"/>
                      </a:solidFill>
                    </a:defRPr>
                  </a:pPr>
                  <a:endParaRPr lang="es-ES"/>
                </a:p>
              </c:txPr>
              <c:dLblPos val="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2000" b="0">
                    <a:solidFill>
                      <a:sysClr val="windowText" lastClr="000000"/>
                    </a:solidFill>
                  </a:defRPr>
                </a:pPr>
                <a:endParaRPr lang="es-E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'III.6.3.Afil. SRL'!$A$4:$A$11</c:f>
              <c:strCache>
                <c:ptCount val="8"/>
                <c:pt idx="0">
                  <c:v> 2008</c:v>
                </c:pt>
                <c:pt idx="1">
                  <c:v> 2009</c:v>
                </c:pt>
                <c:pt idx="2">
                  <c:v> 2010</c:v>
                </c:pt>
                <c:pt idx="3">
                  <c:v> 2011</c:v>
                </c:pt>
                <c:pt idx="4">
                  <c:v> 2012</c:v>
                </c:pt>
                <c:pt idx="5">
                  <c:v>2013</c:v>
                </c:pt>
                <c:pt idx="6">
                  <c:v>2014</c:v>
                </c:pt>
                <c:pt idx="7">
                  <c:v>Nov. 2015</c:v>
                </c:pt>
              </c:strCache>
            </c:strRef>
          </c:cat>
          <c:val>
            <c:numRef>
              <c:f>'III.6.3.Afil. SRL'!$F$4:$F$11</c:f>
              <c:numCache>
                <c:formatCode>0.0%</c:formatCode>
                <c:ptCount val="8"/>
                <c:pt idx="0">
                  <c:v>0.75874415007978691</c:v>
                </c:pt>
                <c:pt idx="1">
                  <c:v>0.78650206214758034</c:v>
                </c:pt>
                <c:pt idx="2">
                  <c:v>0.79643424891593495</c:v>
                </c:pt>
                <c:pt idx="3">
                  <c:v>0.81115942441537736</c:v>
                </c:pt>
                <c:pt idx="4">
                  <c:v>0.83338169520599825</c:v>
                </c:pt>
                <c:pt idx="5">
                  <c:v>0.864685916665207</c:v>
                </c:pt>
                <c:pt idx="6">
                  <c:v>0.88512760145291114</c:v>
                </c:pt>
                <c:pt idx="7">
                  <c:v>0.89071014063611365</c:v>
                </c:pt>
              </c:numCache>
            </c:numRef>
          </c:val>
          <c:smooth val="0"/>
        </c:ser>
        <c:dLbls>
          <c:showLegendKey val="0"/>
          <c:showVal val="0"/>
          <c:showCatName val="0"/>
          <c:showSerName val="0"/>
          <c:showPercent val="0"/>
          <c:showBubbleSize val="0"/>
        </c:dLbls>
        <c:marker val="1"/>
        <c:smooth val="0"/>
        <c:axId val="500228656"/>
        <c:axId val="500224344"/>
      </c:lineChart>
      <c:catAx>
        <c:axId val="500227480"/>
        <c:scaling>
          <c:orientation val="minMax"/>
        </c:scaling>
        <c:delete val="0"/>
        <c:axPos val="b"/>
        <c:numFmt formatCode="General" sourceLinked="1"/>
        <c:majorTickMark val="none"/>
        <c:minorTickMark val="none"/>
        <c:tickLblPos val="nextTo"/>
        <c:txPr>
          <a:bodyPr/>
          <a:lstStyle/>
          <a:p>
            <a:pPr>
              <a:defRPr sz="2000"/>
            </a:pPr>
            <a:endParaRPr lang="es-ES"/>
          </a:p>
        </c:txPr>
        <c:crossAx val="500227872"/>
        <c:crosses val="autoZero"/>
        <c:auto val="1"/>
        <c:lblAlgn val="ctr"/>
        <c:lblOffset val="100"/>
        <c:noMultiLvlLbl val="0"/>
      </c:catAx>
      <c:valAx>
        <c:axId val="500227872"/>
        <c:scaling>
          <c:orientation val="minMax"/>
          <c:max val="2000000"/>
          <c:min val="200"/>
        </c:scaling>
        <c:delete val="0"/>
        <c:axPos val="l"/>
        <c:numFmt formatCode="#,##0_);[Red]\(#,##0\)" sourceLinked="1"/>
        <c:majorTickMark val="none"/>
        <c:minorTickMark val="none"/>
        <c:tickLblPos val="nextTo"/>
        <c:txPr>
          <a:bodyPr/>
          <a:lstStyle/>
          <a:p>
            <a:pPr>
              <a:defRPr sz="1400"/>
            </a:pPr>
            <a:endParaRPr lang="es-ES"/>
          </a:p>
        </c:txPr>
        <c:crossAx val="500227480"/>
        <c:crosses val="autoZero"/>
        <c:crossBetween val="between"/>
        <c:majorUnit val="200000"/>
        <c:minorUnit val="40000"/>
        <c:dispUnits>
          <c:builtInUnit val="thousands"/>
          <c:dispUnitsLbl>
            <c:layout>
              <c:manualLayout>
                <c:xMode val="edge"/>
                <c:yMode val="edge"/>
                <c:x val="6.0458156095067536E-3"/>
                <c:y val="0.4634917459833533"/>
              </c:manualLayout>
            </c:layout>
            <c:txPr>
              <a:bodyPr/>
              <a:lstStyle/>
              <a:p>
                <a:pPr>
                  <a:defRPr sz="1800" b="0"/>
                </a:pPr>
                <a:endParaRPr lang="es-ES"/>
              </a:p>
            </c:txPr>
          </c:dispUnitsLbl>
        </c:dispUnits>
      </c:valAx>
      <c:valAx>
        <c:axId val="500224344"/>
        <c:scaling>
          <c:orientation val="minMax"/>
          <c:max val="1"/>
          <c:min val="0.2"/>
        </c:scaling>
        <c:delete val="0"/>
        <c:axPos val="r"/>
        <c:numFmt formatCode="0.0%" sourceLinked="1"/>
        <c:majorTickMark val="out"/>
        <c:minorTickMark val="none"/>
        <c:tickLblPos val="nextTo"/>
        <c:txPr>
          <a:bodyPr/>
          <a:lstStyle/>
          <a:p>
            <a:pPr>
              <a:defRPr sz="1400"/>
            </a:pPr>
            <a:endParaRPr lang="es-ES"/>
          </a:p>
        </c:txPr>
        <c:crossAx val="500228656"/>
        <c:crosses val="max"/>
        <c:crossBetween val="between"/>
      </c:valAx>
      <c:catAx>
        <c:axId val="500228656"/>
        <c:scaling>
          <c:orientation val="minMax"/>
        </c:scaling>
        <c:delete val="1"/>
        <c:axPos val="b"/>
        <c:numFmt formatCode="General" sourceLinked="1"/>
        <c:majorTickMark val="out"/>
        <c:minorTickMark val="none"/>
        <c:tickLblPos val="nextTo"/>
        <c:crossAx val="500224344"/>
        <c:crosses val="autoZero"/>
        <c:auto val="1"/>
        <c:lblAlgn val="ctr"/>
        <c:lblOffset val="100"/>
        <c:noMultiLvlLbl val="0"/>
      </c:catAx>
    </c:plotArea>
    <c:legend>
      <c:legendPos val="b"/>
      <c:layout>
        <c:manualLayout>
          <c:xMode val="edge"/>
          <c:yMode val="edge"/>
          <c:x val="0.32935568095320866"/>
          <c:y val="0.12346404502115001"/>
          <c:w val="0.48510871512375719"/>
          <c:h val="5.5249625502956264E-2"/>
        </c:manualLayout>
      </c:layout>
      <c:overlay val="0"/>
      <c:txPr>
        <a:bodyPr/>
        <a:lstStyle/>
        <a:p>
          <a:pPr>
            <a:defRPr sz="2000"/>
          </a:pPr>
          <a:endParaRPr lang="es-E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n-US" sz="2400"/>
              <a:t>Trabajadores Afiliados Activos al SDSS, por  Sexo y Edad</a:t>
            </a:r>
          </a:p>
        </c:rich>
      </c:tx>
      <c:layout>
        <c:manualLayout>
          <c:xMode val="edge"/>
          <c:yMode val="edge"/>
          <c:x val="0.31001338205022089"/>
          <c:y val="3.5610702426398723E-2"/>
        </c:manualLayout>
      </c:layout>
      <c:overlay val="0"/>
    </c:title>
    <c:autoTitleDeleted val="0"/>
    <c:plotArea>
      <c:layout>
        <c:manualLayout>
          <c:layoutTarget val="inner"/>
          <c:xMode val="edge"/>
          <c:yMode val="edge"/>
          <c:x val="1.3008818922937117E-2"/>
          <c:y val="0.11568970594206755"/>
          <c:w val="0.96035844050264663"/>
          <c:h val="0.72174048864195328"/>
        </c:manualLayout>
      </c:layout>
      <c:barChart>
        <c:barDir val="col"/>
        <c:grouping val="clustered"/>
        <c:varyColors val="0"/>
        <c:ser>
          <c:idx val="1"/>
          <c:order val="1"/>
          <c:tx>
            <c:strRef>
              <c:f>'II.6.Empl xsexoy edad'!$C$4</c:f>
              <c:strCache>
                <c:ptCount val="1"/>
                <c:pt idx="0">
                  <c:v>Total empresas</c:v>
                </c:pt>
              </c:strCache>
            </c:strRef>
          </c:tx>
          <c:invertIfNegative val="0"/>
          <c:cat>
            <c:strRef>
              <c:f>'II.6.Empl xsexoy edad'!$A$5:$A$19</c:f>
              <c:strCache>
                <c:ptCount val="15"/>
                <c:pt idx="0">
                  <c:v>&lt;20 años</c:v>
                </c:pt>
                <c:pt idx="1">
                  <c:v>20-24   </c:v>
                </c:pt>
                <c:pt idx="2">
                  <c:v>25-29   </c:v>
                </c:pt>
                <c:pt idx="3">
                  <c:v>30-34   </c:v>
                </c:pt>
                <c:pt idx="4">
                  <c:v>35-39   </c:v>
                </c:pt>
                <c:pt idx="5">
                  <c:v>40-44   </c:v>
                </c:pt>
                <c:pt idx="6">
                  <c:v>45-49   </c:v>
                </c:pt>
                <c:pt idx="7">
                  <c:v>50-54   </c:v>
                </c:pt>
                <c:pt idx="8">
                  <c:v>55-59   </c:v>
                </c:pt>
                <c:pt idx="9">
                  <c:v>60-64   </c:v>
                </c:pt>
                <c:pt idx="10">
                  <c:v>65-69   </c:v>
                </c:pt>
                <c:pt idx="11">
                  <c:v>70-74   </c:v>
                </c:pt>
                <c:pt idx="12">
                  <c:v>75-79   </c:v>
                </c:pt>
                <c:pt idx="13">
                  <c:v>80-84   </c:v>
                </c:pt>
                <c:pt idx="14">
                  <c:v>85 y Mas</c:v>
                </c:pt>
              </c:strCache>
            </c:strRef>
          </c:cat>
          <c:val>
            <c:numRef>
              <c:f>'II.6.Empl xsexoy edad'!$C$5:$C$19</c:f>
            </c:numRef>
          </c:val>
        </c:ser>
        <c:ser>
          <c:idx val="3"/>
          <c:order val="3"/>
          <c:tx>
            <c:strRef>
              <c:f>'II.6.Empl xsexoy edad'!$E$4</c:f>
              <c:strCache>
                <c:ptCount val="1"/>
                <c:pt idx="0">
                  <c:v>Mujeres</c:v>
                </c:pt>
              </c:strCache>
            </c:strRef>
          </c:tx>
          <c:spPr>
            <a:solidFill>
              <a:srgbClr val="00B050"/>
            </a:solidFill>
          </c:spPr>
          <c:invertIfNegative val="0"/>
          <c:dLbls>
            <c:dLbl>
              <c:idx val="1"/>
              <c:layout/>
              <c:tx>
                <c:rich>
                  <a:bodyPr/>
                  <a:lstStyle/>
                  <a:p>
                    <a:r>
                      <a:rPr lang="en-US"/>
                      <a:t> </a:t>
                    </a:r>
                  </a:p>
                </c:rich>
              </c:tx>
              <c:dLblPos val="inBase"/>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400" b="1"/>
                </a:pPr>
                <a:endParaRPr lang="es-ES"/>
              </a:p>
            </c:txPr>
            <c:dLblPos val="inBase"/>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'II.6.Empl xsexoy edad'!$A$5:$A$19</c:f>
              <c:strCache>
                <c:ptCount val="15"/>
                <c:pt idx="0">
                  <c:v>&lt;20 años</c:v>
                </c:pt>
                <c:pt idx="1">
                  <c:v>20-24   </c:v>
                </c:pt>
                <c:pt idx="2">
                  <c:v>25-29   </c:v>
                </c:pt>
                <c:pt idx="3">
                  <c:v>30-34   </c:v>
                </c:pt>
                <c:pt idx="4">
                  <c:v>35-39   </c:v>
                </c:pt>
                <c:pt idx="5">
                  <c:v>40-44   </c:v>
                </c:pt>
                <c:pt idx="6">
                  <c:v>45-49   </c:v>
                </c:pt>
                <c:pt idx="7">
                  <c:v>50-54   </c:v>
                </c:pt>
                <c:pt idx="8">
                  <c:v>55-59   </c:v>
                </c:pt>
                <c:pt idx="9">
                  <c:v>60-64   </c:v>
                </c:pt>
                <c:pt idx="10">
                  <c:v>65-69   </c:v>
                </c:pt>
                <c:pt idx="11">
                  <c:v>70-74   </c:v>
                </c:pt>
                <c:pt idx="12">
                  <c:v>75-79   </c:v>
                </c:pt>
                <c:pt idx="13">
                  <c:v>80-84   </c:v>
                </c:pt>
                <c:pt idx="14">
                  <c:v>85 y Mas</c:v>
                </c:pt>
              </c:strCache>
            </c:strRef>
          </c:cat>
          <c:val>
            <c:numRef>
              <c:f>'II.6.Empl xsexoy edad'!$E$5:$E$19</c:f>
              <c:numCache>
                <c:formatCode>_(* #,##0_);_(* \(#,##0\);_(* "-"??_);_(@_)</c:formatCode>
                <c:ptCount val="15"/>
                <c:pt idx="0">
                  <c:v>10281</c:v>
                </c:pt>
                <c:pt idx="1">
                  <c:v>92162</c:v>
                </c:pt>
                <c:pt idx="2">
                  <c:v>121844</c:v>
                </c:pt>
                <c:pt idx="3">
                  <c:v>117814</c:v>
                </c:pt>
                <c:pt idx="4">
                  <c:v>111673</c:v>
                </c:pt>
                <c:pt idx="5">
                  <c:v>93857</c:v>
                </c:pt>
                <c:pt idx="6">
                  <c:v>80048</c:v>
                </c:pt>
                <c:pt idx="7">
                  <c:v>61746</c:v>
                </c:pt>
                <c:pt idx="8">
                  <c:v>41214</c:v>
                </c:pt>
                <c:pt idx="9">
                  <c:v>24624</c:v>
                </c:pt>
                <c:pt idx="10">
                  <c:v>12429</c:v>
                </c:pt>
                <c:pt idx="11">
                  <c:v>5547</c:v>
                </c:pt>
                <c:pt idx="12">
                  <c:v>2973</c:v>
                </c:pt>
                <c:pt idx="13">
                  <c:v>1436</c:v>
                </c:pt>
                <c:pt idx="14">
                  <c:v>913</c:v>
                </c:pt>
              </c:numCache>
            </c:numRef>
          </c:val>
        </c:ser>
        <c:ser>
          <c:idx val="0"/>
          <c:order val="0"/>
          <c:tx>
            <c:strRef>
              <c:f>'II.6.Empl xsexoy edad'!$B$4</c:f>
              <c:strCache>
                <c:ptCount val="1"/>
                <c:pt idx="0">
                  <c:v>Hombres</c:v>
                </c:pt>
              </c:strCache>
            </c:strRef>
          </c:tx>
          <c:spPr>
            <a:solidFill>
              <a:srgbClr val="0070C0"/>
            </a:solidFill>
          </c:spPr>
          <c:invertIfNegative val="0"/>
          <c:dLbls>
            <c:spPr>
              <a:noFill/>
              <a:ln>
                <a:noFill/>
              </a:ln>
              <a:effectLst/>
            </c:spPr>
            <c:txPr>
              <a:bodyPr rot="-5400000" vert="horz"/>
              <a:lstStyle/>
              <a:p>
                <a:pPr>
                  <a:defRPr sz="1200" b="1"/>
                </a:pPr>
                <a:endParaRPr lang="es-ES"/>
              </a:p>
            </c:txPr>
            <c:dLblPos val="inBase"/>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'II.6.Empl xsexoy edad'!$A$5:$A$19</c:f>
              <c:strCache>
                <c:ptCount val="15"/>
                <c:pt idx="0">
                  <c:v>&lt;20 años</c:v>
                </c:pt>
                <c:pt idx="1">
                  <c:v>20-24   </c:v>
                </c:pt>
                <c:pt idx="2">
                  <c:v>25-29   </c:v>
                </c:pt>
                <c:pt idx="3">
                  <c:v>30-34   </c:v>
                </c:pt>
                <c:pt idx="4">
                  <c:v>35-39   </c:v>
                </c:pt>
                <c:pt idx="5">
                  <c:v>40-44   </c:v>
                </c:pt>
                <c:pt idx="6">
                  <c:v>45-49   </c:v>
                </c:pt>
                <c:pt idx="7">
                  <c:v>50-54   </c:v>
                </c:pt>
                <c:pt idx="8">
                  <c:v>55-59   </c:v>
                </c:pt>
                <c:pt idx="9">
                  <c:v>60-64   </c:v>
                </c:pt>
                <c:pt idx="10">
                  <c:v>65-69   </c:v>
                </c:pt>
                <c:pt idx="11">
                  <c:v>70-74   </c:v>
                </c:pt>
                <c:pt idx="12">
                  <c:v>75-79   </c:v>
                </c:pt>
                <c:pt idx="13">
                  <c:v>80-84   </c:v>
                </c:pt>
                <c:pt idx="14">
                  <c:v>85 y Mas</c:v>
                </c:pt>
              </c:strCache>
            </c:strRef>
          </c:cat>
          <c:val>
            <c:numRef>
              <c:f>'II.6.Empl xsexoy edad'!$B$5:$B$19</c:f>
              <c:numCache>
                <c:formatCode>_(* #,##0_);_(* \(#,##0\);_(* "-"??_);_(@_)</c:formatCode>
                <c:ptCount val="15"/>
                <c:pt idx="0">
                  <c:v>14832</c:v>
                </c:pt>
                <c:pt idx="1">
                  <c:v>123723</c:v>
                </c:pt>
                <c:pt idx="2">
                  <c:v>153471</c:v>
                </c:pt>
                <c:pt idx="3">
                  <c:v>139328</c:v>
                </c:pt>
                <c:pt idx="4">
                  <c:v>126970</c:v>
                </c:pt>
                <c:pt idx="5">
                  <c:v>107086</c:v>
                </c:pt>
                <c:pt idx="6">
                  <c:v>92559</c:v>
                </c:pt>
                <c:pt idx="7">
                  <c:v>75943</c:v>
                </c:pt>
                <c:pt idx="8">
                  <c:v>56036</c:v>
                </c:pt>
                <c:pt idx="9">
                  <c:v>37948</c:v>
                </c:pt>
                <c:pt idx="10">
                  <c:v>22176</c:v>
                </c:pt>
                <c:pt idx="11">
                  <c:v>11259</c:v>
                </c:pt>
                <c:pt idx="12">
                  <c:v>6068</c:v>
                </c:pt>
                <c:pt idx="13">
                  <c:v>2823</c:v>
                </c:pt>
                <c:pt idx="14">
                  <c:v>1906</c:v>
                </c:pt>
              </c:numCache>
            </c:numRef>
          </c:val>
        </c:ser>
        <c:ser>
          <c:idx val="6"/>
          <c:order val="6"/>
          <c:tx>
            <c:strRef>
              <c:f>'II.6.Empl xsexoy edad'!$H$4</c:f>
              <c:strCache>
                <c:ptCount val="1"/>
                <c:pt idx="0">
                  <c:v>Total</c:v>
                </c:pt>
              </c:strCache>
            </c:strRef>
          </c:tx>
          <c:spPr>
            <a:solidFill>
              <a:srgbClr val="FFC000"/>
            </a:solidFill>
          </c:spPr>
          <c:invertIfNegative val="0"/>
          <c:dLbls>
            <c:spPr>
              <a:noFill/>
              <a:ln>
                <a:noFill/>
              </a:ln>
              <a:effectLst/>
            </c:spPr>
            <c:txPr>
              <a:bodyPr rot="-5400000" vert="horz"/>
              <a:lstStyle/>
              <a:p>
                <a:pPr>
                  <a:defRPr sz="1200" b="1"/>
                </a:pPr>
                <a:endParaRPr lang="es-ES"/>
              </a:p>
            </c:txPr>
            <c:dLblPos val="inBase"/>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'II.6.Empl xsexoy edad'!$A$5:$A$19</c:f>
              <c:strCache>
                <c:ptCount val="15"/>
                <c:pt idx="0">
                  <c:v>&lt;20 años</c:v>
                </c:pt>
                <c:pt idx="1">
                  <c:v>20-24   </c:v>
                </c:pt>
                <c:pt idx="2">
                  <c:v>25-29   </c:v>
                </c:pt>
                <c:pt idx="3">
                  <c:v>30-34   </c:v>
                </c:pt>
                <c:pt idx="4">
                  <c:v>35-39   </c:v>
                </c:pt>
                <c:pt idx="5">
                  <c:v>40-44   </c:v>
                </c:pt>
                <c:pt idx="6">
                  <c:v>45-49   </c:v>
                </c:pt>
                <c:pt idx="7">
                  <c:v>50-54   </c:v>
                </c:pt>
                <c:pt idx="8">
                  <c:v>55-59   </c:v>
                </c:pt>
                <c:pt idx="9">
                  <c:v>60-64   </c:v>
                </c:pt>
                <c:pt idx="10">
                  <c:v>65-69   </c:v>
                </c:pt>
                <c:pt idx="11">
                  <c:v>70-74   </c:v>
                </c:pt>
                <c:pt idx="12">
                  <c:v>75-79   </c:v>
                </c:pt>
                <c:pt idx="13">
                  <c:v>80-84   </c:v>
                </c:pt>
                <c:pt idx="14">
                  <c:v>85 y Mas</c:v>
                </c:pt>
              </c:strCache>
            </c:strRef>
          </c:cat>
          <c:val>
            <c:numRef>
              <c:f>'II.6.Empl xsexoy edad'!$H$5:$H$19</c:f>
              <c:numCache>
                <c:formatCode>_(* #,##0_);_(* \(#,##0\);_(* "-"??_);_(@_)</c:formatCode>
                <c:ptCount val="15"/>
                <c:pt idx="0">
                  <c:v>25113</c:v>
                </c:pt>
                <c:pt idx="1">
                  <c:v>215885</c:v>
                </c:pt>
                <c:pt idx="2">
                  <c:v>275315</c:v>
                </c:pt>
                <c:pt idx="3">
                  <c:v>257142</c:v>
                </c:pt>
                <c:pt idx="4">
                  <c:v>238643</c:v>
                </c:pt>
                <c:pt idx="5">
                  <c:v>200943</c:v>
                </c:pt>
                <c:pt idx="6">
                  <c:v>172607</c:v>
                </c:pt>
                <c:pt idx="7">
                  <c:v>137689</c:v>
                </c:pt>
                <c:pt idx="8">
                  <c:v>97250</c:v>
                </c:pt>
                <c:pt idx="9">
                  <c:v>62572</c:v>
                </c:pt>
                <c:pt idx="10">
                  <c:v>34605</c:v>
                </c:pt>
                <c:pt idx="11">
                  <c:v>16806</c:v>
                </c:pt>
                <c:pt idx="12">
                  <c:v>9041</c:v>
                </c:pt>
                <c:pt idx="13">
                  <c:v>4259</c:v>
                </c:pt>
                <c:pt idx="14">
                  <c:v>2819</c:v>
                </c:pt>
              </c:numCache>
            </c:numRef>
          </c:val>
        </c:ser>
        <c:ser>
          <c:idx val="4"/>
          <c:order val="4"/>
          <c:tx>
            <c:strRef>
              <c:f>'II.6.Empl xsexoy edad'!$F$4</c:f>
              <c:strCache>
                <c:ptCount val="1"/>
                <c:pt idx="0">
                  <c:v>Total Empleados</c:v>
                </c:pt>
              </c:strCache>
            </c:strRef>
          </c:tx>
          <c:invertIfNegative val="0"/>
          <c:cat>
            <c:strRef>
              <c:f>'II.6.Empl xsexoy edad'!$A$5:$A$19</c:f>
              <c:strCache>
                <c:ptCount val="15"/>
                <c:pt idx="0">
                  <c:v>&lt;20 años</c:v>
                </c:pt>
                <c:pt idx="1">
                  <c:v>20-24   </c:v>
                </c:pt>
                <c:pt idx="2">
                  <c:v>25-29   </c:v>
                </c:pt>
                <c:pt idx="3">
                  <c:v>30-34   </c:v>
                </c:pt>
                <c:pt idx="4">
                  <c:v>35-39   </c:v>
                </c:pt>
                <c:pt idx="5">
                  <c:v>40-44   </c:v>
                </c:pt>
                <c:pt idx="6">
                  <c:v>45-49   </c:v>
                </c:pt>
                <c:pt idx="7">
                  <c:v>50-54   </c:v>
                </c:pt>
                <c:pt idx="8">
                  <c:v>55-59   </c:v>
                </c:pt>
                <c:pt idx="9">
                  <c:v>60-64   </c:v>
                </c:pt>
                <c:pt idx="10">
                  <c:v>65-69   </c:v>
                </c:pt>
                <c:pt idx="11">
                  <c:v>70-74   </c:v>
                </c:pt>
                <c:pt idx="12">
                  <c:v>75-79   </c:v>
                </c:pt>
                <c:pt idx="13">
                  <c:v>80-84   </c:v>
                </c:pt>
                <c:pt idx="14">
                  <c:v>85 y Mas</c:v>
                </c:pt>
              </c:strCache>
            </c:strRef>
          </c:cat>
          <c:val>
            <c:numRef>
              <c:f>'II.6.Empl xsexoy edad'!$F$5:$F$19</c:f>
            </c:numRef>
          </c:val>
        </c:ser>
        <c:dLbls>
          <c:showLegendKey val="0"/>
          <c:showVal val="0"/>
          <c:showCatName val="0"/>
          <c:showSerName val="0"/>
          <c:showPercent val="0"/>
          <c:showBubbleSize val="0"/>
        </c:dLbls>
        <c:gapWidth val="23"/>
        <c:overlap val="-3"/>
        <c:axId val="380006112"/>
        <c:axId val="379993960"/>
      </c:barChart>
      <c:lineChart>
        <c:grouping val="standard"/>
        <c:varyColors val="0"/>
        <c:ser>
          <c:idx val="2"/>
          <c:order val="2"/>
          <c:tx>
            <c:strRef>
              <c:f>'II.6.Empl xsexoy edad'!$D$4</c:f>
              <c:strCache>
                <c:ptCount val="1"/>
                <c:pt idx="0">
                  <c:v>% Hombres</c:v>
                </c:pt>
              </c:strCache>
            </c:strRef>
          </c:tx>
          <c:spPr>
            <a:ln>
              <a:solidFill>
                <a:srgbClr val="00B050"/>
              </a:solidFill>
            </a:ln>
          </c:spPr>
          <c:marker>
            <c:spPr>
              <a:ln>
                <a:solidFill>
                  <a:srgbClr val="00B050"/>
                </a:solidFill>
              </a:ln>
            </c:spPr>
          </c:marker>
          <c:dLbls>
            <c:spPr>
              <a:noFill/>
              <a:ln>
                <a:noFill/>
              </a:ln>
              <a:effectLst/>
            </c:spPr>
            <c:txPr>
              <a:bodyPr/>
              <a:lstStyle/>
              <a:p>
                <a:pPr>
                  <a:defRPr sz="1800" b="1">
                    <a:solidFill>
                      <a:srgbClr val="00B050"/>
                    </a:solidFill>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'II.6.Empl xsexoy edad'!$A$5:$A$19</c:f>
              <c:strCache>
                <c:ptCount val="15"/>
                <c:pt idx="0">
                  <c:v>&lt;20 años</c:v>
                </c:pt>
                <c:pt idx="1">
                  <c:v>20-24   </c:v>
                </c:pt>
                <c:pt idx="2">
                  <c:v>25-29   </c:v>
                </c:pt>
                <c:pt idx="3">
                  <c:v>30-34   </c:v>
                </c:pt>
                <c:pt idx="4">
                  <c:v>35-39   </c:v>
                </c:pt>
                <c:pt idx="5">
                  <c:v>40-44   </c:v>
                </c:pt>
                <c:pt idx="6">
                  <c:v>45-49   </c:v>
                </c:pt>
                <c:pt idx="7">
                  <c:v>50-54   </c:v>
                </c:pt>
                <c:pt idx="8">
                  <c:v>55-59   </c:v>
                </c:pt>
                <c:pt idx="9">
                  <c:v>60-64   </c:v>
                </c:pt>
                <c:pt idx="10">
                  <c:v>65-69   </c:v>
                </c:pt>
                <c:pt idx="11">
                  <c:v>70-74   </c:v>
                </c:pt>
                <c:pt idx="12">
                  <c:v>75-79   </c:v>
                </c:pt>
                <c:pt idx="13">
                  <c:v>80-84   </c:v>
                </c:pt>
                <c:pt idx="14">
                  <c:v>85 y Mas</c:v>
                </c:pt>
              </c:strCache>
            </c:strRef>
          </c:cat>
          <c:val>
            <c:numRef>
              <c:f>'II.6.Empl xsexoy edad'!$D$5:$D$19</c:f>
              <c:numCache>
                <c:formatCode>0.0%</c:formatCode>
                <c:ptCount val="15"/>
                <c:pt idx="0">
                  <c:v>0.59061044080754987</c:v>
                </c:pt>
                <c:pt idx="1">
                  <c:v>0.57309678764156846</c:v>
                </c:pt>
                <c:pt idx="2">
                  <c:v>0.55743784392423223</c:v>
                </c:pt>
                <c:pt idx="3">
                  <c:v>0.54183291722083515</c:v>
                </c:pt>
                <c:pt idx="4">
                  <c:v>0.53204996584856878</c:v>
                </c:pt>
                <c:pt idx="5">
                  <c:v>0.53291729495429052</c:v>
                </c:pt>
                <c:pt idx="6">
                  <c:v>0.53624128801265303</c:v>
                </c:pt>
                <c:pt idx="7">
                  <c:v>0.55155459041753518</c:v>
                </c:pt>
                <c:pt idx="8">
                  <c:v>0.57620565552699232</c:v>
                </c:pt>
                <c:pt idx="9">
                  <c:v>0.60646934731189672</c:v>
                </c:pt>
                <c:pt idx="10">
                  <c:v>0.64083224967490249</c:v>
                </c:pt>
                <c:pt idx="11">
                  <c:v>0.66993930739021779</c:v>
                </c:pt>
                <c:pt idx="12">
                  <c:v>0.67116469417099878</c:v>
                </c:pt>
                <c:pt idx="13">
                  <c:v>0.66283165062221183</c:v>
                </c:pt>
                <c:pt idx="14">
                  <c:v>0.67612628591699186</c:v>
                </c:pt>
              </c:numCache>
            </c:numRef>
          </c:val>
          <c:smooth val="0"/>
        </c:ser>
        <c:ser>
          <c:idx val="5"/>
          <c:order val="5"/>
          <c:tx>
            <c:strRef>
              <c:f>'II.6.Empl xsexoy edad'!$G$4</c:f>
              <c:strCache>
                <c:ptCount val="1"/>
                <c:pt idx="0">
                  <c:v>% Mujeres</c:v>
                </c:pt>
              </c:strCache>
            </c:strRef>
          </c:tx>
          <c:spPr>
            <a:ln>
              <a:solidFill>
                <a:srgbClr val="FF3399"/>
              </a:solidFill>
            </a:ln>
          </c:spPr>
          <c:marker>
            <c:spPr>
              <a:ln>
                <a:solidFill>
                  <a:srgbClr val="FF3399"/>
                </a:solidFill>
              </a:ln>
            </c:spPr>
          </c:marker>
          <c:dLbls>
            <c:dLbl>
              <c:idx val="1"/>
              <c:layout>
                <c:manualLayout>
                  <c:x val="-1.8881778831047909E-2"/>
                  <c:y val="1.3208000162423702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800" b="1">
                    <a:solidFill>
                      <a:srgbClr val="FF0000"/>
                    </a:solidFill>
                  </a:defRPr>
                </a:pPr>
                <a:endParaRPr lang="es-ES"/>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'II.6.Empl xsexoy edad'!$A$5:$A$19</c:f>
              <c:strCache>
                <c:ptCount val="15"/>
                <c:pt idx="0">
                  <c:v>&lt;20 años</c:v>
                </c:pt>
                <c:pt idx="1">
                  <c:v>20-24   </c:v>
                </c:pt>
                <c:pt idx="2">
                  <c:v>25-29   </c:v>
                </c:pt>
                <c:pt idx="3">
                  <c:v>30-34   </c:v>
                </c:pt>
                <c:pt idx="4">
                  <c:v>35-39   </c:v>
                </c:pt>
                <c:pt idx="5">
                  <c:v>40-44   </c:v>
                </c:pt>
                <c:pt idx="6">
                  <c:v>45-49   </c:v>
                </c:pt>
                <c:pt idx="7">
                  <c:v>50-54   </c:v>
                </c:pt>
                <c:pt idx="8">
                  <c:v>55-59   </c:v>
                </c:pt>
                <c:pt idx="9">
                  <c:v>60-64   </c:v>
                </c:pt>
                <c:pt idx="10">
                  <c:v>65-69   </c:v>
                </c:pt>
                <c:pt idx="11">
                  <c:v>70-74   </c:v>
                </c:pt>
                <c:pt idx="12">
                  <c:v>75-79   </c:v>
                </c:pt>
                <c:pt idx="13">
                  <c:v>80-84   </c:v>
                </c:pt>
                <c:pt idx="14">
                  <c:v>85 y Mas</c:v>
                </c:pt>
              </c:strCache>
            </c:strRef>
          </c:cat>
          <c:val>
            <c:numRef>
              <c:f>'II.6.Empl xsexoy edad'!$G$5:$G$19</c:f>
              <c:numCache>
                <c:formatCode>0.0%</c:formatCode>
                <c:ptCount val="15"/>
                <c:pt idx="0">
                  <c:v>0.40938955919245013</c:v>
                </c:pt>
                <c:pt idx="1">
                  <c:v>0.42690321235843159</c:v>
                </c:pt>
                <c:pt idx="2">
                  <c:v>0.44256215607576777</c:v>
                </c:pt>
                <c:pt idx="3">
                  <c:v>0.45816708277916485</c:v>
                </c:pt>
                <c:pt idx="4">
                  <c:v>0.46795003415143122</c:v>
                </c:pt>
                <c:pt idx="5">
                  <c:v>0.46708270504570948</c:v>
                </c:pt>
                <c:pt idx="6">
                  <c:v>0.46375871198734697</c:v>
                </c:pt>
                <c:pt idx="7">
                  <c:v>0.44844540958246482</c:v>
                </c:pt>
                <c:pt idx="8">
                  <c:v>0.42379434447300773</c:v>
                </c:pt>
                <c:pt idx="9">
                  <c:v>0.39353065268810328</c:v>
                </c:pt>
                <c:pt idx="10">
                  <c:v>0.35916775032509751</c:v>
                </c:pt>
                <c:pt idx="11">
                  <c:v>0.33006069260978221</c:v>
                </c:pt>
                <c:pt idx="12">
                  <c:v>0.32883530582900122</c:v>
                </c:pt>
                <c:pt idx="13">
                  <c:v>0.33716834937778822</c:v>
                </c:pt>
                <c:pt idx="14">
                  <c:v>0.32387371408300814</c:v>
                </c:pt>
              </c:numCache>
            </c:numRef>
          </c:val>
          <c:smooth val="0"/>
        </c:ser>
        <c:dLbls>
          <c:showLegendKey val="0"/>
          <c:showVal val="0"/>
          <c:showCatName val="0"/>
          <c:showSerName val="0"/>
          <c:showPercent val="0"/>
          <c:showBubbleSize val="0"/>
        </c:dLbls>
        <c:marker val="1"/>
        <c:smooth val="0"/>
        <c:axId val="380005328"/>
        <c:axId val="380005720"/>
      </c:lineChart>
      <c:catAx>
        <c:axId val="380006112"/>
        <c:scaling>
          <c:orientation val="minMax"/>
        </c:scaling>
        <c:delete val="0"/>
        <c:axPos val="b"/>
        <c:numFmt formatCode="General" sourceLinked="0"/>
        <c:majorTickMark val="none"/>
        <c:minorTickMark val="none"/>
        <c:tickLblPos val="nextTo"/>
        <c:txPr>
          <a:bodyPr/>
          <a:lstStyle/>
          <a:p>
            <a:pPr>
              <a:defRPr sz="1800"/>
            </a:pPr>
            <a:endParaRPr lang="es-ES"/>
          </a:p>
        </c:txPr>
        <c:crossAx val="379993960"/>
        <c:crosses val="autoZero"/>
        <c:auto val="1"/>
        <c:lblAlgn val="ctr"/>
        <c:lblOffset val="100"/>
        <c:noMultiLvlLbl val="0"/>
      </c:catAx>
      <c:valAx>
        <c:axId val="379993960"/>
        <c:scaling>
          <c:orientation val="minMax"/>
        </c:scaling>
        <c:delete val="0"/>
        <c:axPos val="l"/>
        <c:numFmt formatCode="_(* #,##0_);_(* \(#,##0\);_(* &quot;-&quot;??_);_(@_)" sourceLinked="1"/>
        <c:majorTickMark val="none"/>
        <c:minorTickMark val="none"/>
        <c:tickLblPos val="nextTo"/>
        <c:spPr>
          <a:ln w="9525">
            <a:noFill/>
          </a:ln>
        </c:spPr>
        <c:txPr>
          <a:bodyPr/>
          <a:lstStyle/>
          <a:p>
            <a:pPr>
              <a:defRPr sz="200">
                <a:solidFill>
                  <a:schemeClr val="bg1"/>
                </a:solidFill>
              </a:defRPr>
            </a:pPr>
            <a:endParaRPr lang="es-ES"/>
          </a:p>
        </c:txPr>
        <c:crossAx val="380006112"/>
        <c:crosses val="autoZero"/>
        <c:crossBetween val="between"/>
      </c:valAx>
      <c:valAx>
        <c:axId val="380005720"/>
        <c:scaling>
          <c:orientation val="minMax"/>
          <c:max val="1"/>
        </c:scaling>
        <c:delete val="0"/>
        <c:axPos val="r"/>
        <c:numFmt formatCode="0.0%" sourceLinked="1"/>
        <c:majorTickMark val="out"/>
        <c:minorTickMark val="none"/>
        <c:tickLblPos val="nextTo"/>
        <c:txPr>
          <a:bodyPr/>
          <a:lstStyle/>
          <a:p>
            <a:pPr>
              <a:defRPr sz="200">
                <a:solidFill>
                  <a:schemeClr val="bg1"/>
                </a:solidFill>
              </a:defRPr>
            </a:pPr>
            <a:endParaRPr lang="es-ES"/>
          </a:p>
        </c:txPr>
        <c:crossAx val="380005328"/>
        <c:crosses val="max"/>
        <c:crossBetween val="between"/>
      </c:valAx>
      <c:catAx>
        <c:axId val="380005328"/>
        <c:scaling>
          <c:orientation val="minMax"/>
        </c:scaling>
        <c:delete val="1"/>
        <c:axPos val="b"/>
        <c:numFmt formatCode="General" sourceLinked="1"/>
        <c:majorTickMark val="out"/>
        <c:minorTickMark val="none"/>
        <c:tickLblPos val="nextTo"/>
        <c:crossAx val="380005720"/>
        <c:crosses val="autoZero"/>
        <c:auto val="1"/>
        <c:lblAlgn val="ctr"/>
        <c:lblOffset val="100"/>
        <c:noMultiLvlLbl val="0"/>
      </c:catAx>
    </c:plotArea>
    <c:legend>
      <c:legendPos val="t"/>
      <c:layout>
        <c:manualLayout>
          <c:xMode val="edge"/>
          <c:yMode val="edge"/>
          <c:x val="0.2260275318980596"/>
          <c:y val="8.2414905487308246E-2"/>
          <c:w val="0.55206720573265711"/>
          <c:h val="4.7789347786394626E-2"/>
        </c:manualLayout>
      </c:layout>
      <c:overlay val="0"/>
      <c:txPr>
        <a:bodyPr/>
        <a:lstStyle/>
        <a:p>
          <a:pPr>
            <a:defRPr sz="18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4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autoTitleDeleted val="0"/>
    <c:plotArea>
      <c:layout>
        <c:manualLayout>
          <c:layoutTarget val="inner"/>
          <c:xMode val="edge"/>
          <c:yMode val="edge"/>
          <c:x val="0.11807075080814218"/>
          <c:y val="0.15958629966463309"/>
          <c:w val="0.82068678986837895"/>
          <c:h val="0.73357657894364481"/>
        </c:manualLayout>
      </c:layout>
      <c:barChart>
        <c:barDir val="bar"/>
        <c:grouping val="stacked"/>
        <c:varyColors val="0"/>
        <c:ser>
          <c:idx val="0"/>
          <c:order val="0"/>
          <c:tx>
            <c:strRef>
              <c:f>'III.6.4.Afil. SRL x sexoy edad'!$E$29</c:f>
              <c:strCache>
                <c:ptCount val="1"/>
                <c:pt idx="0">
                  <c:v>Hombres</c:v>
                </c:pt>
              </c:strCache>
            </c:strRef>
          </c:tx>
          <c:spPr>
            <a:solidFill>
              <a:srgbClr val="0070C0"/>
            </a:solidFill>
          </c:spPr>
          <c:invertIfNegative val="0"/>
          <c:dLbls>
            <c:dLbl>
              <c:idx val="0"/>
              <c:layout>
                <c:manualLayout>
                  <c:x val="5.0909090909090911E-2"/>
                  <c:y val="-1.9164957162548112E-3"/>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0.17972908291607373"/>
                  <c:y val="-3.6708998702715003E-4"/>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0.21299811343586683"/>
                  <c:y val="-3.8609052469128382E-3"/>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0.2012420287334277"/>
                  <c:y val="-1.9163800059455558E-3"/>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0.18249945211793364"/>
                  <c:y val="-2.5440888596150804E-3"/>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0.15999999743079921"/>
                  <c:y val="2.5272618151892792E-3"/>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0.14056020395343477"/>
                  <c:y val="1.2552173853817856E-3"/>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0.11554794244270875"/>
                  <c:y val="-3.3754249830327299E-5"/>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9.1701905396374891E-2"/>
                  <c:y val="2.5103346097848462E-3"/>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6.9860808409302463E-2"/>
                  <c:y val="1.8658988726681523E-3"/>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5.0863238616320951E-2"/>
                  <c:y val="1.2720444298076334E-3"/>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4.239677665264327E-2"/>
                  <c:y val="-6.6123485769437095E-4"/>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12"/>
              <c:layout>
                <c:manualLayout>
                  <c:x val="2.8206356151347506E-2"/>
                  <c:y val="-2.5778431094455006E-3"/>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13"/>
              <c:layout>
                <c:manualLayout>
                  <c:x val="2.5408689191192352E-2"/>
                  <c:y val="0"/>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14"/>
              <c:layout>
                <c:manualLayout>
                  <c:x val="2.1749376519200538E-2"/>
                  <c:y val="0"/>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20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'III.6.4.Afil. SRL x sexoy edad'!$C$30:$C$44</c:f>
              <c:strCache>
                <c:ptCount val="15"/>
                <c:pt idx="0">
                  <c:v>15-19</c:v>
                </c:pt>
                <c:pt idx="1">
                  <c:v>20-24</c:v>
                </c:pt>
                <c:pt idx="2">
                  <c:v>25-29</c:v>
                </c:pt>
                <c:pt idx="3">
                  <c:v>30-34</c:v>
                </c:pt>
                <c:pt idx="4">
                  <c:v>35-39</c:v>
                </c:pt>
                <c:pt idx="5">
                  <c:v>40-44</c:v>
                </c:pt>
                <c:pt idx="6">
                  <c:v>45-49</c:v>
                </c:pt>
                <c:pt idx="7">
                  <c:v>50-54</c:v>
                </c:pt>
                <c:pt idx="8">
                  <c:v>55-59</c:v>
                </c:pt>
                <c:pt idx="9">
                  <c:v>60-64</c:v>
                </c:pt>
                <c:pt idx="10">
                  <c:v>65-69</c:v>
                </c:pt>
                <c:pt idx="11">
                  <c:v>70-74</c:v>
                </c:pt>
                <c:pt idx="12">
                  <c:v>75-79</c:v>
                </c:pt>
                <c:pt idx="13">
                  <c:v>80-84</c:v>
                </c:pt>
                <c:pt idx="14">
                  <c:v>&gt;85</c:v>
                </c:pt>
              </c:strCache>
            </c:strRef>
          </c:cat>
          <c:val>
            <c:numRef>
              <c:f>'III.6.4.Afil. SRL x sexoy edad'!$E$30:$E$44</c:f>
              <c:numCache>
                <c:formatCode>#,##0</c:formatCode>
                <c:ptCount val="15"/>
                <c:pt idx="0">
                  <c:v>14832</c:v>
                </c:pt>
                <c:pt idx="1">
                  <c:v>123723</c:v>
                </c:pt>
                <c:pt idx="2">
                  <c:v>153471</c:v>
                </c:pt>
                <c:pt idx="3">
                  <c:v>139328</c:v>
                </c:pt>
                <c:pt idx="4">
                  <c:v>126970</c:v>
                </c:pt>
                <c:pt idx="5">
                  <c:v>107086</c:v>
                </c:pt>
                <c:pt idx="6">
                  <c:v>92559</c:v>
                </c:pt>
                <c:pt idx="7">
                  <c:v>75943</c:v>
                </c:pt>
                <c:pt idx="8">
                  <c:v>56036</c:v>
                </c:pt>
                <c:pt idx="9">
                  <c:v>37948</c:v>
                </c:pt>
                <c:pt idx="10">
                  <c:v>22176</c:v>
                </c:pt>
                <c:pt idx="11">
                  <c:v>11259</c:v>
                </c:pt>
                <c:pt idx="12">
                  <c:v>6068</c:v>
                </c:pt>
                <c:pt idx="13">
                  <c:v>2823</c:v>
                </c:pt>
                <c:pt idx="14">
                  <c:v>1906</c:v>
                </c:pt>
              </c:numCache>
            </c:numRef>
          </c:val>
        </c:ser>
        <c:ser>
          <c:idx val="1"/>
          <c:order val="1"/>
          <c:tx>
            <c:strRef>
              <c:f>'III.6.4.Afil. SRL x sexoy edad'!$D$29</c:f>
              <c:strCache>
                <c:ptCount val="1"/>
                <c:pt idx="0">
                  <c:v>Mujeres</c:v>
                </c:pt>
              </c:strCache>
            </c:strRef>
          </c:tx>
          <c:spPr>
            <a:solidFill>
              <a:srgbClr val="B81271"/>
            </a:solidFill>
          </c:spPr>
          <c:invertIfNegative val="0"/>
          <c:dLbls>
            <c:dLbl>
              <c:idx val="0"/>
              <c:layout>
                <c:manualLayout>
                  <c:x val="-5.1335881791221859E-2"/>
                  <c:y val="-1.357467386283235E-3"/>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0.14912219819247249"/>
                  <c:y val="-2.94502885678032E-3"/>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0.18780794954938004"/>
                  <c:y val="-2.2999662801552936E-3"/>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0.18664684801851439"/>
                  <c:y val="4.549255337189608E-4"/>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0.17785732600063747"/>
                  <c:y val="3.592138013569801E-3"/>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0.14890620450007466"/>
                  <c:y val="1.3926490738746551E-4"/>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0.13658704345042308"/>
                  <c:y val="1.9165735959972791E-3"/>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0.12246039313656301"/>
                  <c:y val="6.7907478983570834E-4"/>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9.2157351245577432E-2"/>
                  <c:y val="9.3427359073465343E-3"/>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6.5075923153153553E-2"/>
                  <c:y val="3.1542673145554278E-3"/>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5.0945193879035754E-2"/>
                  <c:y val="1.6767338919523075E-3"/>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4.3257755935795381E-2"/>
                  <c:y val="3.8330497357962462E-3"/>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12"/>
              <c:layout>
                <c:manualLayout>
                  <c:x val="-3.8409274331938012E-2"/>
                  <c:y val="4.391961033113667E-3"/>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13"/>
              <c:layout>
                <c:manualLayout>
                  <c:x val="-3.395543213301648E-2"/>
                  <c:y val="4.391961033113667E-3"/>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14"/>
              <c:layout>
                <c:manualLayout>
                  <c:x val="-2.6276024642783523E-2"/>
                  <c:y val="5.5900875351573239E-4"/>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numFmt formatCode="#,##0;[Red]#,##0" sourceLinked="0"/>
            <c:spPr>
              <a:noFill/>
              <a:ln>
                <a:noFill/>
              </a:ln>
              <a:effectLst/>
            </c:spPr>
            <c:txPr>
              <a:bodyPr anchorCtr="0"/>
              <a:lstStyle/>
              <a:p>
                <a:pPr algn="r">
                  <a:defRPr sz="2000">
                    <a:solidFill>
                      <a:srgbClr val="00206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'III.6.4.Afil. SRL x sexoy edad'!$C$30:$C$44</c:f>
              <c:strCache>
                <c:ptCount val="15"/>
                <c:pt idx="0">
                  <c:v>15-19</c:v>
                </c:pt>
                <c:pt idx="1">
                  <c:v>20-24</c:v>
                </c:pt>
                <c:pt idx="2">
                  <c:v>25-29</c:v>
                </c:pt>
                <c:pt idx="3">
                  <c:v>30-34</c:v>
                </c:pt>
                <c:pt idx="4">
                  <c:v>35-39</c:v>
                </c:pt>
                <c:pt idx="5">
                  <c:v>40-44</c:v>
                </c:pt>
                <c:pt idx="6">
                  <c:v>45-49</c:v>
                </c:pt>
                <c:pt idx="7">
                  <c:v>50-54</c:v>
                </c:pt>
                <c:pt idx="8">
                  <c:v>55-59</c:v>
                </c:pt>
                <c:pt idx="9">
                  <c:v>60-64</c:v>
                </c:pt>
                <c:pt idx="10">
                  <c:v>65-69</c:v>
                </c:pt>
                <c:pt idx="11">
                  <c:v>70-74</c:v>
                </c:pt>
                <c:pt idx="12">
                  <c:v>75-79</c:v>
                </c:pt>
                <c:pt idx="13">
                  <c:v>80-84</c:v>
                </c:pt>
                <c:pt idx="14">
                  <c:v>&gt;85</c:v>
                </c:pt>
              </c:strCache>
            </c:strRef>
          </c:cat>
          <c:val>
            <c:numRef>
              <c:f>'III.6.4.Afil. SRL x sexoy edad'!$D$30:$D$44</c:f>
              <c:numCache>
                <c:formatCode>General</c:formatCode>
                <c:ptCount val="15"/>
                <c:pt idx="0">
                  <c:v>-10281</c:v>
                </c:pt>
                <c:pt idx="1">
                  <c:v>-92162</c:v>
                </c:pt>
                <c:pt idx="2">
                  <c:v>-121844</c:v>
                </c:pt>
                <c:pt idx="3">
                  <c:v>-117814</c:v>
                </c:pt>
                <c:pt idx="4">
                  <c:v>-111673</c:v>
                </c:pt>
                <c:pt idx="5">
                  <c:v>-93857</c:v>
                </c:pt>
                <c:pt idx="6">
                  <c:v>-80048</c:v>
                </c:pt>
                <c:pt idx="7">
                  <c:v>-61746</c:v>
                </c:pt>
                <c:pt idx="8">
                  <c:v>-41214</c:v>
                </c:pt>
                <c:pt idx="9">
                  <c:v>-24624</c:v>
                </c:pt>
                <c:pt idx="10">
                  <c:v>-12429</c:v>
                </c:pt>
                <c:pt idx="11">
                  <c:v>-5547</c:v>
                </c:pt>
                <c:pt idx="12">
                  <c:v>-2973</c:v>
                </c:pt>
                <c:pt idx="13">
                  <c:v>-1436</c:v>
                </c:pt>
                <c:pt idx="14">
                  <c:v>-913</c:v>
                </c:pt>
              </c:numCache>
            </c:numRef>
          </c:val>
        </c:ser>
        <c:dLbls>
          <c:showLegendKey val="0"/>
          <c:showVal val="0"/>
          <c:showCatName val="0"/>
          <c:showSerName val="0"/>
          <c:showPercent val="0"/>
          <c:showBubbleSize val="0"/>
        </c:dLbls>
        <c:gapWidth val="9"/>
        <c:overlap val="100"/>
        <c:axId val="500229440"/>
        <c:axId val="500211016"/>
      </c:barChart>
      <c:catAx>
        <c:axId val="500229440"/>
        <c:scaling>
          <c:orientation val="minMax"/>
        </c:scaling>
        <c:delete val="0"/>
        <c:axPos val="l"/>
        <c:numFmt formatCode="General" sourceLinked="1"/>
        <c:majorTickMark val="none"/>
        <c:minorTickMark val="none"/>
        <c:tickLblPos val="low"/>
        <c:txPr>
          <a:bodyPr/>
          <a:lstStyle/>
          <a:p>
            <a:pPr>
              <a:defRPr sz="1200"/>
            </a:pPr>
            <a:endParaRPr lang="es-ES"/>
          </a:p>
        </c:txPr>
        <c:crossAx val="500211016"/>
        <c:crosses val="autoZero"/>
        <c:auto val="1"/>
        <c:lblAlgn val="ctr"/>
        <c:lblOffset val="100"/>
        <c:noMultiLvlLbl val="0"/>
      </c:catAx>
      <c:valAx>
        <c:axId val="500211016"/>
        <c:scaling>
          <c:orientation val="minMax"/>
        </c:scaling>
        <c:delete val="0"/>
        <c:axPos val="b"/>
        <c:numFmt formatCode="#,##0" sourceLinked="1"/>
        <c:majorTickMark val="none"/>
        <c:minorTickMark val="none"/>
        <c:tickLblPos val="nextTo"/>
        <c:txPr>
          <a:bodyPr/>
          <a:lstStyle/>
          <a:p>
            <a:pPr>
              <a:defRPr sz="1400"/>
            </a:pPr>
            <a:endParaRPr lang="es-ES"/>
          </a:p>
        </c:txPr>
        <c:crossAx val="500229440"/>
        <c:crosses val="autoZero"/>
        <c:crossBetween val="between"/>
      </c:valAx>
    </c:plotArea>
    <c:legend>
      <c:legendPos val="t"/>
      <c:layout>
        <c:manualLayout>
          <c:xMode val="edge"/>
          <c:yMode val="edge"/>
          <c:x val="0.26214595360150972"/>
          <c:y val="0.10112438557536545"/>
          <c:w val="0.39356950640693122"/>
          <c:h val="3.7194213085257492E-2"/>
        </c:manualLayout>
      </c:layout>
      <c:overlay val="0"/>
      <c:txPr>
        <a:bodyPr/>
        <a:lstStyle/>
        <a:p>
          <a:pPr>
            <a:defRPr sz="18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4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s-DO" sz="2000"/>
              <a:t>Empleados Afiliados Activos al SDSS por Tipo de Riesgos Laborales de sus Empresas</a:t>
            </a:r>
          </a:p>
        </c:rich>
      </c:tx>
      <c:layout>
        <c:manualLayout>
          <c:xMode val="edge"/>
          <c:yMode val="edge"/>
          <c:x val="0.17207038073009237"/>
          <c:y val="2.5084400458019004E-2"/>
        </c:manualLayout>
      </c:layout>
      <c:overlay val="1"/>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5.6773988878102745E-4"/>
          <c:y val="0.22095381435192102"/>
          <c:w val="0.987766904377962"/>
          <c:h val="0.54700307367946421"/>
        </c:manualLayout>
      </c:layout>
      <c:bar3DChart>
        <c:barDir val="col"/>
        <c:grouping val="clustered"/>
        <c:varyColors val="0"/>
        <c:ser>
          <c:idx val="0"/>
          <c:order val="0"/>
          <c:tx>
            <c:strRef>
              <c:f>'III.6.5.Afil. ARL x riesgo'!$B$4</c:f>
              <c:strCache>
                <c:ptCount val="1"/>
                <c:pt idx="0">
                  <c:v> Tipo I  </c:v>
                </c:pt>
              </c:strCache>
            </c:strRef>
          </c:tx>
          <c:invertIfNegative val="0"/>
          <c:dLbls>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'III.6.5.Afil. ARL x riesgo'!$A$5:$A$17</c:f>
              <c:strCache>
                <c:ptCount val="13"/>
                <c:pt idx="0">
                  <c:v>Nov.14</c:v>
                </c:pt>
                <c:pt idx="1">
                  <c:v>Dic.14</c:v>
                </c:pt>
                <c:pt idx="2">
                  <c:v>Ene.15</c:v>
                </c:pt>
                <c:pt idx="3">
                  <c:v>Feb.15</c:v>
                </c:pt>
                <c:pt idx="4">
                  <c:v>Mar.15</c:v>
                </c:pt>
                <c:pt idx="5">
                  <c:v>Abr.15</c:v>
                </c:pt>
                <c:pt idx="6">
                  <c:v>May.15</c:v>
                </c:pt>
                <c:pt idx="7">
                  <c:v>Jun.15</c:v>
                </c:pt>
                <c:pt idx="8">
                  <c:v>Jul.15</c:v>
                </c:pt>
                <c:pt idx="9">
                  <c:v>Ago.15</c:v>
                </c:pt>
                <c:pt idx="10">
                  <c:v>Sep.15</c:v>
                </c:pt>
                <c:pt idx="11">
                  <c:v>Oct.15</c:v>
                </c:pt>
                <c:pt idx="12">
                  <c:v>Nov.15</c:v>
                </c:pt>
              </c:strCache>
            </c:strRef>
          </c:cat>
          <c:val>
            <c:numRef>
              <c:f>'III.6.5.Afil. ARL x riesgo'!$B$5:$B$17</c:f>
              <c:numCache>
                <c:formatCode>#,##0</c:formatCode>
                <c:ptCount val="13"/>
                <c:pt idx="0">
                  <c:v>280852</c:v>
                </c:pt>
                <c:pt idx="1">
                  <c:v>285703</c:v>
                </c:pt>
                <c:pt idx="2">
                  <c:v>284184</c:v>
                </c:pt>
                <c:pt idx="3">
                  <c:v>288078</c:v>
                </c:pt>
                <c:pt idx="4">
                  <c:v>292468</c:v>
                </c:pt>
                <c:pt idx="5">
                  <c:v>300150</c:v>
                </c:pt>
                <c:pt idx="6">
                  <c:v>302993</c:v>
                </c:pt>
                <c:pt idx="7">
                  <c:v>306000</c:v>
                </c:pt>
                <c:pt idx="8">
                  <c:v>312567</c:v>
                </c:pt>
                <c:pt idx="9">
                  <c:v>312631</c:v>
                </c:pt>
                <c:pt idx="10">
                  <c:v>314075</c:v>
                </c:pt>
                <c:pt idx="11">
                  <c:v>320347</c:v>
                </c:pt>
                <c:pt idx="12">
                  <c:v>323402</c:v>
                </c:pt>
              </c:numCache>
            </c:numRef>
          </c:val>
        </c:ser>
        <c:ser>
          <c:idx val="1"/>
          <c:order val="1"/>
          <c:tx>
            <c:strRef>
              <c:f>'III.6.5.Afil. ARL x riesgo'!$C$4</c:f>
              <c:strCache>
                <c:ptCount val="1"/>
                <c:pt idx="0">
                  <c:v>Tipo  II  </c:v>
                </c:pt>
              </c:strCache>
            </c:strRef>
          </c:tx>
          <c:spPr>
            <a:solidFill>
              <a:srgbClr val="0070C0"/>
            </a:solidFill>
          </c:spPr>
          <c:invertIfNegative val="0"/>
          <c:dLbls>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'III.6.5.Afil. ARL x riesgo'!$A$5:$A$17</c:f>
              <c:strCache>
                <c:ptCount val="13"/>
                <c:pt idx="0">
                  <c:v>Nov.14</c:v>
                </c:pt>
                <c:pt idx="1">
                  <c:v>Dic.14</c:v>
                </c:pt>
                <c:pt idx="2">
                  <c:v>Ene.15</c:v>
                </c:pt>
                <c:pt idx="3">
                  <c:v>Feb.15</c:v>
                </c:pt>
                <c:pt idx="4">
                  <c:v>Mar.15</c:v>
                </c:pt>
                <c:pt idx="5">
                  <c:v>Abr.15</c:v>
                </c:pt>
                <c:pt idx="6">
                  <c:v>May.15</c:v>
                </c:pt>
                <c:pt idx="7">
                  <c:v>Jun.15</c:v>
                </c:pt>
                <c:pt idx="8">
                  <c:v>Jul.15</c:v>
                </c:pt>
                <c:pt idx="9">
                  <c:v>Ago.15</c:v>
                </c:pt>
                <c:pt idx="10">
                  <c:v>Sep.15</c:v>
                </c:pt>
                <c:pt idx="11">
                  <c:v>Oct.15</c:v>
                </c:pt>
                <c:pt idx="12">
                  <c:v>Nov.15</c:v>
                </c:pt>
              </c:strCache>
            </c:strRef>
          </c:cat>
          <c:val>
            <c:numRef>
              <c:f>'III.6.5.Afil. ARL x riesgo'!$C$5:$C$17</c:f>
              <c:numCache>
                <c:formatCode>#,##0</c:formatCode>
                <c:ptCount val="13"/>
                <c:pt idx="0">
                  <c:v>618171</c:v>
                </c:pt>
                <c:pt idx="1">
                  <c:v>624371</c:v>
                </c:pt>
                <c:pt idx="2">
                  <c:v>624657</c:v>
                </c:pt>
                <c:pt idx="3">
                  <c:v>627166</c:v>
                </c:pt>
                <c:pt idx="4">
                  <c:v>632767</c:v>
                </c:pt>
                <c:pt idx="5">
                  <c:v>636688</c:v>
                </c:pt>
                <c:pt idx="6">
                  <c:v>640576</c:v>
                </c:pt>
                <c:pt idx="7">
                  <c:v>639537</c:v>
                </c:pt>
                <c:pt idx="8">
                  <c:v>638912</c:v>
                </c:pt>
                <c:pt idx="9">
                  <c:v>639988</c:v>
                </c:pt>
                <c:pt idx="10">
                  <c:v>645125</c:v>
                </c:pt>
                <c:pt idx="11">
                  <c:v>658276</c:v>
                </c:pt>
                <c:pt idx="12">
                  <c:v>664381</c:v>
                </c:pt>
              </c:numCache>
            </c:numRef>
          </c:val>
        </c:ser>
        <c:ser>
          <c:idx val="2"/>
          <c:order val="2"/>
          <c:tx>
            <c:strRef>
              <c:f>'III.6.5.Afil. ARL x riesgo'!$D$4</c:f>
              <c:strCache>
                <c:ptCount val="1"/>
                <c:pt idx="0">
                  <c:v>Tipo  III  </c:v>
                </c:pt>
              </c:strCache>
            </c:strRef>
          </c:tx>
          <c:invertIfNegative val="0"/>
          <c:dLbls>
            <c:dLbl>
              <c:idx val="11"/>
              <c:layout>
                <c:manualLayout>
                  <c:x val="3.8017651865177434E-3"/>
                  <c:y val="-4.3428708539737657E-17"/>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'III.6.5.Afil. ARL x riesgo'!$A$5:$A$17</c:f>
              <c:strCache>
                <c:ptCount val="13"/>
                <c:pt idx="0">
                  <c:v>Nov.14</c:v>
                </c:pt>
                <c:pt idx="1">
                  <c:v>Dic.14</c:v>
                </c:pt>
                <c:pt idx="2">
                  <c:v>Ene.15</c:v>
                </c:pt>
                <c:pt idx="3">
                  <c:v>Feb.15</c:v>
                </c:pt>
                <c:pt idx="4">
                  <c:v>Mar.15</c:v>
                </c:pt>
                <c:pt idx="5">
                  <c:v>Abr.15</c:v>
                </c:pt>
                <c:pt idx="6">
                  <c:v>May.15</c:v>
                </c:pt>
                <c:pt idx="7">
                  <c:v>Jun.15</c:v>
                </c:pt>
                <c:pt idx="8">
                  <c:v>Jul.15</c:v>
                </c:pt>
                <c:pt idx="9">
                  <c:v>Ago.15</c:v>
                </c:pt>
                <c:pt idx="10">
                  <c:v>Sep.15</c:v>
                </c:pt>
                <c:pt idx="11">
                  <c:v>Oct.15</c:v>
                </c:pt>
                <c:pt idx="12">
                  <c:v>Nov.15</c:v>
                </c:pt>
              </c:strCache>
            </c:strRef>
          </c:cat>
          <c:val>
            <c:numRef>
              <c:f>'III.6.5.Afil. ARL x riesgo'!$D$5:$D$17</c:f>
              <c:numCache>
                <c:formatCode>#,##0</c:formatCode>
                <c:ptCount val="13"/>
                <c:pt idx="0">
                  <c:v>393074</c:v>
                </c:pt>
                <c:pt idx="1">
                  <c:v>391447</c:v>
                </c:pt>
                <c:pt idx="2">
                  <c:v>393280</c:v>
                </c:pt>
                <c:pt idx="3">
                  <c:v>394796</c:v>
                </c:pt>
                <c:pt idx="4">
                  <c:v>397528</c:v>
                </c:pt>
                <c:pt idx="5">
                  <c:v>401347</c:v>
                </c:pt>
                <c:pt idx="6">
                  <c:v>403268</c:v>
                </c:pt>
                <c:pt idx="7">
                  <c:v>402370</c:v>
                </c:pt>
                <c:pt idx="8">
                  <c:v>398889</c:v>
                </c:pt>
                <c:pt idx="9">
                  <c:v>398843</c:v>
                </c:pt>
                <c:pt idx="10">
                  <c:v>400015</c:v>
                </c:pt>
                <c:pt idx="11">
                  <c:v>402388</c:v>
                </c:pt>
                <c:pt idx="12">
                  <c:v>402276</c:v>
                </c:pt>
              </c:numCache>
            </c:numRef>
          </c:val>
        </c:ser>
        <c:ser>
          <c:idx val="3"/>
          <c:order val="3"/>
          <c:tx>
            <c:strRef>
              <c:f>'III.6.5.Afil. ARL x riesgo'!$E$4</c:f>
              <c:strCache>
                <c:ptCount val="1"/>
                <c:pt idx="0">
                  <c:v>Tipo  IV  </c:v>
                </c:pt>
              </c:strCache>
            </c:strRef>
          </c:tx>
          <c:spPr>
            <a:solidFill>
              <a:schemeClr val="accent5">
                <a:lumMod val="50000"/>
              </a:schemeClr>
            </a:solidFill>
          </c:spPr>
          <c:invertIfNegative val="0"/>
          <c:dLbls>
            <c:dLbl>
              <c:idx val="11"/>
              <c:layout>
                <c:manualLayout>
                  <c:x val="3.8017651865177434E-3"/>
                  <c:y val="0"/>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'III.6.5.Afil. ARL x riesgo'!$A$5:$A$17</c:f>
              <c:strCache>
                <c:ptCount val="13"/>
                <c:pt idx="0">
                  <c:v>Nov.14</c:v>
                </c:pt>
                <c:pt idx="1">
                  <c:v>Dic.14</c:v>
                </c:pt>
                <c:pt idx="2">
                  <c:v>Ene.15</c:v>
                </c:pt>
                <c:pt idx="3">
                  <c:v>Feb.15</c:v>
                </c:pt>
                <c:pt idx="4">
                  <c:v>Mar.15</c:v>
                </c:pt>
                <c:pt idx="5">
                  <c:v>Abr.15</c:v>
                </c:pt>
                <c:pt idx="6">
                  <c:v>May.15</c:v>
                </c:pt>
                <c:pt idx="7">
                  <c:v>Jun.15</c:v>
                </c:pt>
                <c:pt idx="8">
                  <c:v>Jul.15</c:v>
                </c:pt>
                <c:pt idx="9">
                  <c:v>Ago.15</c:v>
                </c:pt>
                <c:pt idx="10">
                  <c:v>Sep.15</c:v>
                </c:pt>
                <c:pt idx="11">
                  <c:v>Oct.15</c:v>
                </c:pt>
                <c:pt idx="12">
                  <c:v>Nov.15</c:v>
                </c:pt>
              </c:strCache>
            </c:strRef>
          </c:cat>
          <c:val>
            <c:numRef>
              <c:f>'III.6.5.Afil. ARL x riesgo'!$E$5:$E$17</c:f>
              <c:numCache>
                <c:formatCode>#,##0</c:formatCode>
                <c:ptCount val="13"/>
                <c:pt idx="0">
                  <c:v>349307</c:v>
                </c:pt>
                <c:pt idx="1">
                  <c:v>349681</c:v>
                </c:pt>
                <c:pt idx="2">
                  <c:v>352363</c:v>
                </c:pt>
                <c:pt idx="3">
                  <c:v>351430</c:v>
                </c:pt>
                <c:pt idx="4">
                  <c:v>353984</c:v>
                </c:pt>
                <c:pt idx="5">
                  <c:v>359903</c:v>
                </c:pt>
                <c:pt idx="6">
                  <c:v>359446</c:v>
                </c:pt>
                <c:pt idx="7">
                  <c:v>358877</c:v>
                </c:pt>
                <c:pt idx="8">
                  <c:v>357931</c:v>
                </c:pt>
                <c:pt idx="9">
                  <c:v>357159</c:v>
                </c:pt>
                <c:pt idx="10">
                  <c:v>357365</c:v>
                </c:pt>
                <c:pt idx="11">
                  <c:v>357861</c:v>
                </c:pt>
                <c:pt idx="12">
                  <c:v>360630</c:v>
                </c:pt>
              </c:numCache>
            </c:numRef>
          </c:val>
        </c:ser>
        <c:dLbls>
          <c:showLegendKey val="0"/>
          <c:showVal val="0"/>
          <c:showCatName val="0"/>
          <c:showSerName val="0"/>
          <c:showPercent val="0"/>
          <c:showBubbleSize val="0"/>
        </c:dLbls>
        <c:gapWidth val="15"/>
        <c:shape val="cylinder"/>
        <c:axId val="372818432"/>
        <c:axId val="372814120"/>
        <c:axId val="0"/>
      </c:bar3DChart>
      <c:catAx>
        <c:axId val="372818432"/>
        <c:scaling>
          <c:orientation val="minMax"/>
        </c:scaling>
        <c:delete val="0"/>
        <c:axPos val="b"/>
        <c:numFmt formatCode="mmm\-yy" sourceLinked="0"/>
        <c:majorTickMark val="none"/>
        <c:minorTickMark val="none"/>
        <c:tickLblPos val="nextTo"/>
        <c:txPr>
          <a:bodyPr rot="-2700000" vert="horz"/>
          <a:lstStyle/>
          <a:p>
            <a:pPr>
              <a:defRPr sz="1400"/>
            </a:pPr>
            <a:endParaRPr lang="es-ES"/>
          </a:p>
        </c:txPr>
        <c:crossAx val="372814120"/>
        <c:crosses val="autoZero"/>
        <c:auto val="1"/>
        <c:lblAlgn val="ctr"/>
        <c:lblOffset val="100"/>
        <c:noMultiLvlLbl val="1"/>
      </c:catAx>
      <c:valAx>
        <c:axId val="372814120"/>
        <c:scaling>
          <c:orientation val="minMax"/>
        </c:scaling>
        <c:delete val="1"/>
        <c:axPos val="l"/>
        <c:numFmt formatCode="#,##0" sourceLinked="1"/>
        <c:majorTickMark val="out"/>
        <c:minorTickMark val="none"/>
        <c:tickLblPos val="nextTo"/>
        <c:crossAx val="372818432"/>
        <c:crosses val="autoZero"/>
        <c:crossBetween val="between"/>
      </c:valAx>
      <c:spPr>
        <a:noFill/>
        <a:ln w="25400">
          <a:noFill/>
        </a:ln>
      </c:spPr>
    </c:plotArea>
    <c:legend>
      <c:legendPos val="b"/>
      <c:layout>
        <c:manualLayout>
          <c:xMode val="edge"/>
          <c:yMode val="edge"/>
          <c:x val="0.16351772217787755"/>
          <c:y val="8.8268809466941642E-2"/>
          <c:w val="0.64918814863748553"/>
          <c:h val="4.6912964924303781E-2"/>
        </c:manualLayout>
      </c:layout>
      <c:overlay val="0"/>
      <c:txPr>
        <a:bodyPr/>
        <a:lstStyle/>
        <a:p>
          <a:pPr>
            <a:defRPr sz="1600"/>
          </a:pPr>
          <a:endParaRPr lang="es-ES"/>
        </a:p>
      </c:txPr>
    </c:legend>
    <c:plotVisOnly val="1"/>
    <c:dispBlanksAs val="gap"/>
    <c:showDLblsOverMax val="0"/>
  </c:chart>
  <c:spPr>
    <a:ln>
      <a:noFill/>
    </a:ln>
  </c:spPr>
  <c:txPr>
    <a:bodyPr/>
    <a:lstStyle/>
    <a:p>
      <a:pPr>
        <a:defRPr sz="1100"/>
      </a:pPr>
      <a:endParaRPr lang="es-ES"/>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title>
      <c:tx>
        <c:rich>
          <a:bodyPr/>
          <a:lstStyle/>
          <a:p>
            <a:pPr>
              <a:defRPr/>
            </a:pPr>
            <a:r>
              <a:rPr lang="es-DO"/>
              <a:t>Seguro de Riesgos Laborales</a:t>
            </a:r>
          </a:p>
          <a:p>
            <a:pPr>
              <a:defRPr/>
            </a:pPr>
            <a:r>
              <a:rPr lang="es-DO"/>
              <a:t>Accidentabilidad Laboral de los Afiliados al SRL</a:t>
            </a:r>
          </a:p>
        </c:rich>
      </c:tx>
      <c:layout>
        <c:manualLayout>
          <c:xMode val="edge"/>
          <c:yMode val="edge"/>
          <c:x val="0.34757889058599201"/>
          <c:y val="2.5653187288094674E-2"/>
        </c:manualLayout>
      </c:layout>
      <c:overlay val="1"/>
    </c:title>
    <c:autoTitleDeleted val="0"/>
    <c:view3D>
      <c:rotX val="10"/>
      <c:rotY val="0"/>
      <c:rAngAx val="0"/>
      <c:perspective val="0"/>
    </c:view3D>
    <c:floor>
      <c:thickness val="0"/>
    </c:floor>
    <c:sideWall>
      <c:thickness val="0"/>
    </c:sideWall>
    <c:backWall>
      <c:thickness val="0"/>
    </c:backWall>
    <c:plotArea>
      <c:layout>
        <c:manualLayout>
          <c:layoutTarget val="inner"/>
          <c:xMode val="edge"/>
          <c:yMode val="edge"/>
          <c:x val="6.7662593544083579E-3"/>
          <c:y val="0.17558424261501909"/>
          <c:w val="0.97416666560321441"/>
          <c:h val="0.63629380526312163"/>
        </c:manualLayout>
      </c:layout>
      <c:bar3DChart>
        <c:barDir val="col"/>
        <c:grouping val="clustered"/>
        <c:varyColors val="0"/>
        <c:ser>
          <c:idx val="0"/>
          <c:order val="0"/>
          <c:tx>
            <c:strRef>
              <c:f>'III.6.6.ID. Accidentabilidad'!$D$3</c:f>
              <c:strCache>
                <c:ptCount val="1"/>
                <c:pt idx="0">
                  <c:v>Accidentabilidad Afiliados
(No. de accidentes por cada 100,000 afiliados)</c:v>
                </c:pt>
              </c:strCache>
            </c:strRef>
          </c:tx>
          <c:spPr>
            <a:solidFill>
              <a:srgbClr val="0070C0"/>
            </a:solidFill>
          </c:spPr>
          <c:invertIfNegative val="0"/>
          <c:dPt>
            <c:idx val="8"/>
            <c:invertIfNegative val="0"/>
            <c:bubble3D val="0"/>
          </c:dPt>
          <c:dPt>
            <c:idx val="9"/>
            <c:invertIfNegative val="0"/>
            <c:bubble3D val="0"/>
          </c:dPt>
          <c:dPt>
            <c:idx val="10"/>
            <c:invertIfNegative val="0"/>
            <c:bubble3D val="0"/>
          </c:dPt>
          <c:dLbls>
            <c:dLbl>
              <c:idx val="0"/>
              <c:layout>
                <c:manualLayout>
                  <c:x val="-2.5664451466667661E-3"/>
                  <c:y val="-1.385102712077808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3.8002650779353947E-4"/>
                  <c:y val="-1.615018840676994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2.2750941705204316E-3"/>
                  <c:y val="-2.07606662542340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9.6274312959591392E-4"/>
                  <c:y val="-1.614533635875264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9.6274312959591392E-4"/>
                  <c:y val="-1.383904134840614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7.0600347255797632E-17"/>
                  <c:y val="-1.84518129814315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9.627431295960552E-4"/>
                  <c:y val="-1.383885973607369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9.5331374861581844E-4"/>
                  <c:y val="-1.559115194235237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9.0967854764968249E-5"/>
                  <c:y val="-1.0217691438467786E-2"/>
                </c:manualLayout>
              </c:layout>
              <c:spPr/>
              <c:txPr>
                <a:bodyPr/>
                <a:lstStyle/>
                <a:p>
                  <a:pPr>
                    <a:defRPr sz="16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3.2087912458110958E-3"/>
                  <c:y val="-1.324262540436063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3.063044202863247E-3"/>
                  <c:y val="-1.6128417764118799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'III.6.6.ID. Accidentabilidad'!$A$4:$A$14</c:f>
              <c:strCache>
                <c:ptCount val="11"/>
                <c:pt idx="0">
                  <c:v>2005</c:v>
                </c:pt>
                <c:pt idx="1">
                  <c:v>2006</c:v>
                </c:pt>
                <c:pt idx="2">
                  <c:v>2007</c:v>
                </c:pt>
                <c:pt idx="3">
                  <c:v>2008</c:v>
                </c:pt>
                <c:pt idx="4">
                  <c:v>2009</c:v>
                </c:pt>
                <c:pt idx="5">
                  <c:v>2010</c:v>
                </c:pt>
                <c:pt idx="6">
                  <c:v>2011</c:v>
                </c:pt>
                <c:pt idx="7">
                  <c:v>2012</c:v>
                </c:pt>
                <c:pt idx="8">
                  <c:v>2013</c:v>
                </c:pt>
                <c:pt idx="9">
                  <c:v>2014</c:v>
                </c:pt>
                <c:pt idx="10">
                  <c:v>Ene - Nov. 2015</c:v>
                </c:pt>
              </c:strCache>
            </c:strRef>
          </c:cat>
          <c:val>
            <c:numRef>
              <c:f>'III.6.6.ID. Accidentabilidad'!$D$4:$D$14</c:f>
              <c:numCache>
                <c:formatCode>_(* #,##0.0_);_(* \(#,##0.0\);_(* "-"??_);_(@_)</c:formatCode>
                <c:ptCount val="11"/>
                <c:pt idx="0">
                  <c:v>595.42143102223849</c:v>
                </c:pt>
                <c:pt idx="1">
                  <c:v>684.60450020779331</c:v>
                </c:pt>
                <c:pt idx="2">
                  <c:v>935.60796449420332</c:v>
                </c:pt>
                <c:pt idx="3">
                  <c:v>1105.7208994042787</c:v>
                </c:pt>
                <c:pt idx="4">
                  <c:v>1353.6399297504852</c:v>
                </c:pt>
                <c:pt idx="5">
                  <c:v>1474.9933035506815</c:v>
                </c:pt>
                <c:pt idx="6">
                  <c:v>1652.0810943200345</c:v>
                </c:pt>
                <c:pt idx="7">
                  <c:v>1865.9374818653503</c:v>
                </c:pt>
                <c:pt idx="8">
                  <c:v>1871.174824644748</c:v>
                </c:pt>
                <c:pt idx="9">
                  <c:v>1879.3581887618836</c:v>
                </c:pt>
                <c:pt idx="10">
                  <c:v>1817.4558702316633</c:v>
                </c:pt>
              </c:numCache>
            </c:numRef>
          </c:val>
        </c:ser>
        <c:dLbls>
          <c:showLegendKey val="0"/>
          <c:showVal val="0"/>
          <c:showCatName val="0"/>
          <c:showSerName val="0"/>
          <c:showPercent val="0"/>
          <c:showBubbleSize val="0"/>
        </c:dLbls>
        <c:gapWidth val="35"/>
        <c:gapDepth val="186"/>
        <c:shape val="cylinder"/>
        <c:axId val="372810984"/>
        <c:axId val="372810592"/>
        <c:axId val="0"/>
      </c:bar3DChart>
      <c:catAx>
        <c:axId val="372810984"/>
        <c:scaling>
          <c:orientation val="minMax"/>
        </c:scaling>
        <c:delete val="0"/>
        <c:axPos val="b"/>
        <c:numFmt formatCode="General" sourceLinked="1"/>
        <c:majorTickMark val="none"/>
        <c:minorTickMark val="none"/>
        <c:tickLblPos val="nextTo"/>
        <c:txPr>
          <a:bodyPr/>
          <a:lstStyle/>
          <a:p>
            <a:pPr>
              <a:defRPr sz="1600"/>
            </a:pPr>
            <a:endParaRPr lang="es-ES"/>
          </a:p>
        </c:txPr>
        <c:crossAx val="372810592"/>
        <c:crosses val="autoZero"/>
        <c:auto val="1"/>
        <c:lblAlgn val="ctr"/>
        <c:lblOffset val="100"/>
        <c:noMultiLvlLbl val="0"/>
      </c:catAx>
      <c:valAx>
        <c:axId val="372810592"/>
        <c:scaling>
          <c:orientation val="minMax"/>
        </c:scaling>
        <c:delete val="1"/>
        <c:axPos val="l"/>
        <c:numFmt formatCode="_(* #,##0.0_);_(* \(#,##0.0\);_(* &quot;-&quot;??_);_(@_)" sourceLinked="1"/>
        <c:majorTickMark val="out"/>
        <c:minorTickMark val="none"/>
        <c:tickLblPos val="nextTo"/>
        <c:crossAx val="372810984"/>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4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1800"/>
            </a:pPr>
            <a:r>
              <a:rPr lang="es-DO" sz="1800"/>
              <a:t>Datos Generales del Sistema Dominicano de Seguridad Social (SDSS) </a:t>
            </a:r>
          </a:p>
          <a:p>
            <a:pPr>
              <a:defRPr sz="1800"/>
            </a:pPr>
            <a:r>
              <a:rPr lang="es-DO" sz="1800"/>
              <a:t>Ingresos y Egresos Anuales del SDSS</a:t>
            </a:r>
          </a:p>
        </c:rich>
      </c:tx>
      <c:layout>
        <c:manualLayout>
          <c:xMode val="edge"/>
          <c:yMode val="edge"/>
          <c:x val="0.34339409457444936"/>
          <c:y val="1.1934321893027804E-2"/>
        </c:manualLayout>
      </c:layout>
      <c:overlay val="1"/>
    </c:title>
    <c:autoTitleDeleted val="0"/>
    <c:plotArea>
      <c:layout>
        <c:manualLayout>
          <c:layoutTarget val="inner"/>
          <c:xMode val="edge"/>
          <c:yMode val="edge"/>
          <c:x val="3.567639321270126E-2"/>
          <c:y val="0.2379096010203581"/>
          <c:w val="0.94871460344854797"/>
          <c:h val="0.53783374609441048"/>
        </c:manualLayout>
      </c:layout>
      <c:barChart>
        <c:barDir val="col"/>
        <c:grouping val="clustered"/>
        <c:varyColors val="0"/>
        <c:ser>
          <c:idx val="0"/>
          <c:order val="0"/>
          <c:tx>
            <c:strRef>
              <c:f>'IV.1.3. Ingr y egr SDSS'!$G$4</c:f>
              <c:strCache>
                <c:ptCount val="1"/>
                <c:pt idx="0">
                  <c:v>Ingresos SDSS</c:v>
                </c:pt>
              </c:strCache>
            </c:strRef>
          </c:tx>
          <c:spPr>
            <a:solidFill>
              <a:schemeClr val="accent3">
                <a:lumMod val="75000"/>
              </a:schemeClr>
            </a:solidFill>
          </c:spPr>
          <c:invertIfNegative val="0"/>
          <c:dLbls>
            <c:spPr>
              <a:noFill/>
              <a:ln>
                <a:noFill/>
              </a:ln>
              <a:effectLst/>
            </c:spPr>
            <c:txPr>
              <a:bodyPr rot="-5400000" vert="horz"/>
              <a:lstStyle/>
              <a:p>
                <a:pPr>
                  <a:defRPr sz="2000"/>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'IV.1.3. Ingr y egr SDSS'!$A$5:$A$17</c:f>
              <c:strCache>
                <c:ptCount val="13"/>
                <c:pt idx="0">
                  <c:v>2003</c:v>
                </c:pt>
                <c:pt idx="1">
                  <c:v>2004</c:v>
                </c:pt>
                <c:pt idx="2">
                  <c:v>2005</c:v>
                </c:pt>
                <c:pt idx="3">
                  <c:v>2006</c:v>
                </c:pt>
                <c:pt idx="4">
                  <c:v>2007</c:v>
                </c:pt>
                <c:pt idx="5">
                  <c:v>2008</c:v>
                </c:pt>
                <c:pt idx="6">
                  <c:v>2009</c:v>
                </c:pt>
                <c:pt idx="7">
                  <c:v>2010</c:v>
                </c:pt>
                <c:pt idx="8">
                  <c:v>2011</c:v>
                </c:pt>
                <c:pt idx="9">
                  <c:v>2012</c:v>
                </c:pt>
                <c:pt idx="10">
                  <c:v>2013</c:v>
                </c:pt>
                <c:pt idx="11">
                  <c:v>2014</c:v>
                </c:pt>
                <c:pt idx="12">
                  <c:v>Ene-Nov.2015</c:v>
                </c:pt>
              </c:strCache>
            </c:strRef>
          </c:cat>
          <c:val>
            <c:numRef>
              <c:f>'IV.1.3. Ingr y egr SDSS'!$G$5:$G$17</c:f>
              <c:numCache>
                <c:formatCode>#,##0.00_);[Red]\(#,##0.00\)</c:formatCode>
                <c:ptCount val="13"/>
                <c:pt idx="0">
                  <c:v>1889323722.0100002</c:v>
                </c:pt>
                <c:pt idx="1">
                  <c:v>7520461044.0100002</c:v>
                </c:pt>
                <c:pt idx="2">
                  <c:v>10262783294.169996</c:v>
                </c:pt>
                <c:pt idx="3">
                  <c:v>11796610414.139999</c:v>
                </c:pt>
                <c:pt idx="4">
                  <c:v>22894223560.149998</c:v>
                </c:pt>
                <c:pt idx="5">
                  <c:v>35711293302.380005</c:v>
                </c:pt>
                <c:pt idx="6">
                  <c:v>42017486994.770004</c:v>
                </c:pt>
                <c:pt idx="7">
                  <c:v>48029951369.389999</c:v>
                </c:pt>
                <c:pt idx="8">
                  <c:v>54549494495.069992</c:v>
                </c:pt>
                <c:pt idx="9">
                  <c:v>60742865824.650002</c:v>
                </c:pt>
                <c:pt idx="10">
                  <c:v>67694940459.490005</c:v>
                </c:pt>
                <c:pt idx="11">
                  <c:v>77635020702.360001</c:v>
                </c:pt>
                <c:pt idx="12">
                  <c:v>78705939558.819992</c:v>
                </c:pt>
              </c:numCache>
            </c:numRef>
          </c:val>
        </c:ser>
        <c:ser>
          <c:idx val="1"/>
          <c:order val="1"/>
          <c:tx>
            <c:strRef>
              <c:f>'IV.1.3. Ingr y egr SDSS'!$K$4</c:f>
              <c:strCache>
                <c:ptCount val="1"/>
                <c:pt idx="0">
                  <c:v>Egresos SDSS</c:v>
                </c:pt>
              </c:strCache>
            </c:strRef>
          </c:tx>
          <c:spPr>
            <a:solidFill>
              <a:srgbClr val="C00000"/>
            </a:solidFill>
          </c:spPr>
          <c:invertIfNegative val="0"/>
          <c:dLbls>
            <c:spPr>
              <a:noFill/>
              <a:ln>
                <a:noFill/>
              </a:ln>
              <a:effectLst/>
            </c:spPr>
            <c:txPr>
              <a:bodyPr rot="-5400000" vert="horz"/>
              <a:lstStyle/>
              <a:p>
                <a:pPr>
                  <a:defRPr sz="1800"/>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'IV.1.3. Ingr y egr SDSS'!$A$5:$A$17</c:f>
              <c:strCache>
                <c:ptCount val="13"/>
                <c:pt idx="0">
                  <c:v>2003</c:v>
                </c:pt>
                <c:pt idx="1">
                  <c:v>2004</c:v>
                </c:pt>
                <c:pt idx="2">
                  <c:v>2005</c:v>
                </c:pt>
                <c:pt idx="3">
                  <c:v>2006</c:v>
                </c:pt>
                <c:pt idx="4">
                  <c:v>2007</c:v>
                </c:pt>
                <c:pt idx="5">
                  <c:v>2008</c:v>
                </c:pt>
                <c:pt idx="6">
                  <c:v>2009</c:v>
                </c:pt>
                <c:pt idx="7">
                  <c:v>2010</c:v>
                </c:pt>
                <c:pt idx="8">
                  <c:v>2011</c:v>
                </c:pt>
                <c:pt idx="9">
                  <c:v>2012</c:v>
                </c:pt>
                <c:pt idx="10">
                  <c:v>2013</c:v>
                </c:pt>
                <c:pt idx="11">
                  <c:v>2014</c:v>
                </c:pt>
                <c:pt idx="12">
                  <c:v>Ene-Nov.2015</c:v>
                </c:pt>
              </c:strCache>
            </c:strRef>
          </c:cat>
          <c:val>
            <c:numRef>
              <c:f>'IV.1.3. Ingr y egr SDSS'!$K$5:$K$17</c:f>
              <c:numCache>
                <c:formatCode>#,##0.00_);[Red]\(#,##0.00\)</c:formatCode>
                <c:ptCount val="13"/>
                <c:pt idx="0">
                  <c:v>1864366292.3099999</c:v>
                </c:pt>
                <c:pt idx="1">
                  <c:v>7411785684.4499989</c:v>
                </c:pt>
                <c:pt idx="2">
                  <c:v>9853566780.3449593</c:v>
                </c:pt>
                <c:pt idx="3">
                  <c:v>11808873938.42</c:v>
                </c:pt>
                <c:pt idx="4">
                  <c:v>21028301074.758999</c:v>
                </c:pt>
                <c:pt idx="5">
                  <c:v>32941378906.730003</c:v>
                </c:pt>
                <c:pt idx="6">
                  <c:v>39221302255.099998</c:v>
                </c:pt>
                <c:pt idx="7">
                  <c:v>50719425140.439987</c:v>
                </c:pt>
                <c:pt idx="8">
                  <c:v>54342847242.37001</c:v>
                </c:pt>
                <c:pt idx="9">
                  <c:v>61089518822.399994</c:v>
                </c:pt>
                <c:pt idx="10">
                  <c:v>67697663532.259995</c:v>
                </c:pt>
                <c:pt idx="11">
                  <c:v>77919978415.960007</c:v>
                </c:pt>
                <c:pt idx="12">
                  <c:v>77900345527.929993</c:v>
                </c:pt>
              </c:numCache>
            </c:numRef>
          </c:val>
        </c:ser>
        <c:ser>
          <c:idx val="2"/>
          <c:order val="2"/>
          <c:tx>
            <c:strRef>
              <c:f>'IV.1.3. Ingr y egr SDSS'!$M$3:$M$4</c:f>
              <c:strCache>
                <c:ptCount val="2"/>
                <c:pt idx="0">
                  <c:v>Egreso del SDSS</c:v>
                </c:pt>
                <c:pt idx="1">
                  <c:v>Saldo  (Ingresos - Egresos SDSS)</c:v>
                </c:pt>
              </c:strCache>
            </c:strRef>
          </c:tx>
          <c:spPr>
            <a:solidFill>
              <a:srgbClr val="FF6600"/>
            </a:solidFill>
            <a:ln w="47625">
              <a:gradFill>
                <a:gsLst>
                  <a:gs pos="0">
                    <a:srgbClr val="D6B19C"/>
                  </a:gs>
                  <a:gs pos="30000">
                    <a:srgbClr val="D49E6C"/>
                  </a:gs>
                  <a:gs pos="70000">
                    <a:srgbClr val="A65528"/>
                  </a:gs>
                  <a:gs pos="100000">
                    <a:srgbClr val="663012"/>
                  </a:gs>
                </a:gsLst>
                <a:lin ang="5400000" scaled="0"/>
              </a:gradFill>
            </a:ln>
          </c:spPr>
          <c:invertIfNegative val="0"/>
          <c:dPt>
            <c:idx val="0"/>
            <c:invertIfNegative val="0"/>
            <c:bubble3D val="0"/>
          </c:dPt>
          <c:dPt>
            <c:idx val="1"/>
            <c:invertIfNegative val="0"/>
            <c:bubble3D val="0"/>
          </c:dPt>
          <c:dPt>
            <c:idx val="2"/>
            <c:invertIfNegative val="0"/>
            <c:bubble3D val="0"/>
          </c:dPt>
          <c:dPt>
            <c:idx val="3"/>
            <c:invertIfNegative val="0"/>
            <c:bubble3D val="0"/>
          </c:dPt>
          <c:dPt>
            <c:idx val="4"/>
            <c:invertIfNegative val="0"/>
            <c:bubble3D val="0"/>
          </c:dPt>
          <c:dPt>
            <c:idx val="5"/>
            <c:invertIfNegative val="0"/>
            <c:bubble3D val="0"/>
          </c:dPt>
          <c:dPt>
            <c:idx val="6"/>
            <c:invertIfNegative val="0"/>
            <c:bubble3D val="0"/>
          </c:dPt>
          <c:dPt>
            <c:idx val="7"/>
            <c:invertIfNegative val="0"/>
            <c:bubble3D val="0"/>
          </c:dPt>
          <c:dPt>
            <c:idx val="8"/>
            <c:invertIfNegative val="0"/>
            <c:bubble3D val="0"/>
          </c:dPt>
          <c:dPt>
            <c:idx val="9"/>
            <c:invertIfNegative val="0"/>
            <c:bubble3D val="0"/>
          </c:dPt>
          <c:dLbls>
            <c:dLbl>
              <c:idx val="0"/>
              <c:layout>
                <c:manualLayout>
                  <c:x val="-1.8099925450765502E-4"/>
                  <c:y val="-6.8157901917926464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9652851677033108E-4"/>
                  <c:y val="-6.815790191792559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8601336376366849E-3"/>
                  <c:y val="-4.985530311094732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3.6835936502689062E-4"/>
                  <c:y val="-4.636559022016111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9.1776185253395013E-4"/>
                  <c:y val="-4.636559022016024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9648464879783769E-4"/>
                  <c:y val="-1.088172015371041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2.235424142317529E-3"/>
                  <c:y val="-7.2031324899720812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1.6644386123437281E-3"/>
                  <c:y val="-1.0626534316487995E-4"/>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5.4400672689021066E-4"/>
                  <c:y val="-1.1934222031981492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'IV.1.3. Ingr y egr SDSS'!$A$5:$A$17</c:f>
              <c:strCache>
                <c:ptCount val="13"/>
                <c:pt idx="0">
                  <c:v>2003</c:v>
                </c:pt>
                <c:pt idx="1">
                  <c:v>2004</c:v>
                </c:pt>
                <c:pt idx="2">
                  <c:v>2005</c:v>
                </c:pt>
                <c:pt idx="3">
                  <c:v>2006</c:v>
                </c:pt>
                <c:pt idx="4">
                  <c:v>2007</c:v>
                </c:pt>
                <c:pt idx="5">
                  <c:v>2008</c:v>
                </c:pt>
                <c:pt idx="6">
                  <c:v>2009</c:v>
                </c:pt>
                <c:pt idx="7">
                  <c:v>2010</c:v>
                </c:pt>
                <c:pt idx="8">
                  <c:v>2011</c:v>
                </c:pt>
                <c:pt idx="9">
                  <c:v>2012</c:v>
                </c:pt>
                <c:pt idx="10">
                  <c:v>2013</c:v>
                </c:pt>
                <c:pt idx="11">
                  <c:v>2014</c:v>
                </c:pt>
                <c:pt idx="12">
                  <c:v>Ene-Nov.2015</c:v>
                </c:pt>
              </c:strCache>
            </c:strRef>
          </c:cat>
          <c:val>
            <c:numRef>
              <c:f>'IV.1.3. Ingr y egr SDSS'!$M$5:$M$17</c:f>
              <c:numCache>
                <c:formatCode>#,##0.00_);[Red]\(#,##0.00\)</c:formatCode>
                <c:ptCount val="13"/>
                <c:pt idx="0">
                  <c:v>24957429.700000286</c:v>
                </c:pt>
                <c:pt idx="1">
                  <c:v>108675359.56000137</c:v>
                </c:pt>
                <c:pt idx="2">
                  <c:v>409216513.825037</c:v>
                </c:pt>
                <c:pt idx="3">
                  <c:v>-12263524.280000687</c:v>
                </c:pt>
                <c:pt idx="4">
                  <c:v>1865922485.3909988</c:v>
                </c:pt>
                <c:pt idx="5">
                  <c:v>2769914395.6500015</c:v>
                </c:pt>
                <c:pt idx="6">
                  <c:v>2796184739.6700058</c:v>
                </c:pt>
                <c:pt idx="7">
                  <c:v>-2689473771.0499878</c:v>
                </c:pt>
                <c:pt idx="8">
                  <c:v>206647252.69998169</c:v>
                </c:pt>
                <c:pt idx="9">
                  <c:v>-346652997.74999237</c:v>
                </c:pt>
                <c:pt idx="10">
                  <c:v>-2723072.7699890137</c:v>
                </c:pt>
                <c:pt idx="11">
                  <c:v>-284957713.6000061</c:v>
                </c:pt>
                <c:pt idx="12">
                  <c:v>805594030.88999939</c:v>
                </c:pt>
              </c:numCache>
            </c:numRef>
          </c:val>
        </c:ser>
        <c:dLbls>
          <c:showLegendKey val="0"/>
          <c:showVal val="0"/>
          <c:showCatName val="0"/>
          <c:showSerName val="0"/>
          <c:showPercent val="0"/>
          <c:showBubbleSize val="0"/>
        </c:dLbls>
        <c:gapWidth val="39"/>
        <c:axId val="372809416"/>
        <c:axId val="372808632"/>
      </c:barChart>
      <c:catAx>
        <c:axId val="372809416"/>
        <c:scaling>
          <c:orientation val="minMax"/>
        </c:scaling>
        <c:delete val="0"/>
        <c:axPos val="b"/>
        <c:numFmt formatCode="General" sourceLinked="1"/>
        <c:majorTickMark val="none"/>
        <c:minorTickMark val="none"/>
        <c:tickLblPos val="low"/>
        <c:txPr>
          <a:bodyPr rot="-2700000" vert="horz"/>
          <a:lstStyle/>
          <a:p>
            <a:pPr>
              <a:defRPr sz="1800"/>
            </a:pPr>
            <a:endParaRPr lang="es-ES"/>
          </a:p>
        </c:txPr>
        <c:crossAx val="372808632"/>
        <c:crosses val="autoZero"/>
        <c:auto val="1"/>
        <c:lblAlgn val="ctr"/>
        <c:lblOffset val="100"/>
        <c:noMultiLvlLbl val="0"/>
      </c:catAx>
      <c:valAx>
        <c:axId val="372808632"/>
        <c:scaling>
          <c:orientation val="minMax"/>
        </c:scaling>
        <c:delete val="0"/>
        <c:axPos val="l"/>
        <c:numFmt formatCode="#,##0.00_);[Red]\(#,##0.00\)" sourceLinked="1"/>
        <c:majorTickMark val="none"/>
        <c:minorTickMark val="none"/>
        <c:tickLblPos val="none"/>
        <c:spPr>
          <a:ln>
            <a:solidFill>
              <a:schemeClr val="bg1"/>
            </a:solidFill>
          </a:ln>
        </c:spPr>
        <c:crossAx val="372809416"/>
        <c:crosses val="autoZero"/>
        <c:crossBetween val="between"/>
        <c:dispUnits>
          <c:builtInUnit val="millions"/>
          <c:dispUnitsLbl>
            <c:layout>
              <c:manualLayout>
                <c:xMode val="edge"/>
                <c:yMode val="edge"/>
                <c:x val="7.6274863796122246E-3"/>
                <c:y val="0.44578457085209094"/>
              </c:manualLayout>
            </c:layout>
            <c:txPr>
              <a:bodyPr/>
              <a:lstStyle/>
              <a:p>
                <a:pPr>
                  <a:defRPr sz="2000" b="1"/>
                </a:pPr>
                <a:endParaRPr lang="es-ES"/>
              </a:p>
            </c:txPr>
          </c:dispUnitsLbl>
        </c:dispUnits>
      </c:valAx>
    </c:plotArea>
    <c:legend>
      <c:legendPos val="b"/>
      <c:layout>
        <c:manualLayout>
          <c:xMode val="edge"/>
          <c:yMode val="edge"/>
          <c:x val="0.23062970678294187"/>
          <c:y val="9.6546980893943507E-2"/>
          <c:w val="0.52947389261897937"/>
          <c:h val="4.1468220777699086E-2"/>
        </c:manualLayout>
      </c:layout>
      <c:overlay val="0"/>
      <c:txPr>
        <a:bodyPr/>
        <a:lstStyle/>
        <a:p>
          <a:pPr>
            <a:defRPr sz="1800"/>
          </a:pPr>
          <a:endParaRPr lang="es-E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4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autoTitleDeleted val="0"/>
    <c:plotArea>
      <c:layout>
        <c:manualLayout>
          <c:layoutTarget val="inner"/>
          <c:xMode val="edge"/>
          <c:yMode val="edge"/>
          <c:x val="4.106461350126122E-2"/>
          <c:y val="7.3103154835515091E-2"/>
          <c:w val="0.92689081140767304"/>
          <c:h val="0.76526844343366718"/>
        </c:manualLayout>
      </c:layout>
      <c:barChart>
        <c:barDir val="col"/>
        <c:grouping val="stacked"/>
        <c:varyColors val="0"/>
        <c:ser>
          <c:idx val="0"/>
          <c:order val="0"/>
          <c:tx>
            <c:strRef>
              <c:f>'IV.1.4. Recaudo x sector'!$B$3</c:f>
              <c:strCache>
                <c:ptCount val="1"/>
                <c:pt idx="0">
                  <c:v>Sector  Público</c:v>
                </c:pt>
              </c:strCache>
            </c:strRef>
          </c:tx>
          <c:spPr>
            <a:solidFill>
              <a:schemeClr val="accent3">
                <a:lumMod val="75000"/>
              </a:schemeClr>
            </a:solidFill>
          </c:spPr>
          <c:invertIfNegative val="0"/>
          <c:dLbls>
            <c:spPr>
              <a:noFill/>
              <a:ln>
                <a:noFill/>
              </a:ln>
              <a:effectLst/>
            </c:spPr>
            <c:txPr>
              <a:bodyPr/>
              <a:lstStyle/>
              <a:p>
                <a:pPr>
                  <a:defRPr sz="1200" b="1">
                    <a:solidFill>
                      <a:schemeClr val="bg1"/>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'IV.1.4. Recaudo x sector'!$A$4:$A$16</c:f>
              <c:strCache>
                <c:ptCount val="13"/>
                <c:pt idx="0">
                  <c:v>2003</c:v>
                </c:pt>
                <c:pt idx="1">
                  <c:v>2004</c:v>
                </c:pt>
                <c:pt idx="2">
                  <c:v>2005</c:v>
                </c:pt>
                <c:pt idx="3">
                  <c:v>2006</c:v>
                </c:pt>
                <c:pt idx="4">
                  <c:v>2007</c:v>
                </c:pt>
                <c:pt idx="5">
                  <c:v>2008</c:v>
                </c:pt>
                <c:pt idx="6">
                  <c:v>2009</c:v>
                </c:pt>
                <c:pt idx="7">
                  <c:v>2010</c:v>
                </c:pt>
                <c:pt idx="8">
                  <c:v>2011</c:v>
                </c:pt>
                <c:pt idx="9">
                  <c:v>2012</c:v>
                </c:pt>
                <c:pt idx="10">
                  <c:v>2013</c:v>
                </c:pt>
                <c:pt idx="11">
                  <c:v>2014</c:v>
                </c:pt>
                <c:pt idx="12">
                  <c:v>Ene-Nov. 2015</c:v>
                </c:pt>
              </c:strCache>
            </c:strRef>
          </c:cat>
          <c:val>
            <c:numRef>
              <c:f>'IV.1.4. Recaudo x sector'!$B$4:$B$16</c:f>
              <c:numCache>
                <c:formatCode>_(* #,##0.00_);_(* \(#,##0.00\);_(* "-"??_);_(@_)</c:formatCode>
                <c:ptCount val="13"/>
                <c:pt idx="0">
                  <c:v>211522228.03</c:v>
                </c:pt>
                <c:pt idx="1">
                  <c:v>2104921284.339</c:v>
                </c:pt>
                <c:pt idx="2">
                  <c:v>2740119047.3900003</c:v>
                </c:pt>
                <c:pt idx="3">
                  <c:v>2679574110.783494</c:v>
                </c:pt>
                <c:pt idx="4">
                  <c:v>7440643704.1800003</c:v>
                </c:pt>
                <c:pt idx="5">
                  <c:v>10090935314.219999</c:v>
                </c:pt>
                <c:pt idx="6">
                  <c:v>12419428715.15</c:v>
                </c:pt>
                <c:pt idx="7">
                  <c:v>13982932933.34</c:v>
                </c:pt>
                <c:pt idx="8">
                  <c:v>15631836986.009998</c:v>
                </c:pt>
                <c:pt idx="9">
                  <c:v>17595724643.350403</c:v>
                </c:pt>
                <c:pt idx="10">
                  <c:v>20873289030.960003</c:v>
                </c:pt>
                <c:pt idx="11">
                  <c:v>24657599719.139999</c:v>
                </c:pt>
                <c:pt idx="12">
                  <c:v>26524669558.41</c:v>
                </c:pt>
              </c:numCache>
            </c:numRef>
          </c:val>
        </c:ser>
        <c:ser>
          <c:idx val="1"/>
          <c:order val="1"/>
          <c:tx>
            <c:strRef>
              <c:f>'IV.1.4. Recaudo x sector'!$C$3</c:f>
              <c:strCache>
                <c:ptCount val="1"/>
                <c:pt idx="0">
                  <c:v>Sector Privado</c:v>
                </c:pt>
              </c:strCache>
            </c:strRef>
          </c:tx>
          <c:spPr>
            <a:solidFill>
              <a:srgbClr val="0070C0"/>
            </a:solidFill>
          </c:spPr>
          <c:invertIfNegative val="0"/>
          <c:dLbls>
            <c:spPr>
              <a:noFill/>
              <a:ln>
                <a:noFill/>
              </a:ln>
              <a:effectLst/>
            </c:spPr>
            <c:txPr>
              <a:bodyPr/>
              <a:lstStyle/>
              <a:p>
                <a:pPr>
                  <a:defRPr sz="1200" b="1">
                    <a:solidFill>
                      <a:schemeClr val="bg1"/>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'IV.1.4. Recaudo x sector'!$A$4:$A$16</c:f>
              <c:strCache>
                <c:ptCount val="13"/>
                <c:pt idx="0">
                  <c:v>2003</c:v>
                </c:pt>
                <c:pt idx="1">
                  <c:v>2004</c:v>
                </c:pt>
                <c:pt idx="2">
                  <c:v>2005</c:v>
                </c:pt>
                <c:pt idx="3">
                  <c:v>2006</c:v>
                </c:pt>
                <c:pt idx="4">
                  <c:v>2007</c:v>
                </c:pt>
                <c:pt idx="5">
                  <c:v>2008</c:v>
                </c:pt>
                <c:pt idx="6">
                  <c:v>2009</c:v>
                </c:pt>
                <c:pt idx="7">
                  <c:v>2010</c:v>
                </c:pt>
                <c:pt idx="8">
                  <c:v>2011</c:v>
                </c:pt>
                <c:pt idx="9">
                  <c:v>2012</c:v>
                </c:pt>
                <c:pt idx="10">
                  <c:v>2013</c:v>
                </c:pt>
                <c:pt idx="11">
                  <c:v>2014</c:v>
                </c:pt>
                <c:pt idx="12">
                  <c:v>Ene-Nov. 2015</c:v>
                </c:pt>
              </c:strCache>
            </c:strRef>
          </c:cat>
          <c:val>
            <c:numRef>
              <c:f>'IV.1.4. Recaudo x sector'!$C$4:$C$16</c:f>
              <c:numCache>
                <c:formatCode>_(* #,##0.00_);_(* \(#,##0.00\);_(* "-"??_);_(@_)</c:formatCode>
                <c:ptCount val="13"/>
                <c:pt idx="0">
                  <c:v>1627801493.98</c:v>
                </c:pt>
                <c:pt idx="1">
                  <c:v>5315526427.3509998</c:v>
                </c:pt>
                <c:pt idx="2">
                  <c:v>6918059326.1500006</c:v>
                </c:pt>
                <c:pt idx="3">
                  <c:v>8392526306.6965065</c:v>
                </c:pt>
                <c:pt idx="4">
                  <c:v>13755990830.42</c:v>
                </c:pt>
                <c:pt idx="5">
                  <c:v>22987229737.049999</c:v>
                </c:pt>
                <c:pt idx="6">
                  <c:v>25453341929.369999</c:v>
                </c:pt>
                <c:pt idx="7">
                  <c:v>29622073160.660004</c:v>
                </c:pt>
                <c:pt idx="8">
                  <c:v>33784047829.830002</c:v>
                </c:pt>
                <c:pt idx="9">
                  <c:v>37469807664.639603</c:v>
                </c:pt>
                <c:pt idx="10">
                  <c:v>40609714567.439995</c:v>
                </c:pt>
                <c:pt idx="11">
                  <c:v>45263293195.400002</c:v>
                </c:pt>
                <c:pt idx="12">
                  <c:v>45051467483.349991</c:v>
                </c:pt>
              </c:numCache>
            </c:numRef>
          </c:val>
        </c:ser>
        <c:dLbls>
          <c:showLegendKey val="0"/>
          <c:showVal val="0"/>
          <c:showCatName val="0"/>
          <c:showSerName val="0"/>
          <c:showPercent val="0"/>
          <c:showBubbleSize val="0"/>
        </c:dLbls>
        <c:gapWidth val="24"/>
        <c:overlap val="87"/>
        <c:axId val="372812160"/>
        <c:axId val="372813336"/>
      </c:barChart>
      <c:catAx>
        <c:axId val="372812160"/>
        <c:scaling>
          <c:orientation val="minMax"/>
        </c:scaling>
        <c:delete val="0"/>
        <c:axPos val="b"/>
        <c:numFmt formatCode="General" sourceLinked="1"/>
        <c:majorTickMark val="out"/>
        <c:minorTickMark val="none"/>
        <c:tickLblPos val="nextTo"/>
        <c:txPr>
          <a:bodyPr/>
          <a:lstStyle/>
          <a:p>
            <a:pPr>
              <a:defRPr sz="1100"/>
            </a:pPr>
            <a:endParaRPr lang="es-ES"/>
          </a:p>
        </c:txPr>
        <c:crossAx val="372813336"/>
        <c:crosses val="autoZero"/>
        <c:auto val="1"/>
        <c:lblAlgn val="ctr"/>
        <c:lblOffset val="100"/>
        <c:noMultiLvlLbl val="0"/>
      </c:catAx>
      <c:valAx>
        <c:axId val="372813336"/>
        <c:scaling>
          <c:orientation val="minMax"/>
        </c:scaling>
        <c:delete val="0"/>
        <c:axPos val="l"/>
        <c:numFmt formatCode="_(* #,##0.00_);_(* \(#,##0.00\);_(* &quot;-&quot;??_);_(@_)" sourceLinked="1"/>
        <c:majorTickMark val="out"/>
        <c:minorTickMark val="none"/>
        <c:tickLblPos val="nextTo"/>
        <c:spPr>
          <a:ln>
            <a:solidFill>
              <a:schemeClr val="bg1"/>
            </a:solidFill>
          </a:ln>
        </c:spPr>
        <c:txPr>
          <a:bodyPr/>
          <a:lstStyle/>
          <a:p>
            <a:pPr>
              <a:defRPr>
                <a:solidFill>
                  <a:schemeClr val="bg1"/>
                </a:solidFill>
              </a:defRPr>
            </a:pPr>
            <a:endParaRPr lang="es-ES"/>
          </a:p>
        </c:txPr>
        <c:crossAx val="372812160"/>
        <c:crosses val="autoZero"/>
        <c:crossBetween val="between"/>
        <c:dispUnits>
          <c:builtInUnit val="billions"/>
          <c:dispUnitsLbl>
            <c:layout>
              <c:manualLayout>
                <c:xMode val="edge"/>
                <c:yMode val="edge"/>
                <c:x val="2.5214255761906491E-2"/>
                <c:y val="0.33296905909968"/>
              </c:manualLayout>
            </c:layout>
            <c:txPr>
              <a:bodyPr/>
              <a:lstStyle/>
              <a:p>
                <a:pPr>
                  <a:defRPr sz="1100" b="1"/>
                </a:pPr>
                <a:endParaRPr lang="es-ES"/>
              </a:p>
            </c:txPr>
          </c:dispUnitsLbl>
        </c:dispUnits>
      </c:valAx>
    </c:plotArea>
    <c:legend>
      <c:legendPos val="r"/>
      <c:layout>
        <c:manualLayout>
          <c:xMode val="edge"/>
          <c:yMode val="edge"/>
          <c:x val="0.31770084425273137"/>
          <c:y val="6.9093538866437487E-2"/>
          <c:w val="0.42926758418570254"/>
          <c:h val="5.8515971529759646E-2"/>
        </c:manualLayout>
      </c:layout>
      <c:overlay val="0"/>
      <c:txPr>
        <a:bodyPr/>
        <a:lstStyle/>
        <a:p>
          <a:pPr>
            <a:defRPr sz="1200" b="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4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n-US" sz="1600"/>
              <a:t>Recaudo del Régimen Contributivo del SDSS por Origen de los Aportes                                                 </a:t>
            </a:r>
          </a:p>
        </c:rich>
      </c:tx>
      <c:layout>
        <c:manualLayout>
          <c:xMode val="edge"/>
          <c:yMode val="edge"/>
          <c:x val="0.23271632707239343"/>
          <c:y val="2.5979693215360099E-2"/>
        </c:manualLayout>
      </c:layout>
      <c:overlay val="0"/>
      <c:spPr>
        <a:ln>
          <a:noFill/>
        </a:ln>
      </c:spPr>
    </c:title>
    <c:autoTitleDeleted val="0"/>
    <c:view3D>
      <c:rotX val="15"/>
      <c:rotY val="0"/>
      <c:rAngAx val="0"/>
    </c:view3D>
    <c:floor>
      <c:thickness val="0"/>
    </c:floor>
    <c:sideWall>
      <c:thickness val="0"/>
    </c:sideWall>
    <c:backWall>
      <c:thickness val="0"/>
    </c:backWall>
    <c:plotArea>
      <c:layout>
        <c:manualLayout>
          <c:layoutTarget val="inner"/>
          <c:xMode val="edge"/>
          <c:yMode val="edge"/>
          <c:x val="1.5883437006258064E-2"/>
          <c:y val="0.18437751404603053"/>
          <c:w val="0.96568729253659502"/>
          <c:h val="0.6762348171418332"/>
        </c:manualLayout>
      </c:layout>
      <c:bar3DChart>
        <c:barDir val="col"/>
        <c:grouping val="standard"/>
        <c:varyColors val="0"/>
        <c:ser>
          <c:idx val="0"/>
          <c:order val="0"/>
          <c:tx>
            <c:strRef>
              <c:f>'IV.1.5 Rec. x origen'!$B$3</c:f>
              <c:strCache>
                <c:ptCount val="1"/>
                <c:pt idx="0">
                  <c:v>Trabajador Sector Público</c:v>
                </c:pt>
              </c:strCache>
            </c:strRef>
          </c:tx>
          <c:invertIfNegative val="0"/>
          <c:cat>
            <c:strRef>
              <c:f>'IV.1.5 Rec. x origen'!$A$4:$A$16</c:f>
              <c:strCache>
                <c:ptCount val="13"/>
                <c:pt idx="0">
                  <c:v>2003</c:v>
                </c:pt>
                <c:pt idx="1">
                  <c:v>2004</c:v>
                </c:pt>
                <c:pt idx="2">
                  <c:v>2005</c:v>
                </c:pt>
                <c:pt idx="3">
                  <c:v>2006</c:v>
                </c:pt>
                <c:pt idx="4">
                  <c:v>2007</c:v>
                </c:pt>
                <c:pt idx="5">
                  <c:v>2008</c:v>
                </c:pt>
                <c:pt idx="6">
                  <c:v>2009</c:v>
                </c:pt>
                <c:pt idx="7">
                  <c:v>2010</c:v>
                </c:pt>
                <c:pt idx="8">
                  <c:v>2011</c:v>
                </c:pt>
                <c:pt idx="9">
                  <c:v>2012</c:v>
                </c:pt>
                <c:pt idx="10">
                  <c:v>2013</c:v>
                </c:pt>
                <c:pt idx="11">
                  <c:v>2014</c:v>
                </c:pt>
                <c:pt idx="12">
                  <c:v>Ene-Nov. 2015</c:v>
                </c:pt>
              </c:strCache>
            </c:strRef>
          </c:cat>
          <c:val>
            <c:numRef>
              <c:f>'IV.1.5 Rec. x origen'!$B$4:$B$16</c:f>
              <c:numCache>
                <c:formatCode>_(* #,##0.00_);_(* \(#,##0.00\);_(* "-"??_);_(@_)</c:formatCode>
                <c:ptCount val="13"/>
                <c:pt idx="0">
                  <c:v>63456668.409345008</c:v>
                </c:pt>
                <c:pt idx="1">
                  <c:v>547279533.92999995</c:v>
                </c:pt>
                <c:pt idx="2">
                  <c:v>712430952.32140017</c:v>
                </c:pt>
                <c:pt idx="3">
                  <c:v>696689268.80370843</c:v>
                </c:pt>
                <c:pt idx="4">
                  <c:v>2008973800.1286001</c:v>
                </c:pt>
                <c:pt idx="5">
                  <c:v>2875916564.5526996</c:v>
                </c:pt>
                <c:pt idx="6">
                  <c:v>3539537183.8177495</c:v>
                </c:pt>
                <c:pt idx="7">
                  <c:v>3985135886.0018997</c:v>
                </c:pt>
                <c:pt idx="8">
                  <c:v>4455073541.0128489</c:v>
                </c:pt>
                <c:pt idx="9">
                  <c:v>5014781523.3548641</c:v>
                </c:pt>
                <c:pt idx="10">
                  <c:v>5948887373.8236008</c:v>
                </c:pt>
                <c:pt idx="11">
                  <c:v>7027415919.9548988</c:v>
                </c:pt>
                <c:pt idx="12">
                  <c:v>7559530824.1468496</c:v>
                </c:pt>
              </c:numCache>
            </c:numRef>
          </c:val>
        </c:ser>
        <c:ser>
          <c:idx val="1"/>
          <c:order val="1"/>
          <c:tx>
            <c:strRef>
              <c:f>'IV.1.5 Rec. x origen'!$C$3</c:f>
              <c:strCache>
                <c:ptCount val="1"/>
                <c:pt idx="0">
                  <c:v>Trabajador Sector Privado</c:v>
                </c:pt>
              </c:strCache>
            </c:strRef>
          </c:tx>
          <c:invertIfNegative val="0"/>
          <c:cat>
            <c:strRef>
              <c:f>'IV.1.5 Rec. x origen'!$A$4:$A$16</c:f>
              <c:strCache>
                <c:ptCount val="13"/>
                <c:pt idx="0">
                  <c:v>2003</c:v>
                </c:pt>
                <c:pt idx="1">
                  <c:v>2004</c:v>
                </c:pt>
                <c:pt idx="2">
                  <c:v>2005</c:v>
                </c:pt>
                <c:pt idx="3">
                  <c:v>2006</c:v>
                </c:pt>
                <c:pt idx="4">
                  <c:v>2007</c:v>
                </c:pt>
                <c:pt idx="5">
                  <c:v>2008</c:v>
                </c:pt>
                <c:pt idx="6">
                  <c:v>2009</c:v>
                </c:pt>
                <c:pt idx="7">
                  <c:v>2010</c:v>
                </c:pt>
                <c:pt idx="8">
                  <c:v>2011</c:v>
                </c:pt>
                <c:pt idx="9">
                  <c:v>2012</c:v>
                </c:pt>
                <c:pt idx="10">
                  <c:v>2013</c:v>
                </c:pt>
                <c:pt idx="11">
                  <c:v>2014</c:v>
                </c:pt>
                <c:pt idx="12">
                  <c:v>Ene-Nov. 2015</c:v>
                </c:pt>
              </c:strCache>
            </c:strRef>
          </c:cat>
          <c:val>
            <c:numRef>
              <c:f>'IV.1.5 Rec. x origen'!$C$4:$C$16</c:f>
              <c:numCache>
                <c:formatCode>_(* #,##0.00_);_(* \(#,##0.00\);_(* "-"??_);_(@_)</c:formatCode>
                <c:ptCount val="13"/>
                <c:pt idx="0">
                  <c:v>488340448.19365501</c:v>
                </c:pt>
                <c:pt idx="1">
                  <c:v>1382036871.1099999</c:v>
                </c:pt>
                <c:pt idx="2">
                  <c:v>1798695424.7990003</c:v>
                </c:pt>
                <c:pt idx="3">
                  <c:v>2182056839.7410917</c:v>
                </c:pt>
                <c:pt idx="4">
                  <c:v>3714117524.2134004</c:v>
                </c:pt>
                <c:pt idx="5">
                  <c:v>6551360475.0592489</c:v>
                </c:pt>
                <c:pt idx="6">
                  <c:v>7254202449.8704491</c:v>
                </c:pt>
                <c:pt idx="7">
                  <c:v>8442290850.7881002</c:v>
                </c:pt>
                <c:pt idx="8">
                  <c:v>9628453631.5015488</c:v>
                </c:pt>
                <c:pt idx="9">
                  <c:v>10678895184.422285</c:v>
                </c:pt>
                <c:pt idx="10">
                  <c:v>11573768651.720398</c:v>
                </c:pt>
                <c:pt idx="11">
                  <c:v>12900038560.688999</c:v>
                </c:pt>
                <c:pt idx="12">
                  <c:v>12839668232.754745</c:v>
                </c:pt>
              </c:numCache>
            </c:numRef>
          </c:val>
        </c:ser>
        <c:ser>
          <c:idx val="2"/>
          <c:order val="2"/>
          <c:tx>
            <c:strRef>
              <c:f>'IV.1.5 Rec. x origen'!$D$3</c:f>
              <c:strCache>
                <c:ptCount val="1"/>
                <c:pt idx="0">
                  <c:v> Empleador Sector Público</c:v>
                </c:pt>
              </c:strCache>
            </c:strRef>
          </c:tx>
          <c:invertIfNegative val="0"/>
          <c:cat>
            <c:strRef>
              <c:f>'IV.1.5 Rec. x origen'!$A$4:$A$16</c:f>
              <c:strCache>
                <c:ptCount val="13"/>
                <c:pt idx="0">
                  <c:v>2003</c:v>
                </c:pt>
                <c:pt idx="1">
                  <c:v>2004</c:v>
                </c:pt>
                <c:pt idx="2">
                  <c:v>2005</c:v>
                </c:pt>
                <c:pt idx="3">
                  <c:v>2006</c:v>
                </c:pt>
                <c:pt idx="4">
                  <c:v>2007</c:v>
                </c:pt>
                <c:pt idx="5">
                  <c:v>2008</c:v>
                </c:pt>
                <c:pt idx="6">
                  <c:v>2009</c:v>
                </c:pt>
                <c:pt idx="7">
                  <c:v>2010</c:v>
                </c:pt>
                <c:pt idx="8">
                  <c:v>2011</c:v>
                </c:pt>
                <c:pt idx="9">
                  <c:v>2012</c:v>
                </c:pt>
                <c:pt idx="10">
                  <c:v>2013</c:v>
                </c:pt>
                <c:pt idx="11">
                  <c:v>2014</c:v>
                </c:pt>
                <c:pt idx="12">
                  <c:v>Ene-Nov. 2015</c:v>
                </c:pt>
              </c:strCache>
            </c:strRef>
          </c:cat>
          <c:val>
            <c:numRef>
              <c:f>'IV.1.5 Rec. x origen'!$D$4:$D$16</c:f>
              <c:numCache>
                <c:formatCode>_(* #,##0.00_);_(* \(#,##0.00\);_(* "-"??_);_(@_)</c:formatCode>
                <c:ptCount val="13"/>
                <c:pt idx="0">
                  <c:v>148065559.62180501</c:v>
                </c:pt>
                <c:pt idx="1">
                  <c:v>1557641750.4100001</c:v>
                </c:pt>
                <c:pt idx="2">
                  <c:v>2027688095.0686002</c:v>
                </c:pt>
                <c:pt idx="3">
                  <c:v>1982884841.9797854</c:v>
                </c:pt>
                <c:pt idx="4">
                  <c:v>5431669904.0514002</c:v>
                </c:pt>
                <c:pt idx="5">
                  <c:v>7215018749.6672993</c:v>
                </c:pt>
                <c:pt idx="6">
                  <c:v>8879891531.3322487</c:v>
                </c:pt>
                <c:pt idx="7">
                  <c:v>9997797047.3381004</c:v>
                </c:pt>
                <c:pt idx="8">
                  <c:v>11176763444.997149</c:v>
                </c:pt>
                <c:pt idx="9">
                  <c:v>12580943119.995537</c:v>
                </c:pt>
                <c:pt idx="10">
                  <c:v>14924401657.136402</c:v>
                </c:pt>
                <c:pt idx="11">
                  <c:v>17630183799.185101</c:v>
                </c:pt>
                <c:pt idx="12">
                  <c:v>18965138734.263149</c:v>
                </c:pt>
              </c:numCache>
            </c:numRef>
          </c:val>
        </c:ser>
        <c:ser>
          <c:idx val="3"/>
          <c:order val="3"/>
          <c:tx>
            <c:strRef>
              <c:f>'IV.1.5 Rec. x origen'!$E$3</c:f>
              <c:strCache>
                <c:ptCount val="1"/>
                <c:pt idx="0">
                  <c:v>Empleador  Sector Privado</c:v>
                </c:pt>
              </c:strCache>
            </c:strRef>
          </c:tx>
          <c:invertIfNegative val="0"/>
          <c:cat>
            <c:strRef>
              <c:f>'IV.1.5 Rec. x origen'!$A$4:$A$16</c:f>
              <c:strCache>
                <c:ptCount val="13"/>
                <c:pt idx="0">
                  <c:v>2003</c:v>
                </c:pt>
                <c:pt idx="1">
                  <c:v>2004</c:v>
                </c:pt>
                <c:pt idx="2">
                  <c:v>2005</c:v>
                </c:pt>
                <c:pt idx="3">
                  <c:v>2006</c:v>
                </c:pt>
                <c:pt idx="4">
                  <c:v>2007</c:v>
                </c:pt>
                <c:pt idx="5">
                  <c:v>2008</c:v>
                </c:pt>
                <c:pt idx="6">
                  <c:v>2009</c:v>
                </c:pt>
                <c:pt idx="7">
                  <c:v>2010</c:v>
                </c:pt>
                <c:pt idx="8">
                  <c:v>2011</c:v>
                </c:pt>
                <c:pt idx="9">
                  <c:v>2012</c:v>
                </c:pt>
                <c:pt idx="10">
                  <c:v>2013</c:v>
                </c:pt>
                <c:pt idx="11">
                  <c:v>2014</c:v>
                </c:pt>
                <c:pt idx="12">
                  <c:v>Ene-Nov. 2015</c:v>
                </c:pt>
              </c:strCache>
            </c:strRef>
          </c:cat>
          <c:val>
            <c:numRef>
              <c:f>'IV.1.5 Rec. x origen'!$E$4:$E$16</c:f>
              <c:numCache>
                <c:formatCode>_(* #,##0.00_);_(* \(#,##0.00\);_(* "-"??_);_(@_)</c:formatCode>
                <c:ptCount val="13"/>
                <c:pt idx="0">
                  <c:v>1139461045.7851951</c:v>
                </c:pt>
                <c:pt idx="1">
                  <c:v>3933489556.2399998</c:v>
                </c:pt>
                <c:pt idx="2">
                  <c:v>5119363901.3510008</c:v>
                </c:pt>
                <c:pt idx="3">
                  <c:v>6210469466.9554148</c:v>
                </c:pt>
                <c:pt idx="4">
                  <c:v>10041873306.2066</c:v>
                </c:pt>
                <c:pt idx="5">
                  <c:v>16435869261.990749</c:v>
                </c:pt>
                <c:pt idx="6">
                  <c:v>18199139479.49955</c:v>
                </c:pt>
                <c:pt idx="7">
                  <c:v>21179782309.871902</c:v>
                </c:pt>
                <c:pt idx="8">
                  <c:v>24155594198.328449</c:v>
                </c:pt>
                <c:pt idx="9">
                  <c:v>26790912480.217316</c:v>
                </c:pt>
                <c:pt idx="10">
                  <c:v>29035945915.719597</c:v>
                </c:pt>
                <c:pt idx="11">
                  <c:v>32363254634.710999</c:v>
                </c:pt>
                <c:pt idx="12">
                  <c:v>32211799250.595242</c:v>
                </c:pt>
              </c:numCache>
            </c:numRef>
          </c:val>
        </c:ser>
        <c:ser>
          <c:idx val="4"/>
          <c:order val="4"/>
          <c:tx>
            <c:strRef>
              <c:f>'IV.1.5 Rec. x origen'!$F$3</c:f>
              <c:strCache>
                <c:ptCount val="1"/>
                <c:pt idx="0">
                  <c:v>Total Recaudo</c:v>
                </c:pt>
              </c:strCache>
            </c:strRef>
          </c:tx>
          <c:invertIfNegative val="0"/>
          <c:dLbls>
            <c:dLbl>
              <c:idx val="0"/>
              <c:layout>
                <c:manualLayout>
                  <c:x val="0"/>
                  <c:y val="-2.017606206303858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4710192965007734E-3"/>
                  <c:y val="1.6067084705701741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0"/>
                  <c:y val="-6.9119441153011564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4.2708194978681663E-17"/>
                  <c:y val="-7.0265002667132164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400" b="1"/>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'IV.1.5 Rec. x origen'!$A$4:$A$16</c:f>
              <c:strCache>
                <c:ptCount val="13"/>
                <c:pt idx="0">
                  <c:v>2003</c:v>
                </c:pt>
                <c:pt idx="1">
                  <c:v>2004</c:v>
                </c:pt>
                <c:pt idx="2">
                  <c:v>2005</c:v>
                </c:pt>
                <c:pt idx="3">
                  <c:v>2006</c:v>
                </c:pt>
                <c:pt idx="4">
                  <c:v>2007</c:v>
                </c:pt>
                <c:pt idx="5">
                  <c:v>2008</c:v>
                </c:pt>
                <c:pt idx="6">
                  <c:v>2009</c:v>
                </c:pt>
                <c:pt idx="7">
                  <c:v>2010</c:v>
                </c:pt>
                <c:pt idx="8">
                  <c:v>2011</c:v>
                </c:pt>
                <c:pt idx="9">
                  <c:v>2012</c:v>
                </c:pt>
                <c:pt idx="10">
                  <c:v>2013</c:v>
                </c:pt>
                <c:pt idx="11">
                  <c:v>2014</c:v>
                </c:pt>
                <c:pt idx="12">
                  <c:v>Ene-Nov. 2015</c:v>
                </c:pt>
              </c:strCache>
            </c:strRef>
          </c:cat>
          <c:val>
            <c:numRef>
              <c:f>'IV.1.5 Rec. x origen'!$F$4:$F$16</c:f>
              <c:numCache>
                <c:formatCode>_(* #,##0.00_);_(* \(#,##0.00\);_(* "-"??_);_(@_)</c:formatCode>
                <c:ptCount val="13"/>
                <c:pt idx="0">
                  <c:v>1839323722.0100002</c:v>
                </c:pt>
                <c:pt idx="1">
                  <c:v>7420447711.6899996</c:v>
                </c:pt>
                <c:pt idx="2">
                  <c:v>9658178373.5400009</c:v>
                </c:pt>
                <c:pt idx="3">
                  <c:v>11072100417.48</c:v>
                </c:pt>
                <c:pt idx="4">
                  <c:v>21196634534.600002</c:v>
                </c:pt>
                <c:pt idx="5">
                  <c:v>33078165051.269997</c:v>
                </c:pt>
                <c:pt idx="6">
                  <c:v>37872770644.519997</c:v>
                </c:pt>
                <c:pt idx="7">
                  <c:v>43605006094</c:v>
                </c:pt>
                <c:pt idx="8">
                  <c:v>49415884815.839996</c:v>
                </c:pt>
                <c:pt idx="9">
                  <c:v>55065532307.990005</c:v>
                </c:pt>
                <c:pt idx="10">
                  <c:v>61483003598.399994</c:v>
                </c:pt>
                <c:pt idx="11">
                  <c:v>69920892914.539993</c:v>
                </c:pt>
                <c:pt idx="12">
                  <c:v>71576137041.759995</c:v>
                </c:pt>
              </c:numCache>
            </c:numRef>
          </c:val>
        </c:ser>
        <c:dLbls>
          <c:showLegendKey val="0"/>
          <c:showVal val="0"/>
          <c:showCatName val="0"/>
          <c:showSerName val="0"/>
          <c:showPercent val="0"/>
          <c:showBubbleSize val="0"/>
        </c:dLbls>
        <c:gapWidth val="75"/>
        <c:shape val="cylinder"/>
        <c:axId val="372809808"/>
        <c:axId val="372814512"/>
        <c:axId val="370021624"/>
      </c:bar3DChart>
      <c:catAx>
        <c:axId val="372809808"/>
        <c:scaling>
          <c:orientation val="minMax"/>
        </c:scaling>
        <c:delete val="0"/>
        <c:axPos val="b"/>
        <c:numFmt formatCode="General" sourceLinked="1"/>
        <c:majorTickMark val="none"/>
        <c:minorTickMark val="none"/>
        <c:tickLblPos val="nextTo"/>
        <c:txPr>
          <a:bodyPr/>
          <a:lstStyle/>
          <a:p>
            <a:pPr>
              <a:defRPr sz="1200"/>
            </a:pPr>
            <a:endParaRPr lang="es-ES"/>
          </a:p>
        </c:txPr>
        <c:crossAx val="372814512"/>
        <c:crosses val="autoZero"/>
        <c:auto val="1"/>
        <c:lblAlgn val="ctr"/>
        <c:lblOffset val="600"/>
        <c:tickLblSkip val="1"/>
        <c:noMultiLvlLbl val="0"/>
      </c:catAx>
      <c:valAx>
        <c:axId val="372814512"/>
        <c:scaling>
          <c:orientation val="minMax"/>
        </c:scaling>
        <c:delete val="1"/>
        <c:axPos val="l"/>
        <c:numFmt formatCode="_(* #,##0.00_);_(* \(#,##0.00\);_(* &quot;-&quot;??_);_(@_)" sourceLinked="1"/>
        <c:majorTickMark val="none"/>
        <c:minorTickMark val="none"/>
        <c:tickLblPos val="nextTo"/>
        <c:crossAx val="372809808"/>
        <c:crosses val="autoZero"/>
        <c:crossBetween val="between"/>
        <c:dispUnits>
          <c:builtInUnit val="billions"/>
          <c:dispUnitsLbl>
            <c:layout/>
          </c:dispUnitsLbl>
        </c:dispUnits>
      </c:valAx>
      <c:serAx>
        <c:axId val="370021624"/>
        <c:scaling>
          <c:orientation val="minMax"/>
        </c:scaling>
        <c:delete val="1"/>
        <c:axPos val="b"/>
        <c:majorTickMark val="out"/>
        <c:minorTickMark val="none"/>
        <c:tickLblPos val="nextTo"/>
        <c:crossAx val="372814512"/>
        <c:crosses val="autoZero"/>
      </c:serAx>
    </c:plotArea>
    <c:legend>
      <c:legendPos val="l"/>
      <c:layout>
        <c:manualLayout>
          <c:xMode val="edge"/>
          <c:yMode val="edge"/>
          <c:x val="0.12939952990482537"/>
          <c:y val="7.4779060538250272E-2"/>
          <c:w val="0.71704162786103354"/>
          <c:h val="5.6433711147833153E-2"/>
        </c:manualLayout>
      </c:layout>
      <c:overlay val="0"/>
      <c:txPr>
        <a:bodyPr/>
        <a:lstStyle/>
        <a:p>
          <a:pPr>
            <a:defRPr sz="11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s-DO" sz="1600"/>
              <a:t>Aportes del Gobierno a la Seguridad Social</a:t>
            </a:r>
          </a:p>
        </c:rich>
      </c:tx>
      <c:layout/>
      <c:overlay val="1"/>
    </c:title>
    <c:autoTitleDeleted val="0"/>
    <c:view3D>
      <c:rotX val="15"/>
      <c:rotY val="0"/>
      <c:rAngAx val="0"/>
    </c:view3D>
    <c:floor>
      <c:thickness val="0"/>
    </c:floor>
    <c:sideWall>
      <c:thickness val="0"/>
    </c:sideWall>
    <c:backWall>
      <c:thickness val="0"/>
    </c:backWall>
    <c:plotArea>
      <c:layout>
        <c:manualLayout>
          <c:layoutTarget val="inner"/>
          <c:xMode val="edge"/>
          <c:yMode val="edge"/>
          <c:x val="1.4712837482292325E-2"/>
          <c:y val="0.20431037979047267"/>
          <c:w val="0.95345121866435179"/>
          <c:h val="0.58609970798997224"/>
        </c:manualLayout>
      </c:layout>
      <c:bar3DChart>
        <c:barDir val="col"/>
        <c:grouping val="standard"/>
        <c:varyColors val="0"/>
        <c:ser>
          <c:idx val="0"/>
          <c:order val="0"/>
          <c:tx>
            <c:strRef>
              <c:f>'IV.1.6 Aport.Gob.SS'!$B$4</c:f>
              <c:strCache>
                <c:ptCount val="1"/>
                <c:pt idx="0">
                  <c:v>Salud Pensionados</c:v>
                </c:pt>
              </c:strCache>
            </c:strRef>
          </c:tx>
          <c:spPr>
            <a:solidFill>
              <a:schemeClr val="accent6">
                <a:lumMod val="75000"/>
              </a:schemeClr>
            </a:solidFill>
          </c:spPr>
          <c:invertIfNegative val="0"/>
          <c:cat>
            <c:strRef>
              <c:f>'IV.1.6 Aport.Gob.SS'!$A$5:$A$15</c:f>
              <c:strCache>
                <c:ptCount val="11"/>
                <c:pt idx="0">
                  <c:v>2005</c:v>
                </c:pt>
                <c:pt idx="1">
                  <c:v>2006</c:v>
                </c:pt>
                <c:pt idx="2">
                  <c:v>2007</c:v>
                </c:pt>
                <c:pt idx="3">
                  <c:v>2008</c:v>
                </c:pt>
                <c:pt idx="4">
                  <c:v>2009</c:v>
                </c:pt>
                <c:pt idx="5">
                  <c:v>2010</c:v>
                </c:pt>
                <c:pt idx="6">
                  <c:v>2011</c:v>
                </c:pt>
                <c:pt idx="7">
                  <c:v>2012</c:v>
                </c:pt>
                <c:pt idx="8">
                  <c:v>2013</c:v>
                </c:pt>
                <c:pt idx="9">
                  <c:v>2014</c:v>
                </c:pt>
                <c:pt idx="10">
                  <c:v>Ene-Nov. 2015</c:v>
                </c:pt>
              </c:strCache>
            </c:strRef>
          </c:cat>
          <c:val>
            <c:numRef>
              <c:f>'IV.1.6 Aport.Gob.SS'!$B$5:$B$15</c:f>
              <c:numCache>
                <c:formatCode>_(* #,##0.00_);_(* \(#,##0.00\);_(* "-"??_);_(@_)</c:formatCode>
                <c:ptCount val="11"/>
                <c:pt idx="4">
                  <c:v>178872817.62</c:v>
                </c:pt>
                <c:pt idx="5">
                  <c:v>95767340.060000002</c:v>
                </c:pt>
                <c:pt idx="6">
                  <c:v>320281085.42000002</c:v>
                </c:pt>
                <c:pt idx="7">
                  <c:v>349151178.95999998</c:v>
                </c:pt>
                <c:pt idx="8">
                  <c:v>362641633.79000002</c:v>
                </c:pt>
                <c:pt idx="9">
                  <c:v>355808488.19</c:v>
                </c:pt>
                <c:pt idx="10">
                  <c:v>325719703.07999992</c:v>
                </c:pt>
              </c:numCache>
            </c:numRef>
          </c:val>
        </c:ser>
        <c:ser>
          <c:idx val="1"/>
          <c:order val="1"/>
          <c:tx>
            <c:strRef>
              <c:f>'IV.1.6 Aport.Gob.SS'!$C$4</c:f>
              <c:strCache>
                <c:ptCount val="1"/>
                <c:pt idx="0">
                  <c:v> FONAMAT</c:v>
                </c:pt>
              </c:strCache>
            </c:strRef>
          </c:tx>
          <c:spPr>
            <a:solidFill>
              <a:schemeClr val="accent4">
                <a:lumMod val="75000"/>
              </a:schemeClr>
            </a:solidFill>
          </c:spPr>
          <c:invertIfNegative val="0"/>
          <c:cat>
            <c:strRef>
              <c:f>'IV.1.6 Aport.Gob.SS'!$A$5:$A$15</c:f>
              <c:strCache>
                <c:ptCount val="11"/>
                <c:pt idx="0">
                  <c:v>2005</c:v>
                </c:pt>
                <c:pt idx="1">
                  <c:v>2006</c:v>
                </c:pt>
                <c:pt idx="2">
                  <c:v>2007</c:v>
                </c:pt>
                <c:pt idx="3">
                  <c:v>2008</c:v>
                </c:pt>
                <c:pt idx="4">
                  <c:v>2009</c:v>
                </c:pt>
                <c:pt idx="5">
                  <c:v>2010</c:v>
                </c:pt>
                <c:pt idx="6">
                  <c:v>2011</c:v>
                </c:pt>
                <c:pt idx="7">
                  <c:v>2012</c:v>
                </c:pt>
                <c:pt idx="8">
                  <c:v>2013</c:v>
                </c:pt>
                <c:pt idx="9">
                  <c:v>2014</c:v>
                </c:pt>
                <c:pt idx="10">
                  <c:v>Ene-Nov. 2015</c:v>
                </c:pt>
              </c:strCache>
            </c:strRef>
          </c:cat>
          <c:val>
            <c:numRef>
              <c:f>'IV.1.6 Aport.Gob.SS'!$C$5:$C$15</c:f>
              <c:numCache>
                <c:formatCode>_(* #,##0.00_);_(* \(#,##0.00\);_(* "-"??_);_(@_)</c:formatCode>
                <c:ptCount val="11"/>
                <c:pt idx="0">
                  <c:v>0</c:v>
                </c:pt>
                <c:pt idx="1">
                  <c:v>0</c:v>
                </c:pt>
                <c:pt idx="2">
                  <c:v>125000000</c:v>
                </c:pt>
                <c:pt idx="3">
                  <c:v>256250000</c:v>
                </c:pt>
                <c:pt idx="4">
                  <c:v>18750000</c:v>
                </c:pt>
                <c:pt idx="5">
                  <c:v>0</c:v>
                </c:pt>
                <c:pt idx="6">
                  <c:v>0</c:v>
                </c:pt>
                <c:pt idx="7">
                  <c:v>0</c:v>
                </c:pt>
                <c:pt idx="8">
                  <c:v>0</c:v>
                </c:pt>
                <c:pt idx="9">
                  <c:v>0</c:v>
                </c:pt>
                <c:pt idx="10">
                  <c:v>0</c:v>
                </c:pt>
              </c:numCache>
            </c:numRef>
          </c:val>
        </c:ser>
        <c:ser>
          <c:idx val="2"/>
          <c:order val="2"/>
          <c:tx>
            <c:strRef>
              <c:f>'IV.1.6 Aport.Gob.SS'!$D$4</c:f>
              <c:strCache>
                <c:ptCount val="1"/>
                <c:pt idx="0">
                  <c:v>Aportes del Gob. (SFS RS)</c:v>
                </c:pt>
              </c:strCache>
            </c:strRef>
          </c:tx>
          <c:spPr>
            <a:solidFill>
              <a:schemeClr val="accent2"/>
            </a:solidFill>
          </c:spPr>
          <c:invertIfNegative val="0"/>
          <c:cat>
            <c:strRef>
              <c:f>'IV.1.6 Aport.Gob.SS'!$A$5:$A$15</c:f>
              <c:strCache>
                <c:ptCount val="11"/>
                <c:pt idx="0">
                  <c:v>2005</c:v>
                </c:pt>
                <c:pt idx="1">
                  <c:v>2006</c:v>
                </c:pt>
                <c:pt idx="2">
                  <c:v>2007</c:v>
                </c:pt>
                <c:pt idx="3">
                  <c:v>2008</c:v>
                </c:pt>
                <c:pt idx="4">
                  <c:v>2009</c:v>
                </c:pt>
                <c:pt idx="5">
                  <c:v>2010</c:v>
                </c:pt>
                <c:pt idx="6">
                  <c:v>2011</c:v>
                </c:pt>
                <c:pt idx="7">
                  <c:v>2012</c:v>
                </c:pt>
                <c:pt idx="8">
                  <c:v>2013</c:v>
                </c:pt>
                <c:pt idx="9">
                  <c:v>2014</c:v>
                </c:pt>
                <c:pt idx="10">
                  <c:v>Ene-Nov. 2015</c:v>
                </c:pt>
              </c:strCache>
            </c:strRef>
          </c:cat>
          <c:val>
            <c:numRef>
              <c:f>'IV.1.6 Aport.Gob.SS'!$D$5:$D$15</c:f>
              <c:numCache>
                <c:formatCode>_(* #,##0.00_);_(* \(#,##0.00\);_(* "-"??_);_(@_)</c:formatCode>
                <c:ptCount val="11"/>
                <c:pt idx="0">
                  <c:v>604604920.63</c:v>
                </c:pt>
                <c:pt idx="1">
                  <c:v>724509996.65999997</c:v>
                </c:pt>
                <c:pt idx="2">
                  <c:v>1566425499.9599998</c:v>
                </c:pt>
                <c:pt idx="3">
                  <c:v>2203369531</c:v>
                </c:pt>
                <c:pt idx="4">
                  <c:v>3190675855.0100002</c:v>
                </c:pt>
                <c:pt idx="5">
                  <c:v>3736675849.46</c:v>
                </c:pt>
                <c:pt idx="6">
                  <c:v>4134675852</c:v>
                </c:pt>
                <c:pt idx="7">
                  <c:v>4599999999.96</c:v>
                </c:pt>
                <c:pt idx="8">
                  <c:v>5302610000</c:v>
                </c:pt>
                <c:pt idx="9">
                  <c:v>6839999499</c:v>
                </c:pt>
                <c:pt idx="10">
                  <c:v>6293464792.25</c:v>
                </c:pt>
              </c:numCache>
            </c:numRef>
          </c:val>
        </c:ser>
        <c:ser>
          <c:idx val="3"/>
          <c:order val="3"/>
          <c:tx>
            <c:strRef>
              <c:f>'IV.1.6 Aport.Gob.SS'!$E$4</c:f>
              <c:strCache>
                <c:ptCount val="1"/>
                <c:pt idx="0">
                  <c:v>RC (Empleador)</c:v>
                </c:pt>
              </c:strCache>
            </c:strRef>
          </c:tx>
          <c:invertIfNegative val="0"/>
          <c:cat>
            <c:strRef>
              <c:f>'IV.1.6 Aport.Gob.SS'!$A$5:$A$15</c:f>
              <c:strCache>
                <c:ptCount val="11"/>
                <c:pt idx="0">
                  <c:v>2005</c:v>
                </c:pt>
                <c:pt idx="1">
                  <c:v>2006</c:v>
                </c:pt>
                <c:pt idx="2">
                  <c:v>2007</c:v>
                </c:pt>
                <c:pt idx="3">
                  <c:v>2008</c:v>
                </c:pt>
                <c:pt idx="4">
                  <c:v>2009</c:v>
                </c:pt>
                <c:pt idx="5">
                  <c:v>2010</c:v>
                </c:pt>
                <c:pt idx="6">
                  <c:v>2011</c:v>
                </c:pt>
                <c:pt idx="7">
                  <c:v>2012</c:v>
                </c:pt>
                <c:pt idx="8">
                  <c:v>2013</c:v>
                </c:pt>
                <c:pt idx="9">
                  <c:v>2014</c:v>
                </c:pt>
                <c:pt idx="10">
                  <c:v>Ene-Nov. 2015</c:v>
                </c:pt>
              </c:strCache>
            </c:strRef>
          </c:cat>
          <c:val>
            <c:numRef>
              <c:f>'IV.1.6 Aport.Gob.SS'!$E$5:$E$15</c:f>
              <c:numCache>
                <c:formatCode>_(* #,##0.00_);_(* \(#,##0.00\);_(* "-"??_);_(@_)</c:formatCode>
                <c:ptCount val="11"/>
                <c:pt idx="0">
                  <c:v>2027688095.0686002</c:v>
                </c:pt>
                <c:pt idx="1">
                  <c:v>1982884841.9797854</c:v>
                </c:pt>
                <c:pt idx="2">
                  <c:v>5431669904.0514002</c:v>
                </c:pt>
                <c:pt idx="3">
                  <c:v>7215018749.6672993</c:v>
                </c:pt>
                <c:pt idx="4">
                  <c:v>8879891531.3322487</c:v>
                </c:pt>
                <c:pt idx="5">
                  <c:v>9997797047.3381004</c:v>
                </c:pt>
                <c:pt idx="6">
                  <c:v>11176763444.997149</c:v>
                </c:pt>
                <c:pt idx="7">
                  <c:v>12580943119.995537</c:v>
                </c:pt>
                <c:pt idx="8">
                  <c:v>14924401657.136402</c:v>
                </c:pt>
                <c:pt idx="9">
                  <c:v>17630183799.185101</c:v>
                </c:pt>
                <c:pt idx="10">
                  <c:v>18965138734.263149</c:v>
                </c:pt>
              </c:numCache>
            </c:numRef>
          </c:val>
        </c:ser>
        <c:ser>
          <c:idx val="4"/>
          <c:order val="4"/>
          <c:tx>
            <c:strRef>
              <c:f>'IV.1.6 Aport.Gob.SS'!$F$4</c:f>
              <c:strCache>
                <c:ptCount val="1"/>
                <c:pt idx="0">
                  <c:v>Total</c:v>
                </c:pt>
              </c:strCache>
            </c:strRef>
          </c:tx>
          <c:invertIfNegative val="0"/>
          <c:dLbls>
            <c:dLbl>
              <c:idx val="0"/>
              <c:layout>
                <c:manualLayout>
                  <c:x val="-8.2918750462745387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9.9502500555294464E-3"/>
                  <c:y val="-1.1998498770508162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wrap="square" lIns="38100" tIns="19050" rIns="38100" bIns="19050" anchor="ctr">
                <a:spAutoFit/>
              </a:bodyPr>
              <a:lstStyle/>
              <a:p>
                <a:pPr>
                  <a:defRPr sz="1600" b="1"/>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'IV.1.6 Aport.Gob.SS'!$A$5:$A$15</c:f>
              <c:strCache>
                <c:ptCount val="11"/>
                <c:pt idx="0">
                  <c:v>2005</c:v>
                </c:pt>
                <c:pt idx="1">
                  <c:v>2006</c:v>
                </c:pt>
                <c:pt idx="2">
                  <c:v>2007</c:v>
                </c:pt>
                <c:pt idx="3">
                  <c:v>2008</c:v>
                </c:pt>
                <c:pt idx="4">
                  <c:v>2009</c:v>
                </c:pt>
                <c:pt idx="5">
                  <c:v>2010</c:v>
                </c:pt>
                <c:pt idx="6">
                  <c:v>2011</c:v>
                </c:pt>
                <c:pt idx="7">
                  <c:v>2012</c:v>
                </c:pt>
                <c:pt idx="8">
                  <c:v>2013</c:v>
                </c:pt>
                <c:pt idx="9">
                  <c:v>2014</c:v>
                </c:pt>
                <c:pt idx="10">
                  <c:v>Ene-Nov. 2015</c:v>
                </c:pt>
              </c:strCache>
            </c:strRef>
          </c:cat>
          <c:val>
            <c:numRef>
              <c:f>'IV.1.6 Aport.Gob.SS'!$F$5:$F$15</c:f>
              <c:numCache>
                <c:formatCode>_(* #,##0.00_);_(* \(#,##0.00\);_(* "-"??_);_(@_)</c:formatCode>
                <c:ptCount val="11"/>
                <c:pt idx="0">
                  <c:v>2632293015.6986003</c:v>
                </c:pt>
                <c:pt idx="1">
                  <c:v>2707394838.6397853</c:v>
                </c:pt>
                <c:pt idx="2">
                  <c:v>7123095404.0114002</c:v>
                </c:pt>
                <c:pt idx="3">
                  <c:v>9674638280.6672993</c:v>
                </c:pt>
                <c:pt idx="4">
                  <c:v>12268190203.96225</c:v>
                </c:pt>
                <c:pt idx="5">
                  <c:v>13830240236.858101</c:v>
                </c:pt>
                <c:pt idx="6">
                  <c:v>15631720382.417149</c:v>
                </c:pt>
                <c:pt idx="7">
                  <c:v>17530094298.915535</c:v>
                </c:pt>
                <c:pt idx="8">
                  <c:v>20589653290.926403</c:v>
                </c:pt>
                <c:pt idx="9">
                  <c:v>24825991786.375099</c:v>
                </c:pt>
                <c:pt idx="10">
                  <c:v>25584323229.593147</c:v>
                </c:pt>
              </c:numCache>
            </c:numRef>
          </c:val>
        </c:ser>
        <c:dLbls>
          <c:showLegendKey val="0"/>
          <c:showVal val="0"/>
          <c:showCatName val="0"/>
          <c:showSerName val="0"/>
          <c:showPercent val="0"/>
          <c:showBubbleSize val="0"/>
        </c:dLbls>
        <c:gapWidth val="75"/>
        <c:shape val="cylinder"/>
        <c:axId val="372815296"/>
        <c:axId val="372815688"/>
        <c:axId val="492821032"/>
      </c:bar3DChart>
      <c:catAx>
        <c:axId val="372815296"/>
        <c:scaling>
          <c:orientation val="minMax"/>
        </c:scaling>
        <c:delete val="0"/>
        <c:axPos val="b"/>
        <c:numFmt formatCode="General" sourceLinked="1"/>
        <c:majorTickMark val="none"/>
        <c:minorTickMark val="none"/>
        <c:tickLblPos val="nextTo"/>
        <c:txPr>
          <a:bodyPr/>
          <a:lstStyle/>
          <a:p>
            <a:pPr>
              <a:defRPr sz="1400" b="0"/>
            </a:pPr>
            <a:endParaRPr lang="es-ES"/>
          </a:p>
        </c:txPr>
        <c:crossAx val="372815688"/>
        <c:crosses val="autoZero"/>
        <c:auto val="1"/>
        <c:lblAlgn val="ctr"/>
        <c:lblOffset val="600"/>
        <c:noMultiLvlLbl val="0"/>
      </c:catAx>
      <c:valAx>
        <c:axId val="372815688"/>
        <c:scaling>
          <c:orientation val="minMax"/>
        </c:scaling>
        <c:delete val="1"/>
        <c:axPos val="l"/>
        <c:numFmt formatCode="_(* #,##0.00_);_(* \(#,##0.00\);_(* &quot;-&quot;??_);_(@_)" sourceLinked="1"/>
        <c:majorTickMark val="none"/>
        <c:minorTickMark val="none"/>
        <c:tickLblPos val="nextTo"/>
        <c:crossAx val="372815296"/>
        <c:crosses val="autoZero"/>
        <c:crossBetween val="between"/>
        <c:dispUnits>
          <c:builtInUnit val="billions"/>
          <c:dispUnitsLbl>
            <c:layout/>
          </c:dispUnitsLbl>
        </c:dispUnits>
      </c:valAx>
      <c:serAx>
        <c:axId val="492821032"/>
        <c:scaling>
          <c:orientation val="minMax"/>
        </c:scaling>
        <c:delete val="1"/>
        <c:axPos val="b"/>
        <c:majorTickMark val="out"/>
        <c:minorTickMark val="none"/>
        <c:tickLblPos val="nextTo"/>
        <c:crossAx val="372815688"/>
        <c:crosses val="autoZero"/>
      </c:serAx>
    </c:plotArea>
    <c:legend>
      <c:legendPos val="l"/>
      <c:layout>
        <c:manualLayout>
          <c:xMode val="edge"/>
          <c:yMode val="edge"/>
          <c:x val="2.3381208106903553E-2"/>
          <c:y val="7.8194005496256797E-2"/>
          <c:w val="0.92589654580044922"/>
          <c:h val="6.7855675521252573E-2"/>
        </c:manualLayout>
      </c:layout>
      <c:overlay val="0"/>
      <c:txPr>
        <a:bodyPr/>
        <a:lstStyle/>
        <a:p>
          <a:pPr>
            <a:defRPr sz="14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s-DO" sz="1600"/>
              <a:t>Seguro Familiar de Salud (SFS) del Régimen Contributivo (RC)</a:t>
            </a:r>
          </a:p>
          <a:p>
            <a:pPr>
              <a:defRPr sz="1600"/>
            </a:pPr>
            <a:r>
              <a:rPr lang="es-DO" sz="1600"/>
              <a:t>Fondos Pagados Anualmente por Cuentas al SFS del RC</a:t>
            </a:r>
          </a:p>
        </c:rich>
      </c:tx>
      <c:layout>
        <c:manualLayout>
          <c:xMode val="edge"/>
          <c:yMode val="edge"/>
          <c:x val="0.38895984907930226"/>
          <c:y val="2.5233275451575474E-2"/>
        </c:manualLayout>
      </c:layout>
      <c:overlay val="1"/>
    </c:title>
    <c:autoTitleDeleted val="0"/>
    <c:view3D>
      <c:rotX val="20"/>
      <c:rotY val="20"/>
      <c:depthPercent val="100"/>
      <c:rAngAx val="1"/>
    </c:view3D>
    <c:floor>
      <c:thickness val="0"/>
    </c:floor>
    <c:sideWall>
      <c:thickness val="0"/>
    </c:sideWall>
    <c:backWall>
      <c:thickness val="0"/>
    </c:backWall>
    <c:plotArea>
      <c:layout>
        <c:manualLayout>
          <c:layoutTarget val="inner"/>
          <c:xMode val="edge"/>
          <c:yMode val="edge"/>
          <c:x val="1.0824224304785321E-2"/>
          <c:y val="0.23696937259596995"/>
          <c:w val="0.97898885161682003"/>
          <c:h val="0.60161347868707493"/>
        </c:manualLayout>
      </c:layout>
      <c:bar3DChart>
        <c:barDir val="col"/>
        <c:grouping val="clustered"/>
        <c:varyColors val="0"/>
        <c:ser>
          <c:idx val="0"/>
          <c:order val="0"/>
          <c:tx>
            <c:strRef>
              <c:f>'IV.2.2. Pagos SFS A'!$A$3</c:f>
              <c:strCache>
                <c:ptCount val="1"/>
                <c:pt idx="0">
                  <c:v>Cuidado de la Salud *</c:v>
                </c:pt>
              </c:strCache>
            </c:strRef>
          </c:tx>
          <c:spPr>
            <a:solidFill>
              <a:schemeClr val="accent3">
                <a:lumMod val="75000"/>
              </a:schemeClr>
            </a:solidFill>
          </c:spPr>
          <c:invertIfNegative val="0"/>
          <c:dLbls>
            <c:dLbl>
              <c:idx val="0"/>
              <c:layout>
                <c:manualLayout>
                  <c:x val="2.5699287589052073E-3"/>
                  <c:y val="-1.58172983484665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2.50634321679475E-3"/>
                  <c:y val="-1.465002650928865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8.2607092041484225E-4"/>
                  <c:y val="-2.461127618356799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4990719762713982E-3"/>
                  <c:y val="-2.7476245973726707E-2"/>
                </c:manualLayout>
              </c:layout>
              <c:spPr/>
              <c:txPr>
                <a:bodyPr rot="-5400000" vert="horz"/>
                <a:lstStyle/>
                <a:p>
                  <a:pPr>
                    <a:defRPr lang="en-US" sz="16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3.7912620535988056E-3"/>
                  <c:y val="-2.6379743587662052E-2"/>
                </c:manualLayout>
              </c:layout>
              <c:spPr/>
              <c:txPr>
                <a:bodyPr rot="-5400000" vert="horz"/>
                <a:lstStyle/>
                <a:p>
                  <a:pPr>
                    <a:defRPr lang="en-US" sz="16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3.474754242293722E-3"/>
                  <c:y val="-1.7925698757293485E-2"/>
                </c:manualLayout>
              </c:layout>
              <c:spPr/>
              <c:txPr>
                <a:bodyPr rot="-5400000" vert="horz"/>
                <a:lstStyle/>
                <a:p>
                  <a:pPr>
                    <a:defRPr lang="en-US" sz="16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4.5933015277008172E-3"/>
                  <c:y val="-1.5973032672912651E-2"/>
                </c:manualLayout>
              </c:layout>
              <c:spPr/>
              <c:txPr>
                <a:bodyPr rot="-5400000" vert="horz"/>
                <a:lstStyle/>
                <a:p>
                  <a:pPr>
                    <a:defRPr lang="en-US" sz="16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5311005092335809E-3"/>
                  <c:y val="-1.3068844914201261E-2"/>
                </c:manualLayout>
              </c:layout>
              <c:spPr/>
              <c:txPr>
                <a:bodyPr rot="-5400000" vert="horz"/>
                <a:lstStyle/>
                <a:p>
                  <a:pPr>
                    <a:defRPr lang="en-US" sz="16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lang="en-US"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'IV.2.2. Pagos SFS A'!$B$2:$J$2</c:f>
              <c:strCache>
                <c:ptCount val="9"/>
                <c:pt idx="0">
                  <c:v>2007</c:v>
                </c:pt>
                <c:pt idx="1">
                  <c:v>2008</c:v>
                </c:pt>
                <c:pt idx="2">
                  <c:v>2009</c:v>
                </c:pt>
                <c:pt idx="3">
                  <c:v>2010</c:v>
                </c:pt>
                <c:pt idx="4">
                  <c:v>2011</c:v>
                </c:pt>
                <c:pt idx="5">
                  <c:v> 2012</c:v>
                </c:pt>
                <c:pt idx="6">
                  <c:v> 2013</c:v>
                </c:pt>
                <c:pt idx="7">
                  <c:v> 2014</c:v>
                </c:pt>
                <c:pt idx="8">
                  <c:v>Ene. - Nov. 2015</c:v>
                </c:pt>
              </c:strCache>
            </c:strRef>
          </c:cat>
          <c:val>
            <c:numRef>
              <c:f>'IV.2.2. Pagos SFS A'!$B$3:$J$3</c:f>
              <c:numCache>
                <c:formatCode>_(* #,##0.00_);_(* \(#,##0.00\);_(* "-"??_);_(@_)</c:formatCode>
                <c:ptCount val="9"/>
                <c:pt idx="0">
                  <c:v>2756085890.3800001</c:v>
                </c:pt>
                <c:pt idx="1">
                  <c:v>12262043622.240002</c:v>
                </c:pt>
                <c:pt idx="2">
                  <c:v>14997271060.829998</c:v>
                </c:pt>
                <c:pt idx="3">
                  <c:v>20037998054.760002</c:v>
                </c:pt>
                <c:pt idx="4">
                  <c:v>22215656750.489998</c:v>
                </c:pt>
                <c:pt idx="5">
                  <c:v>25323798457.93</c:v>
                </c:pt>
                <c:pt idx="6">
                  <c:v>27866096681.57</c:v>
                </c:pt>
                <c:pt idx="7">
                  <c:v>31167111771.200001</c:v>
                </c:pt>
                <c:pt idx="8">
                  <c:v>31289761281.640003</c:v>
                </c:pt>
              </c:numCache>
            </c:numRef>
          </c:val>
        </c:ser>
        <c:ser>
          <c:idx val="1"/>
          <c:order val="1"/>
          <c:tx>
            <c:strRef>
              <c:f>'IV.2.2. Pagos SFS A'!$A$4</c:f>
              <c:strCache>
                <c:ptCount val="1"/>
                <c:pt idx="0">
                  <c:v>FONAMAT </c:v>
                </c:pt>
              </c:strCache>
            </c:strRef>
          </c:tx>
          <c:invertIfNegative val="0"/>
          <c:dLbls>
            <c:dLbl>
              <c:idx val="0"/>
              <c:spPr/>
              <c:txPr>
                <a:bodyPr rot="-5400000" vert="horz"/>
                <a:lstStyle/>
                <a:p>
                  <a:pPr>
                    <a:defRPr lang="en-US" sz="1600" b="0"/>
                  </a:pPr>
                  <a:endParaRPr lang="es-ES"/>
                </a:p>
              </c:txPr>
              <c:showLegendKey val="0"/>
              <c:showVal val="1"/>
              <c:showCatName val="0"/>
              <c:showSerName val="0"/>
              <c:showPercent val="0"/>
              <c:showBubbleSize val="0"/>
            </c:dLbl>
            <c:dLbl>
              <c:idx val="1"/>
              <c:spPr/>
              <c:txPr>
                <a:bodyPr rot="-5400000" vert="horz"/>
                <a:lstStyle/>
                <a:p>
                  <a:pPr>
                    <a:defRPr lang="en-US" sz="1600" b="0"/>
                  </a:pPr>
                  <a:endParaRPr lang="es-ES"/>
                </a:p>
              </c:txPr>
              <c:showLegendKey val="0"/>
              <c:showVal val="1"/>
              <c:showCatName val="0"/>
              <c:showSerName val="0"/>
              <c:showPercent val="0"/>
              <c:showBubbleSize val="0"/>
            </c:dLbl>
            <c:dLbl>
              <c:idx val="2"/>
              <c:spPr/>
              <c:txPr>
                <a:bodyPr rot="-5400000" vert="horz"/>
                <a:lstStyle/>
                <a:p>
                  <a:pPr>
                    <a:defRPr lang="en-US" sz="1600" b="0"/>
                  </a:pPr>
                  <a:endParaRPr lang="es-ES"/>
                </a:p>
              </c:txPr>
              <c:showLegendKey val="0"/>
              <c:showVal val="1"/>
              <c:showCatName val="0"/>
              <c:showSerName val="0"/>
              <c:showPercent val="0"/>
              <c:showBubbleSize val="0"/>
            </c:dLbl>
            <c:dLbl>
              <c:idx val="3"/>
              <c:layout>
                <c:manualLayout>
                  <c:x val="6.4247922920302371E-3"/>
                  <c:y val="-1.7932491089881761E-3"/>
                </c:manualLayout>
              </c:layout>
              <c:tx>
                <c:rich>
                  <a:bodyPr rot="0" vert="horz"/>
                  <a:lstStyle/>
                  <a:p>
                    <a:pPr>
                      <a:defRPr lang="en-US" sz="1600" b="0"/>
                    </a:pPr>
                    <a:r>
                      <a:rPr lang="en-US" sz="1600" b="0"/>
                      <a:t>0</a:t>
                    </a:r>
                    <a:endParaRPr lang="en-US" sz="1200" b="0"/>
                  </a:p>
                </c:rich>
              </c:tx>
              <c:spPr/>
              <c:showLegendKey val="0"/>
              <c:showVal val="0"/>
              <c:showCatName val="0"/>
              <c:showSerName val="0"/>
              <c:showPercent val="0"/>
              <c:showBubbleSize val="0"/>
              <c:extLst>
                <c:ext xmlns:c15="http://schemas.microsoft.com/office/drawing/2012/chart" uri="{CE6537A1-D6FC-4f65-9D91-7224C49458BB}">
                  <c15:layout/>
                </c:ext>
              </c:extLst>
            </c:dLbl>
            <c:dLbl>
              <c:idx val="4"/>
              <c:spPr/>
              <c:txPr>
                <a:bodyPr rot="-5400000" vert="horz"/>
                <a:lstStyle/>
                <a:p>
                  <a:pPr>
                    <a:defRPr lang="en-US" sz="1600" b="0"/>
                  </a:pPr>
                  <a:endParaRPr lang="es-ES"/>
                </a:p>
              </c:txPr>
              <c:showLegendKey val="0"/>
              <c:showVal val="1"/>
              <c:showCatName val="0"/>
              <c:showSerName val="0"/>
              <c:showPercent val="0"/>
              <c:showBubbleSize val="0"/>
            </c:dLbl>
            <c:dLbl>
              <c:idx val="5"/>
              <c:spPr/>
              <c:txPr>
                <a:bodyPr rot="-5400000" vert="horz"/>
                <a:lstStyle/>
                <a:p>
                  <a:pPr>
                    <a:defRPr lang="en-US" sz="1600" b="0"/>
                  </a:pPr>
                  <a:endParaRPr lang="es-ES"/>
                </a:p>
              </c:txPr>
              <c:showLegendKey val="0"/>
              <c:showVal val="1"/>
              <c:showCatName val="0"/>
              <c:showSerName val="0"/>
              <c:showPercent val="0"/>
              <c:showBubbleSize val="0"/>
            </c:dLbl>
            <c:dLbl>
              <c:idx val="6"/>
              <c:layout>
                <c:manualLayout>
                  <c:x val="3.3079679048971036E-3"/>
                  <c:y val="-7.4169289358926218E-3"/>
                </c:manualLayout>
              </c:layout>
              <c:spPr/>
              <c:txPr>
                <a:bodyPr rot="-5400000" vert="horz"/>
                <a:lstStyle/>
                <a:p>
                  <a:pPr>
                    <a:defRPr lang="en-US" sz="16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7"/>
              <c:spPr/>
              <c:txPr>
                <a:bodyPr rot="-5400000" vert="horz"/>
                <a:lstStyle/>
                <a:p>
                  <a:pPr>
                    <a:defRPr lang="en-US" sz="1600" b="0"/>
                  </a:pPr>
                  <a:endParaRPr lang="es-ES"/>
                </a:p>
              </c:txPr>
              <c:showLegendKey val="0"/>
              <c:showVal val="1"/>
              <c:showCatName val="0"/>
              <c:showSerName val="0"/>
              <c:showPercent val="0"/>
              <c:showBubbleSize val="0"/>
            </c:dLbl>
            <c:dLbl>
              <c:idx val="8"/>
              <c:spPr/>
              <c:txPr>
                <a:bodyPr rot="-5400000" vert="horz"/>
                <a:lstStyle/>
                <a:p>
                  <a:pPr>
                    <a:defRPr lang="en-US" sz="1600" b="0"/>
                  </a:pPr>
                  <a:endParaRPr lang="es-ES"/>
                </a:p>
              </c:txPr>
              <c:showLegendKey val="0"/>
              <c:showVal val="1"/>
              <c:showCatName val="0"/>
              <c:showSerName val="0"/>
              <c:showPercent val="0"/>
              <c:showBubbleSize val="0"/>
            </c:dLbl>
            <c:spPr>
              <a:noFill/>
              <a:ln>
                <a:noFill/>
              </a:ln>
              <a:effectLst/>
            </c:spPr>
            <c:txPr>
              <a:bodyPr rot="-5400000" vert="horz"/>
              <a:lstStyle/>
              <a:p>
                <a:pPr>
                  <a:defRPr lang="en-US" sz="1600" b="1"/>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'IV.2.2. Pagos SFS A'!$B$2:$J$2</c:f>
              <c:strCache>
                <c:ptCount val="9"/>
                <c:pt idx="0">
                  <c:v>2007</c:v>
                </c:pt>
                <c:pt idx="1">
                  <c:v>2008</c:v>
                </c:pt>
                <c:pt idx="2">
                  <c:v>2009</c:v>
                </c:pt>
                <c:pt idx="3">
                  <c:v>2010</c:v>
                </c:pt>
                <c:pt idx="4">
                  <c:v>2011</c:v>
                </c:pt>
                <c:pt idx="5">
                  <c:v> 2012</c:v>
                </c:pt>
                <c:pt idx="6">
                  <c:v> 2013</c:v>
                </c:pt>
                <c:pt idx="7">
                  <c:v> 2014</c:v>
                </c:pt>
                <c:pt idx="8">
                  <c:v>Ene. - Nov. 2015</c:v>
                </c:pt>
              </c:strCache>
            </c:strRef>
          </c:cat>
          <c:val>
            <c:numRef>
              <c:f>'IV.2.2. Pagos SFS A'!$B$4:$J$4</c:f>
              <c:numCache>
                <c:formatCode>_(* #,##0.00_);_(* \(#,##0.00\);_(* "-"??_);_(@_)</c:formatCode>
                <c:ptCount val="9"/>
                <c:pt idx="0">
                  <c:v>71139452</c:v>
                </c:pt>
                <c:pt idx="1">
                  <c:v>245511975</c:v>
                </c:pt>
                <c:pt idx="2">
                  <c:v>83348568.400000006</c:v>
                </c:pt>
                <c:pt idx="3">
                  <c:v>0</c:v>
                </c:pt>
                <c:pt idx="4">
                  <c:v>149163844</c:v>
                </c:pt>
                <c:pt idx="5">
                  <c:v>182825831.59999999</c:v>
                </c:pt>
                <c:pt idx="6">
                  <c:v>213705747.60000002</c:v>
                </c:pt>
                <c:pt idx="7">
                  <c:v>260908691.69999999</c:v>
                </c:pt>
                <c:pt idx="8">
                  <c:v>309848380.5</c:v>
                </c:pt>
              </c:numCache>
            </c:numRef>
          </c:val>
        </c:ser>
        <c:ser>
          <c:idx val="2"/>
          <c:order val="2"/>
          <c:tx>
            <c:strRef>
              <c:f>'IV.2.2. Pagos SFS A'!$A$5</c:f>
              <c:strCache>
                <c:ptCount val="1"/>
                <c:pt idx="0">
                  <c:v>Subsidios </c:v>
                </c:pt>
              </c:strCache>
            </c:strRef>
          </c:tx>
          <c:invertIfNegative val="0"/>
          <c:dLbls>
            <c:dLbl>
              <c:idx val="0"/>
              <c:layout/>
              <c:tx>
                <c:rich>
                  <a:bodyPr rot="0" vert="horz"/>
                  <a:lstStyle/>
                  <a:p>
                    <a:pPr>
                      <a:defRPr lang="en-US" sz="1600" b="0"/>
                    </a:pPr>
                    <a:r>
                      <a:rPr lang="en-US" sz="1600" b="0"/>
                      <a:t>0</a:t>
                    </a:r>
                    <a:endParaRPr lang="en-US" sz="1200"/>
                  </a:p>
                </c:rich>
              </c:tx>
              <c:spPr/>
              <c:showLegendKey val="0"/>
              <c:showVal val="0"/>
              <c:showCatName val="0"/>
              <c:showSerName val="0"/>
              <c:showPercent val="0"/>
              <c:showBubbleSize val="0"/>
              <c:extLst>
                <c:ext xmlns:c15="http://schemas.microsoft.com/office/drawing/2012/chart" uri="{CE6537A1-D6FC-4f65-9D91-7224C49458BB}">
                  <c15:layout/>
                </c:ext>
              </c:extLst>
            </c:dLbl>
            <c:dLbl>
              <c:idx val="5"/>
              <c:layout>
                <c:manualLayout>
                  <c:x val="2.5917753790834779E-3"/>
                  <c:y val="4.9034175334323922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lang="en-US" sz="1600" b="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'IV.2.2. Pagos SFS A'!$B$2:$J$2</c:f>
              <c:strCache>
                <c:ptCount val="9"/>
                <c:pt idx="0">
                  <c:v>2007</c:v>
                </c:pt>
                <c:pt idx="1">
                  <c:v>2008</c:v>
                </c:pt>
                <c:pt idx="2">
                  <c:v>2009</c:v>
                </c:pt>
                <c:pt idx="3">
                  <c:v>2010</c:v>
                </c:pt>
                <c:pt idx="4">
                  <c:v>2011</c:v>
                </c:pt>
                <c:pt idx="5">
                  <c:v> 2012</c:v>
                </c:pt>
                <c:pt idx="6">
                  <c:v> 2013</c:v>
                </c:pt>
                <c:pt idx="7">
                  <c:v> 2014</c:v>
                </c:pt>
                <c:pt idx="8">
                  <c:v>Ene. - Nov. 2015</c:v>
                </c:pt>
              </c:strCache>
            </c:strRef>
          </c:cat>
          <c:val>
            <c:numRef>
              <c:f>'IV.2.2. Pagos SFS A'!$B$5:$J$5</c:f>
              <c:numCache>
                <c:formatCode>_(* #,##0.00_);_(* \(#,##0.00\);_(* "-"??_);_(@_)</c:formatCode>
                <c:ptCount val="9"/>
                <c:pt idx="0">
                  <c:v>0</c:v>
                </c:pt>
                <c:pt idx="1">
                  <c:v>283848938.23000002</c:v>
                </c:pt>
                <c:pt idx="2">
                  <c:v>717406862.31000018</c:v>
                </c:pt>
                <c:pt idx="3">
                  <c:v>958993042.63</c:v>
                </c:pt>
                <c:pt idx="4">
                  <c:v>1126433498.0599999</c:v>
                </c:pt>
                <c:pt idx="5">
                  <c:v>1222112428.3699999</c:v>
                </c:pt>
                <c:pt idx="6">
                  <c:v>1358265601.1399999</c:v>
                </c:pt>
                <c:pt idx="7">
                  <c:v>1556233315.7999997</c:v>
                </c:pt>
                <c:pt idx="8">
                  <c:v>1527993475.52</c:v>
                </c:pt>
              </c:numCache>
            </c:numRef>
          </c:val>
        </c:ser>
        <c:ser>
          <c:idx val="3"/>
          <c:order val="3"/>
          <c:tx>
            <c:strRef>
              <c:f>'IV.2.2. Pagos SFS A'!$A$6</c:f>
              <c:strCache>
                <c:ptCount val="1"/>
                <c:pt idx="0">
                  <c:v>Comisión SISALRIL</c:v>
                </c:pt>
              </c:strCache>
            </c:strRef>
          </c:tx>
          <c:invertIfNegative val="0"/>
          <c:dLbls>
            <c:dLbl>
              <c:idx val="0"/>
              <c:layout/>
              <c:tx>
                <c:rich>
                  <a:bodyPr rot="0" vert="horz"/>
                  <a:lstStyle/>
                  <a:p>
                    <a:pPr>
                      <a:defRPr lang="en-US" sz="1600" b="0"/>
                    </a:pPr>
                    <a:r>
                      <a:rPr lang="en-US" sz="1600" b="0"/>
                      <a:t>0</a:t>
                    </a:r>
                    <a:endParaRPr lang="en-US" sz="1200"/>
                  </a:p>
                </c:rich>
              </c:tx>
              <c:spPr/>
              <c:showLegendKey val="0"/>
              <c:showVal val="0"/>
              <c:showCatName val="0"/>
              <c:showSerName val="0"/>
              <c:showPercent val="0"/>
              <c:showBubbleSize val="0"/>
              <c:extLst>
                <c:ext xmlns:c15="http://schemas.microsoft.com/office/drawing/2012/chart" uri="{CE6537A1-D6FC-4f65-9D91-7224C49458BB}">
                  <c15:layout/>
                </c:ext>
              </c:extLst>
            </c:dLbl>
            <c:dLbl>
              <c:idx val="5"/>
              <c:layout>
                <c:manualLayout>
                  <c:x val="3.6544406921683323E-3"/>
                  <c:y val="0"/>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lang="en-US" sz="1600" b="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'IV.2.2. Pagos SFS A'!$B$2:$J$2</c:f>
              <c:strCache>
                <c:ptCount val="9"/>
                <c:pt idx="0">
                  <c:v>2007</c:v>
                </c:pt>
                <c:pt idx="1">
                  <c:v>2008</c:v>
                </c:pt>
                <c:pt idx="2">
                  <c:v>2009</c:v>
                </c:pt>
                <c:pt idx="3">
                  <c:v>2010</c:v>
                </c:pt>
                <c:pt idx="4">
                  <c:v>2011</c:v>
                </c:pt>
                <c:pt idx="5">
                  <c:v> 2012</c:v>
                </c:pt>
                <c:pt idx="6">
                  <c:v> 2013</c:v>
                </c:pt>
                <c:pt idx="7">
                  <c:v> 2014</c:v>
                </c:pt>
                <c:pt idx="8">
                  <c:v>Ene. - Nov. 2015</c:v>
                </c:pt>
              </c:strCache>
            </c:strRef>
          </c:cat>
          <c:val>
            <c:numRef>
              <c:f>'IV.2.2. Pagos SFS A'!$B$6:$J$6</c:f>
              <c:numCache>
                <c:formatCode>_(* #,##0.00_);_(* \(#,##0.00\);_(* "-"??_);_(@_)</c:formatCode>
                <c:ptCount val="9"/>
                <c:pt idx="0">
                  <c:v>0</c:v>
                </c:pt>
                <c:pt idx="1">
                  <c:v>38720972.609999999</c:v>
                </c:pt>
                <c:pt idx="2">
                  <c:v>121903634.47</c:v>
                </c:pt>
                <c:pt idx="3">
                  <c:v>138388657.69999999</c:v>
                </c:pt>
                <c:pt idx="4">
                  <c:v>155182686.03</c:v>
                </c:pt>
                <c:pt idx="5">
                  <c:v>171240027.52000004</c:v>
                </c:pt>
                <c:pt idx="6">
                  <c:v>190492244.19999999</c:v>
                </c:pt>
                <c:pt idx="7">
                  <c:v>215918628.93000001</c:v>
                </c:pt>
                <c:pt idx="8">
                  <c:v>220941146.91</c:v>
                </c:pt>
              </c:numCache>
            </c:numRef>
          </c:val>
        </c:ser>
        <c:ser>
          <c:idx val="4"/>
          <c:order val="4"/>
          <c:tx>
            <c:strRef>
              <c:f>'IV.2.2. Pagos SFS A'!$A$7</c:f>
              <c:strCache>
                <c:ptCount val="1"/>
                <c:pt idx="0">
                  <c:v>Estancias Infantiles (EI)</c:v>
                </c:pt>
              </c:strCache>
            </c:strRef>
          </c:tx>
          <c:invertIfNegative val="0"/>
          <c:dLbls>
            <c:spPr>
              <a:noFill/>
              <a:ln>
                <a:noFill/>
              </a:ln>
              <a:effectLst/>
            </c:spPr>
            <c:txPr>
              <a:bodyPr rot="-5400000" vert="horz"/>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'IV.2.2. Pagos SFS A'!$B$2:$J$2</c:f>
              <c:strCache>
                <c:ptCount val="9"/>
                <c:pt idx="0">
                  <c:v>2007</c:v>
                </c:pt>
                <c:pt idx="1">
                  <c:v>2008</c:v>
                </c:pt>
                <c:pt idx="2">
                  <c:v>2009</c:v>
                </c:pt>
                <c:pt idx="3">
                  <c:v>2010</c:v>
                </c:pt>
                <c:pt idx="4">
                  <c:v>2011</c:v>
                </c:pt>
                <c:pt idx="5">
                  <c:v> 2012</c:v>
                </c:pt>
                <c:pt idx="6">
                  <c:v> 2013</c:v>
                </c:pt>
                <c:pt idx="7">
                  <c:v> 2014</c:v>
                </c:pt>
                <c:pt idx="8">
                  <c:v>Ene. - Nov. 2015</c:v>
                </c:pt>
              </c:strCache>
            </c:strRef>
          </c:cat>
          <c:val>
            <c:numRef>
              <c:f>'IV.2.2. Pagos SFS A'!$B$7:$J$7</c:f>
              <c:numCache>
                <c:formatCode>_(* #,##0.00_);_(* \(#,##0.00\);_(* "-"??_);_(@_)</c:formatCode>
                <c:ptCount val="9"/>
                <c:pt idx="0">
                  <c:v>0</c:v>
                </c:pt>
                <c:pt idx="1">
                  <c:v>0</c:v>
                </c:pt>
                <c:pt idx="2">
                  <c:v>16656000</c:v>
                </c:pt>
                <c:pt idx="3">
                  <c:v>68030000</c:v>
                </c:pt>
                <c:pt idx="4">
                  <c:v>168385579.84999999</c:v>
                </c:pt>
                <c:pt idx="5">
                  <c:v>182376500</c:v>
                </c:pt>
                <c:pt idx="6">
                  <c:v>215786255.86000001</c:v>
                </c:pt>
                <c:pt idx="7">
                  <c:v>262429320</c:v>
                </c:pt>
                <c:pt idx="8">
                  <c:v>265474840</c:v>
                </c:pt>
              </c:numCache>
            </c:numRef>
          </c:val>
        </c:ser>
        <c:dLbls>
          <c:showLegendKey val="0"/>
          <c:showVal val="0"/>
          <c:showCatName val="0"/>
          <c:showSerName val="0"/>
          <c:showPercent val="0"/>
          <c:showBubbleSize val="0"/>
        </c:dLbls>
        <c:gapWidth val="99"/>
        <c:gapDepth val="311"/>
        <c:shape val="cylinder"/>
        <c:axId val="372816472"/>
        <c:axId val="372816864"/>
        <c:axId val="0"/>
      </c:bar3DChart>
      <c:catAx>
        <c:axId val="372816472"/>
        <c:scaling>
          <c:orientation val="minMax"/>
        </c:scaling>
        <c:delete val="0"/>
        <c:axPos val="b"/>
        <c:numFmt formatCode="General" sourceLinked="1"/>
        <c:majorTickMark val="none"/>
        <c:minorTickMark val="none"/>
        <c:tickLblPos val="nextTo"/>
        <c:txPr>
          <a:bodyPr/>
          <a:lstStyle/>
          <a:p>
            <a:pPr>
              <a:defRPr lang="en-US" sz="1800"/>
            </a:pPr>
            <a:endParaRPr lang="es-ES"/>
          </a:p>
        </c:txPr>
        <c:crossAx val="372816864"/>
        <c:crosses val="autoZero"/>
        <c:auto val="1"/>
        <c:lblAlgn val="ctr"/>
        <c:lblOffset val="100"/>
        <c:noMultiLvlLbl val="0"/>
      </c:catAx>
      <c:valAx>
        <c:axId val="372816864"/>
        <c:scaling>
          <c:orientation val="minMax"/>
        </c:scaling>
        <c:delete val="0"/>
        <c:axPos val="l"/>
        <c:numFmt formatCode="_(* #,##0.00_);_(* \(#,##0.00\);_(* &quot;-&quot;??_);_(@_)" sourceLinked="1"/>
        <c:majorTickMark val="none"/>
        <c:minorTickMark val="none"/>
        <c:tickLblPos val="none"/>
        <c:txPr>
          <a:bodyPr/>
          <a:lstStyle/>
          <a:p>
            <a:pPr>
              <a:defRPr lang="en-US"/>
            </a:pPr>
            <a:endParaRPr lang="es-ES"/>
          </a:p>
        </c:txPr>
        <c:crossAx val="372816472"/>
        <c:crosses val="autoZero"/>
        <c:crossBetween val="between"/>
        <c:dispUnits>
          <c:builtInUnit val="millions"/>
          <c:dispUnitsLbl>
            <c:layout>
              <c:manualLayout>
                <c:xMode val="edge"/>
                <c:yMode val="edge"/>
                <c:x val="1.389082849080259E-2"/>
                <c:y val="0.46660510685805739"/>
              </c:manualLayout>
            </c:layout>
            <c:txPr>
              <a:bodyPr/>
              <a:lstStyle/>
              <a:p>
                <a:pPr>
                  <a:defRPr lang="en-US" sz="1800" b="1"/>
                </a:pPr>
                <a:endParaRPr lang="es-ES"/>
              </a:p>
            </c:txPr>
          </c:dispUnitsLbl>
        </c:dispUnits>
      </c:valAx>
      <c:spPr>
        <a:noFill/>
        <a:ln w="25400">
          <a:noFill/>
        </a:ln>
      </c:spPr>
    </c:plotArea>
    <c:legend>
      <c:legendPos val="b"/>
      <c:layout>
        <c:manualLayout>
          <c:xMode val="edge"/>
          <c:yMode val="edge"/>
          <c:x val="0.17396307049125909"/>
          <c:y val="0.11510490598323837"/>
          <c:w val="0.62684058370147855"/>
          <c:h val="5.0398537504332243E-2"/>
        </c:manualLayout>
      </c:layout>
      <c:overlay val="0"/>
      <c:txPr>
        <a:bodyPr/>
        <a:lstStyle/>
        <a:p>
          <a:pPr>
            <a:defRPr lang="en-US" sz="1600"/>
          </a:pPr>
          <a:endParaRPr lang="es-E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4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sz="1800" b="1">
                <a:effectLst/>
              </a:rPr>
              <a:t>Fondos Pagados Mensualmente por Cuentas al SFS del RC</a:t>
            </a:r>
            <a:endParaRPr lang="es-ES">
              <a:effectLst/>
            </a:endParaRPr>
          </a:p>
        </c:rich>
      </c:tx>
      <c:layout>
        <c:manualLayout>
          <c:xMode val="edge"/>
          <c:yMode val="edge"/>
          <c:x val="0.31931036327465429"/>
          <c:y val="1.4291280028886253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7.7624934383202102E-2"/>
          <c:y val="0.28522902114622151"/>
          <c:w val="0.90881346235699967"/>
          <c:h val="0.48806047887553422"/>
        </c:manualLayout>
      </c:layout>
      <c:bar3DChart>
        <c:barDir val="col"/>
        <c:grouping val="clustered"/>
        <c:varyColors val="0"/>
        <c:ser>
          <c:idx val="0"/>
          <c:order val="0"/>
          <c:tx>
            <c:strRef>
              <c:f>'IV.2.3.Pagos_SFS M'!$B$3</c:f>
              <c:strCache>
                <c:ptCount val="1"/>
                <c:pt idx="0">
                  <c:v> Cuidado de la Salud </c:v>
                </c:pt>
              </c:strCache>
            </c:strRef>
          </c:tx>
          <c:spPr>
            <a:solidFill>
              <a:schemeClr val="accent3">
                <a:lumMod val="75000"/>
              </a:schemeClr>
            </a:solidFill>
          </c:spPr>
          <c:invertIfNegative val="0"/>
          <c:dLbls>
            <c:dLbl>
              <c:idx val="10"/>
              <c:delete val="1"/>
              <c:extLst>
                <c:ext xmlns:c15="http://schemas.microsoft.com/office/drawing/2012/chart" uri="{CE6537A1-D6FC-4f65-9D91-7224C49458BB}"/>
              </c:extLst>
            </c:dLbl>
            <c:dLbl>
              <c:idx val="11"/>
              <c:spPr/>
              <c:txPr>
                <a:bodyPr rot="-5400000" vert="horz"/>
                <a:lstStyle/>
                <a:p>
                  <a:pPr>
                    <a:defRPr sz="1200" b="1"/>
                  </a:pPr>
                  <a:endParaRPr lang="es-ES"/>
                </a:p>
              </c:txPr>
              <c:showLegendKey val="0"/>
              <c:showVal val="1"/>
              <c:showCatName val="0"/>
              <c:showSerName val="0"/>
              <c:showPercent val="0"/>
              <c:showBubbleSize val="0"/>
            </c:dLbl>
            <c:dLbl>
              <c:idx val="12"/>
              <c:spPr/>
              <c:txPr>
                <a:bodyPr rot="-5400000" vert="horz"/>
                <a:lstStyle/>
                <a:p>
                  <a:pPr>
                    <a:defRPr sz="1200" b="1"/>
                  </a:pPr>
                  <a:endParaRPr lang="es-ES"/>
                </a:p>
              </c:txPr>
              <c:showLegendKey val="0"/>
              <c:showVal val="1"/>
              <c:showCatName val="0"/>
              <c:showSerName val="0"/>
              <c:showPercent val="0"/>
              <c:showBubbleSize val="0"/>
            </c:dLbl>
            <c:spPr>
              <a:noFill/>
              <a:ln>
                <a:noFill/>
              </a:ln>
              <a:effectLst/>
            </c:spPr>
            <c:txPr>
              <a:bodyPr rot="-5400000" vert="horz"/>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'IV.2.3.Pagos_SFS M'!$A$4:$A$16</c:f>
              <c:numCache>
                <c:formatCode>mmm\-yy</c:formatCode>
                <c:ptCount val="13"/>
                <c:pt idx="0">
                  <c:v>41957</c:v>
                </c:pt>
                <c:pt idx="1">
                  <c:v>41987</c:v>
                </c:pt>
                <c:pt idx="2">
                  <c:v>42019</c:v>
                </c:pt>
                <c:pt idx="3">
                  <c:v>42050</c:v>
                </c:pt>
                <c:pt idx="4">
                  <c:v>42078</c:v>
                </c:pt>
                <c:pt idx="5">
                  <c:v>42109</c:v>
                </c:pt>
                <c:pt idx="6">
                  <c:v>42139</c:v>
                </c:pt>
                <c:pt idx="7">
                  <c:v>42170</c:v>
                </c:pt>
                <c:pt idx="8">
                  <c:v>42200</c:v>
                </c:pt>
                <c:pt idx="9">
                  <c:v>42231</c:v>
                </c:pt>
                <c:pt idx="10">
                  <c:v>42262</c:v>
                </c:pt>
                <c:pt idx="11">
                  <c:v>42292</c:v>
                </c:pt>
                <c:pt idx="12">
                  <c:v>42323</c:v>
                </c:pt>
              </c:numCache>
            </c:numRef>
          </c:cat>
          <c:val>
            <c:numRef>
              <c:f>'IV.2.3.Pagos_SFS M'!$B$4:$B$16</c:f>
              <c:numCache>
                <c:formatCode>_(* #,##0.00_);_(* \(#,##0.00\);_(* "-"??_);_(@_)</c:formatCode>
                <c:ptCount val="13"/>
                <c:pt idx="0">
                  <c:v>2675404983.6300001</c:v>
                </c:pt>
                <c:pt idx="1">
                  <c:v>2695428414.4200001</c:v>
                </c:pt>
                <c:pt idx="2">
                  <c:v>2706090096.8499999</c:v>
                </c:pt>
                <c:pt idx="3">
                  <c:v>2715305476.3699999</c:v>
                </c:pt>
                <c:pt idx="4">
                  <c:v>2770375708.0900002</c:v>
                </c:pt>
                <c:pt idx="5">
                  <c:v>2783474943.29</c:v>
                </c:pt>
                <c:pt idx="6">
                  <c:v>2799017569.7600002</c:v>
                </c:pt>
                <c:pt idx="7">
                  <c:v>2808485248.3299999</c:v>
                </c:pt>
                <c:pt idx="8">
                  <c:v>2813198539.2199998</c:v>
                </c:pt>
                <c:pt idx="9">
                  <c:v>2830325804.3299999</c:v>
                </c:pt>
                <c:pt idx="10">
                  <c:v>2820974591.46</c:v>
                </c:pt>
                <c:pt idx="11">
                  <c:v>2866567079.54</c:v>
                </c:pt>
                <c:pt idx="12">
                  <c:v>3375946224.3999996</c:v>
                </c:pt>
              </c:numCache>
            </c:numRef>
          </c:val>
        </c:ser>
        <c:ser>
          <c:idx val="1"/>
          <c:order val="1"/>
          <c:tx>
            <c:strRef>
              <c:f>'IV.2.3.Pagos_SFS M'!$C$3</c:f>
              <c:strCache>
                <c:ptCount val="1"/>
                <c:pt idx="0">
                  <c:v> FONAMAT </c:v>
                </c:pt>
              </c:strCache>
            </c:strRef>
          </c:tx>
          <c:invertIfNegative val="0"/>
          <c:dLbls>
            <c:dLbl>
              <c:idx val="0"/>
              <c:delete val="1"/>
              <c:extLst>
                <c:ext xmlns:c15="http://schemas.microsoft.com/office/drawing/2012/chart" uri="{CE6537A1-D6FC-4f65-9D91-7224C49458BB}"/>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11"/>
              <c:spPr/>
              <c:txPr>
                <a:bodyPr rot="-5400000" vert="horz"/>
                <a:lstStyle/>
                <a:p>
                  <a:pPr>
                    <a:defRPr sz="1200" b="1"/>
                  </a:pPr>
                  <a:endParaRPr lang="es-ES"/>
                </a:p>
              </c:txPr>
              <c:showLegendKey val="0"/>
              <c:showVal val="1"/>
              <c:showCatName val="0"/>
              <c:showSerName val="0"/>
              <c:showPercent val="0"/>
              <c:showBubbleSize val="0"/>
            </c:dLbl>
            <c:dLbl>
              <c:idx val="12"/>
              <c:layout>
                <c:manualLayout>
                  <c:x val="1.1466010726588461E-3"/>
                  <c:y val="1.0233916714935298E-2"/>
                </c:manualLayout>
              </c:layout>
              <c:spPr/>
              <c:txPr>
                <a:bodyPr rot="-5400000" vert="horz"/>
                <a:lstStyle/>
                <a:p>
                  <a:pPr>
                    <a:defRPr sz="1200" b="1"/>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'IV.2.3.Pagos_SFS M'!$A$4:$A$16</c:f>
              <c:numCache>
                <c:formatCode>mmm\-yy</c:formatCode>
                <c:ptCount val="13"/>
                <c:pt idx="0">
                  <c:v>41957</c:v>
                </c:pt>
                <c:pt idx="1">
                  <c:v>41987</c:v>
                </c:pt>
                <c:pt idx="2">
                  <c:v>42019</c:v>
                </c:pt>
                <c:pt idx="3">
                  <c:v>42050</c:v>
                </c:pt>
                <c:pt idx="4">
                  <c:v>42078</c:v>
                </c:pt>
                <c:pt idx="5">
                  <c:v>42109</c:v>
                </c:pt>
                <c:pt idx="6">
                  <c:v>42139</c:v>
                </c:pt>
                <c:pt idx="7">
                  <c:v>42170</c:v>
                </c:pt>
                <c:pt idx="8">
                  <c:v>42200</c:v>
                </c:pt>
                <c:pt idx="9">
                  <c:v>42231</c:v>
                </c:pt>
                <c:pt idx="10">
                  <c:v>42262</c:v>
                </c:pt>
                <c:pt idx="11">
                  <c:v>42292</c:v>
                </c:pt>
                <c:pt idx="12">
                  <c:v>42323</c:v>
                </c:pt>
              </c:numCache>
            </c:numRef>
          </c:cat>
          <c:val>
            <c:numRef>
              <c:f>'IV.2.3.Pagos_SFS M'!$C$4:$C$16</c:f>
              <c:numCache>
                <c:formatCode>_(* #,##0.00_);_(* \(#,##0.00\);_(* "-"??_);_(@_)</c:formatCode>
                <c:ptCount val="13"/>
                <c:pt idx="0">
                  <c:v>22622574</c:v>
                </c:pt>
                <c:pt idx="1">
                  <c:v>22553880</c:v>
                </c:pt>
                <c:pt idx="2">
                  <c:v>26935035</c:v>
                </c:pt>
                <c:pt idx="3">
                  <c:v>27413422.5</c:v>
                </c:pt>
                <c:pt idx="4">
                  <c:v>27668746.5</c:v>
                </c:pt>
                <c:pt idx="5">
                  <c:v>28317622.5</c:v>
                </c:pt>
                <c:pt idx="6">
                  <c:v>28285198.5</c:v>
                </c:pt>
                <c:pt idx="7">
                  <c:v>28281892.5</c:v>
                </c:pt>
                <c:pt idx="8">
                  <c:v>28280568</c:v>
                </c:pt>
                <c:pt idx="9">
                  <c:v>28714021.5</c:v>
                </c:pt>
                <c:pt idx="10">
                  <c:v>28235092.5</c:v>
                </c:pt>
                <c:pt idx="11">
                  <c:v>28659573</c:v>
                </c:pt>
                <c:pt idx="12">
                  <c:v>29057208</c:v>
                </c:pt>
              </c:numCache>
            </c:numRef>
          </c:val>
        </c:ser>
        <c:ser>
          <c:idx val="2"/>
          <c:order val="2"/>
          <c:tx>
            <c:strRef>
              <c:f>'IV.2.3.Pagos_SFS M'!$D$3</c:f>
              <c:strCache>
                <c:ptCount val="1"/>
                <c:pt idx="0">
                  <c:v> Subsidios  </c:v>
                </c:pt>
              </c:strCache>
            </c:strRef>
          </c:tx>
          <c:spPr>
            <a:solidFill>
              <a:srgbClr val="249AA6"/>
            </a:solidFill>
          </c:spPr>
          <c:invertIfNegative val="0"/>
          <c:dLbls>
            <c:dLbl>
              <c:idx val="12"/>
              <c:layout>
                <c:manualLayout>
                  <c:x val="2.2932021453176922E-3"/>
                  <c:y val="1.4327483400909417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200" b="1"/>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'IV.2.3.Pagos_SFS M'!$A$4:$A$16</c:f>
              <c:numCache>
                <c:formatCode>mmm\-yy</c:formatCode>
                <c:ptCount val="13"/>
                <c:pt idx="0">
                  <c:v>41957</c:v>
                </c:pt>
                <c:pt idx="1">
                  <c:v>41987</c:v>
                </c:pt>
                <c:pt idx="2">
                  <c:v>42019</c:v>
                </c:pt>
                <c:pt idx="3">
                  <c:v>42050</c:v>
                </c:pt>
                <c:pt idx="4">
                  <c:v>42078</c:v>
                </c:pt>
                <c:pt idx="5">
                  <c:v>42109</c:v>
                </c:pt>
                <c:pt idx="6">
                  <c:v>42139</c:v>
                </c:pt>
                <c:pt idx="7">
                  <c:v>42170</c:v>
                </c:pt>
                <c:pt idx="8">
                  <c:v>42200</c:v>
                </c:pt>
                <c:pt idx="9">
                  <c:v>42231</c:v>
                </c:pt>
                <c:pt idx="10">
                  <c:v>42262</c:v>
                </c:pt>
                <c:pt idx="11">
                  <c:v>42292</c:v>
                </c:pt>
                <c:pt idx="12">
                  <c:v>42323</c:v>
                </c:pt>
              </c:numCache>
            </c:numRef>
          </c:cat>
          <c:val>
            <c:numRef>
              <c:f>'IV.2.3.Pagos_SFS M'!$D$4:$D$16</c:f>
              <c:numCache>
                <c:formatCode>_(* #,##0.00_);_(* \(#,##0.00\);_(* "-"??_);_(@_)</c:formatCode>
                <c:ptCount val="13"/>
                <c:pt idx="0">
                  <c:v>129397014.25</c:v>
                </c:pt>
                <c:pt idx="1">
                  <c:v>133971069.88</c:v>
                </c:pt>
                <c:pt idx="2">
                  <c:v>128685947.84999999</c:v>
                </c:pt>
                <c:pt idx="3">
                  <c:v>131476627.64</c:v>
                </c:pt>
                <c:pt idx="4">
                  <c:v>138467247.25</c:v>
                </c:pt>
                <c:pt idx="5">
                  <c:v>134538299.06</c:v>
                </c:pt>
                <c:pt idx="6">
                  <c:v>136303790.02000001</c:v>
                </c:pt>
                <c:pt idx="7">
                  <c:v>145785015.66</c:v>
                </c:pt>
                <c:pt idx="8">
                  <c:v>142908166.75999999</c:v>
                </c:pt>
                <c:pt idx="9">
                  <c:v>138439463.38</c:v>
                </c:pt>
                <c:pt idx="10">
                  <c:v>142178850.41999999</c:v>
                </c:pt>
                <c:pt idx="11">
                  <c:v>144117327.62</c:v>
                </c:pt>
                <c:pt idx="12">
                  <c:v>145092739.86000001</c:v>
                </c:pt>
              </c:numCache>
            </c:numRef>
          </c:val>
        </c:ser>
        <c:ser>
          <c:idx val="3"/>
          <c:order val="3"/>
          <c:tx>
            <c:strRef>
              <c:f>'IV.2.3.Pagos_SFS M'!$E$3</c:f>
              <c:strCache>
                <c:ptCount val="1"/>
                <c:pt idx="0">
                  <c:v> Comisión SISALRIL </c:v>
                </c:pt>
              </c:strCache>
            </c:strRef>
          </c:tx>
          <c:invertIfNegative val="0"/>
          <c:dLbls>
            <c:dLbl>
              <c:idx val="12"/>
              <c:layout>
                <c:manualLayout>
                  <c:x val="5.73300536329423E-3"/>
                  <c:y val="0"/>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200" b="1"/>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'IV.2.3.Pagos_SFS M'!$A$4:$A$16</c:f>
              <c:numCache>
                <c:formatCode>mmm\-yy</c:formatCode>
                <c:ptCount val="13"/>
                <c:pt idx="0">
                  <c:v>41957</c:v>
                </c:pt>
                <c:pt idx="1">
                  <c:v>41987</c:v>
                </c:pt>
                <c:pt idx="2">
                  <c:v>42019</c:v>
                </c:pt>
                <c:pt idx="3">
                  <c:v>42050</c:v>
                </c:pt>
                <c:pt idx="4">
                  <c:v>42078</c:v>
                </c:pt>
                <c:pt idx="5">
                  <c:v>42109</c:v>
                </c:pt>
                <c:pt idx="6">
                  <c:v>42139</c:v>
                </c:pt>
                <c:pt idx="7">
                  <c:v>42170</c:v>
                </c:pt>
                <c:pt idx="8">
                  <c:v>42200</c:v>
                </c:pt>
                <c:pt idx="9">
                  <c:v>42231</c:v>
                </c:pt>
                <c:pt idx="10">
                  <c:v>42262</c:v>
                </c:pt>
                <c:pt idx="11">
                  <c:v>42292</c:v>
                </c:pt>
                <c:pt idx="12">
                  <c:v>42323</c:v>
                </c:pt>
              </c:numCache>
            </c:numRef>
          </c:cat>
          <c:val>
            <c:numRef>
              <c:f>'IV.2.3.Pagos_SFS M'!$E$4:$E$16</c:f>
              <c:numCache>
                <c:formatCode>_(* #,##0.00_);_(* \(#,##0.00\);_(* "-"??_);_(@_)</c:formatCode>
                <c:ptCount val="13"/>
                <c:pt idx="0">
                  <c:v>18490936.91</c:v>
                </c:pt>
                <c:pt idx="1">
                  <c:v>19457072.02</c:v>
                </c:pt>
                <c:pt idx="2">
                  <c:v>18409106.789999999</c:v>
                </c:pt>
                <c:pt idx="3">
                  <c:v>18908389.609999999</c:v>
                </c:pt>
                <c:pt idx="4">
                  <c:v>19882626.829999998</c:v>
                </c:pt>
                <c:pt idx="5">
                  <c:v>19553715.449999999</c:v>
                </c:pt>
                <c:pt idx="6">
                  <c:v>19771677.609999999</c:v>
                </c:pt>
                <c:pt idx="7">
                  <c:v>20180806.620000001</c:v>
                </c:pt>
                <c:pt idx="8">
                  <c:v>20508504.91</c:v>
                </c:pt>
                <c:pt idx="9">
                  <c:v>20470315.219999999</c:v>
                </c:pt>
                <c:pt idx="10">
                  <c:v>20740592.91</c:v>
                </c:pt>
                <c:pt idx="11">
                  <c:v>21184823.920000002</c:v>
                </c:pt>
                <c:pt idx="12">
                  <c:v>21330587.039999999</c:v>
                </c:pt>
              </c:numCache>
            </c:numRef>
          </c:val>
        </c:ser>
        <c:ser>
          <c:idx val="4"/>
          <c:order val="4"/>
          <c:tx>
            <c:strRef>
              <c:f>'IV.2.3.Pagos_SFS M'!$F$3</c:f>
              <c:strCache>
                <c:ptCount val="1"/>
                <c:pt idx="0">
                  <c:v> Estancias Infantiles (Pago cápitas/niños </c:v>
                </c:pt>
              </c:strCache>
            </c:strRef>
          </c:tx>
          <c:invertIfNegative val="0"/>
          <c:dLbls>
            <c:dLbl>
              <c:idx val="11"/>
              <c:spPr/>
              <c:txPr>
                <a:bodyPr rot="-5400000" vert="horz"/>
                <a:lstStyle/>
                <a:p>
                  <a:pPr>
                    <a:defRPr sz="1200" b="1"/>
                  </a:pPr>
                  <a:endParaRPr lang="es-ES"/>
                </a:p>
              </c:txPr>
              <c:showLegendKey val="0"/>
              <c:showVal val="1"/>
              <c:showCatName val="0"/>
              <c:showSerName val="0"/>
              <c:showPercent val="0"/>
              <c:showBubbleSize val="0"/>
            </c:dLbl>
            <c:dLbl>
              <c:idx val="12"/>
              <c:layout>
                <c:manualLayout>
                  <c:x val="9.1728085812707687E-3"/>
                  <c:y val="4.0935666859741194E-3"/>
                </c:manualLayout>
              </c:layout>
              <c:spPr/>
              <c:txPr>
                <a:bodyPr rot="-5400000" vert="horz"/>
                <a:lstStyle/>
                <a:p>
                  <a:pPr>
                    <a:defRPr sz="1200" b="1"/>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'IV.2.3.Pagos_SFS M'!$A$4:$A$16</c:f>
              <c:numCache>
                <c:formatCode>mmm\-yy</c:formatCode>
                <c:ptCount val="13"/>
                <c:pt idx="0">
                  <c:v>41957</c:v>
                </c:pt>
                <c:pt idx="1">
                  <c:v>41987</c:v>
                </c:pt>
                <c:pt idx="2">
                  <c:v>42019</c:v>
                </c:pt>
                <c:pt idx="3">
                  <c:v>42050</c:v>
                </c:pt>
                <c:pt idx="4">
                  <c:v>42078</c:v>
                </c:pt>
                <c:pt idx="5">
                  <c:v>42109</c:v>
                </c:pt>
                <c:pt idx="6">
                  <c:v>42139</c:v>
                </c:pt>
                <c:pt idx="7">
                  <c:v>42170</c:v>
                </c:pt>
                <c:pt idx="8">
                  <c:v>42200</c:v>
                </c:pt>
                <c:pt idx="9">
                  <c:v>42231</c:v>
                </c:pt>
                <c:pt idx="10">
                  <c:v>42262</c:v>
                </c:pt>
                <c:pt idx="11">
                  <c:v>42292</c:v>
                </c:pt>
                <c:pt idx="12">
                  <c:v>42323</c:v>
                </c:pt>
              </c:numCache>
            </c:numRef>
          </c:cat>
          <c:val>
            <c:numRef>
              <c:f>'IV.2.3.Pagos_SFS M'!$F$4:$F$16</c:f>
              <c:numCache>
                <c:formatCode>_(* #,##0.00_);_(* \(#,##0.00\);_(* "-"??_);_(@_)</c:formatCode>
                <c:ptCount val="13"/>
                <c:pt idx="0">
                  <c:v>15756000</c:v>
                </c:pt>
                <c:pt idx="1">
                  <c:v>14748000</c:v>
                </c:pt>
                <c:pt idx="2">
                  <c:v>14816000</c:v>
                </c:pt>
                <c:pt idx="3">
                  <c:v>14174000</c:v>
                </c:pt>
                <c:pt idx="4">
                  <c:v>13972000</c:v>
                </c:pt>
                <c:pt idx="5">
                  <c:v>11500000</c:v>
                </c:pt>
                <c:pt idx="6">
                  <c:v>11478000</c:v>
                </c:pt>
                <c:pt idx="7">
                  <c:v>11180000</c:v>
                </c:pt>
                <c:pt idx="8">
                  <c:v>11450000</c:v>
                </c:pt>
                <c:pt idx="9">
                  <c:v>12058000</c:v>
                </c:pt>
                <c:pt idx="10">
                  <c:v>12250000</c:v>
                </c:pt>
                <c:pt idx="11">
                  <c:v>12362000</c:v>
                </c:pt>
                <c:pt idx="12">
                  <c:v>24913484</c:v>
                </c:pt>
              </c:numCache>
            </c:numRef>
          </c:val>
        </c:ser>
        <c:ser>
          <c:idx val="6"/>
          <c:order val="6"/>
          <c:tx>
            <c:strRef>
              <c:f>'IV.2.3.Pagos_SFS M'!$G$3</c:f>
              <c:strCache>
                <c:ptCount val="1"/>
                <c:pt idx="0">
                  <c:v> AEISS  (Pago nómina Res. CNSS 369-04)   </c:v>
                </c:pt>
              </c:strCache>
            </c:strRef>
          </c:tx>
          <c:invertIfNegative val="0"/>
          <c:cat>
            <c:numRef>
              <c:f>'IV.2.3.Pagos_SFS M'!$A$4:$A$16</c:f>
              <c:numCache>
                <c:formatCode>mmm\-yy</c:formatCode>
                <c:ptCount val="13"/>
                <c:pt idx="0">
                  <c:v>41957</c:v>
                </c:pt>
                <c:pt idx="1">
                  <c:v>41987</c:v>
                </c:pt>
                <c:pt idx="2">
                  <c:v>42019</c:v>
                </c:pt>
                <c:pt idx="3">
                  <c:v>42050</c:v>
                </c:pt>
                <c:pt idx="4">
                  <c:v>42078</c:v>
                </c:pt>
                <c:pt idx="5">
                  <c:v>42109</c:v>
                </c:pt>
                <c:pt idx="6">
                  <c:v>42139</c:v>
                </c:pt>
                <c:pt idx="7">
                  <c:v>42170</c:v>
                </c:pt>
                <c:pt idx="8">
                  <c:v>42200</c:v>
                </c:pt>
                <c:pt idx="9">
                  <c:v>42231</c:v>
                </c:pt>
                <c:pt idx="10">
                  <c:v>42262</c:v>
                </c:pt>
                <c:pt idx="11">
                  <c:v>42292</c:v>
                </c:pt>
                <c:pt idx="12">
                  <c:v>42323</c:v>
                </c:pt>
              </c:numCache>
            </c:numRef>
          </c:cat>
          <c:val>
            <c:numRef>
              <c:f>'IV.2.3.Pagos_SFS M'!$G$4:$G$16</c:f>
              <c:numCache>
                <c:formatCode>_(* #,##0.00_);_(* \(#,##0.00\);_(* "-"??_);_(@_)</c:formatCode>
                <c:ptCount val="13"/>
                <c:pt idx="0">
                  <c:v>0</c:v>
                </c:pt>
                <c:pt idx="1">
                  <c:v>0</c:v>
                </c:pt>
                <c:pt idx="2">
                  <c:v>0</c:v>
                </c:pt>
                <c:pt idx="3">
                  <c:v>0</c:v>
                </c:pt>
                <c:pt idx="4">
                  <c:v>0</c:v>
                </c:pt>
                <c:pt idx="5">
                  <c:v>38440452</c:v>
                </c:pt>
                <c:pt idx="6">
                  <c:v>12813484</c:v>
                </c:pt>
                <c:pt idx="7">
                  <c:v>12813484</c:v>
                </c:pt>
                <c:pt idx="8">
                  <c:v>12813484</c:v>
                </c:pt>
                <c:pt idx="9">
                  <c:v>12813484</c:v>
                </c:pt>
                <c:pt idx="10">
                  <c:v>0</c:v>
                </c:pt>
                <c:pt idx="11">
                  <c:v>12813484</c:v>
                </c:pt>
                <c:pt idx="12">
                  <c:v>12813484</c:v>
                </c:pt>
              </c:numCache>
            </c:numRef>
          </c:val>
        </c:ser>
        <c:dLbls>
          <c:showLegendKey val="0"/>
          <c:showVal val="0"/>
          <c:showCatName val="0"/>
          <c:showSerName val="0"/>
          <c:showPercent val="0"/>
          <c:showBubbleSize val="0"/>
        </c:dLbls>
        <c:gapWidth val="25"/>
        <c:shape val="cylinder"/>
        <c:axId val="372817648"/>
        <c:axId val="372818040"/>
        <c:axId val="0"/>
        <c:extLst>
          <c:ext xmlns:c15="http://schemas.microsoft.com/office/drawing/2012/chart" uri="{02D57815-91ED-43cb-92C2-25804820EDAC}">
            <c15:filteredBarSeries>
              <c15:ser>
                <c:idx val="5"/>
                <c:order val="5"/>
                <c:tx>
                  <c:strRef>
                    <c:extLst>
                      <c:ext uri="{02D57815-91ED-43cb-92C2-25804820EDAC}">
                        <c15:formulaRef>
                          <c15:sqref>'IV.1.2.3 Dip. SFS mensual'!#REF!</c15:sqref>
                        </c15:formulaRef>
                      </c:ext>
                    </c:extLst>
                    <c:strCache>
                      <c:ptCount val="1"/>
                      <c:pt idx="0">
                        <c:v>#REF!</c:v>
                      </c:pt>
                    </c:strCache>
                  </c:strRef>
                </c:tx>
                <c:invertIfNegative val="0"/>
                <c:cat>
                  <c:numRef>
                    <c:extLst>
                      <c:ext uri="{02D57815-91ED-43cb-92C2-25804820EDAC}">
                        <c15:formulaRef>
                          <c15:sqref>'IV.2.3.Pagos_SFS M'!$A$4:$A$16</c15:sqref>
                        </c15:formulaRef>
                      </c:ext>
                    </c:extLst>
                    <c:numCache>
                      <c:formatCode>mmm\-yy</c:formatCode>
                      <c:ptCount val="13"/>
                      <c:pt idx="0">
                        <c:v>41957</c:v>
                      </c:pt>
                      <c:pt idx="1">
                        <c:v>41987</c:v>
                      </c:pt>
                      <c:pt idx="2">
                        <c:v>42019</c:v>
                      </c:pt>
                      <c:pt idx="3">
                        <c:v>42050</c:v>
                      </c:pt>
                      <c:pt idx="4">
                        <c:v>42078</c:v>
                      </c:pt>
                      <c:pt idx="5">
                        <c:v>42109</c:v>
                      </c:pt>
                      <c:pt idx="6">
                        <c:v>42139</c:v>
                      </c:pt>
                      <c:pt idx="7">
                        <c:v>42170</c:v>
                      </c:pt>
                      <c:pt idx="8">
                        <c:v>42200</c:v>
                      </c:pt>
                      <c:pt idx="9">
                        <c:v>42231</c:v>
                      </c:pt>
                      <c:pt idx="10">
                        <c:v>42262</c:v>
                      </c:pt>
                      <c:pt idx="11">
                        <c:v>42292</c:v>
                      </c:pt>
                      <c:pt idx="12">
                        <c:v>42323</c:v>
                      </c:pt>
                    </c:numCache>
                  </c:numRef>
                </c:cat>
                <c:val>
                  <c:numRef>
                    <c:extLst>
                      <c:ext uri="{02D57815-91ED-43cb-92C2-25804820EDAC}">
                        <c15:formulaRef>
                          <c15:sqref>'IV.1.2.3 Dip. SFS mensual'!#REF!</c15:sqref>
                        </c15:formulaRef>
                      </c:ext>
                    </c:extLst>
                    <c:numCache>
                      <c:formatCode>General</c:formatCode>
                      <c:ptCount val="1"/>
                      <c:pt idx="0">
                        <c:v>1</c:v>
                      </c:pt>
                    </c:numCache>
                  </c:numRef>
                </c:val>
              </c15:ser>
            </c15:filteredBarSeries>
          </c:ext>
        </c:extLst>
      </c:bar3DChart>
      <c:dateAx>
        <c:axId val="372817648"/>
        <c:scaling>
          <c:orientation val="minMax"/>
        </c:scaling>
        <c:delete val="1"/>
        <c:axPos val="b"/>
        <c:numFmt formatCode="mmm\-yy" sourceLinked="0"/>
        <c:majorTickMark val="none"/>
        <c:minorTickMark val="none"/>
        <c:tickLblPos val="nextTo"/>
        <c:crossAx val="372818040"/>
        <c:crosses val="autoZero"/>
        <c:auto val="1"/>
        <c:lblOffset val="100"/>
        <c:baseTimeUnit val="months"/>
      </c:dateAx>
      <c:valAx>
        <c:axId val="372818040"/>
        <c:scaling>
          <c:orientation val="minMax"/>
        </c:scaling>
        <c:delete val="0"/>
        <c:axPos val="l"/>
        <c:numFmt formatCode="_(* #,##0.00_);_(* \(#,##0.00\);_(* &quot;-&quot;??_);_(@_)" sourceLinked="1"/>
        <c:majorTickMark val="none"/>
        <c:minorTickMark val="none"/>
        <c:tickLblPos val="nextTo"/>
        <c:spPr>
          <a:ln w="9525">
            <a:noFill/>
          </a:ln>
        </c:spPr>
        <c:crossAx val="372817648"/>
        <c:crosses val="autoZero"/>
        <c:crossBetween val="between"/>
        <c:dispUnits>
          <c:builtInUnit val="millions"/>
          <c:dispUnitsLbl>
            <c:layout>
              <c:manualLayout>
                <c:xMode val="edge"/>
                <c:yMode val="edge"/>
                <c:x val="2.0615485564304464E-2"/>
                <c:y val="0.55284357366613368"/>
              </c:manualLayout>
            </c:layout>
            <c:txPr>
              <a:bodyPr/>
              <a:lstStyle/>
              <a:p>
                <a:pPr>
                  <a:defRPr sz="1400" b="0"/>
                </a:pPr>
                <a:endParaRPr lang="es-ES"/>
              </a:p>
            </c:txPr>
          </c:dispUnitsLbl>
        </c:dispUnits>
      </c:valAx>
      <c:spPr>
        <a:noFill/>
        <a:ln w="25400">
          <a:noFill/>
        </a:ln>
      </c:spPr>
    </c:plotArea>
    <c:legend>
      <c:legendPos val="t"/>
      <c:layout>
        <c:manualLayout>
          <c:xMode val="edge"/>
          <c:yMode val="edge"/>
          <c:x val="0.17594710533794741"/>
          <c:y val="7.5148391054388572E-2"/>
          <c:w val="0.82405288541844512"/>
          <c:h val="4.5512861909038076E-2"/>
        </c:manualLayout>
      </c:layout>
      <c:overlay val="0"/>
      <c:txPr>
        <a:bodyPr/>
        <a:lstStyle/>
        <a:p>
          <a:pPr>
            <a:defRPr sz="1400"/>
          </a:pPr>
          <a:endParaRPr lang="es-ES"/>
        </a:p>
      </c:txPr>
    </c:legend>
    <c:plotVisOnly val="1"/>
    <c:dispBlanksAs val="gap"/>
    <c:showDLblsOverMax val="0"/>
  </c:chart>
  <c:spPr>
    <a:ln>
      <a:noFill/>
    </a:ln>
  </c:spPr>
  <c:printSettings>
    <c:headerFooter/>
    <c:pageMargins b="0.75" l="0.7" r="0.7" t="0.75" header="0.3" footer="0.3"/>
    <c:pageSetup orientation="portrait"/>
  </c:printSettings>
  <c:userShapes r:id="rId1"/>
</c:chartSpace>
</file>

<file path=xl/charts/chart4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600"/>
            </a:pPr>
            <a:r>
              <a:rPr lang="es-DO" sz="1600" b="1">
                <a:effectLst/>
              </a:rPr>
              <a:t>Fondos Pagados a las  Administradora de Riesgos de Salud (ARS) del SFS del RC</a:t>
            </a:r>
          </a:p>
        </c:rich>
      </c:tx>
      <c:layout>
        <c:manualLayout>
          <c:xMode val="edge"/>
          <c:yMode val="edge"/>
          <c:x val="0.2649984446638049"/>
          <c:y val="2.8576144492073168E-2"/>
        </c:manualLayout>
      </c:layout>
      <c:overlay val="0"/>
    </c:title>
    <c:autoTitleDeleted val="0"/>
    <c:plotArea>
      <c:layout>
        <c:manualLayout>
          <c:layoutTarget val="inner"/>
          <c:xMode val="edge"/>
          <c:yMode val="edge"/>
          <c:x val="0.15583254326955748"/>
          <c:y val="0.12392888485052515"/>
          <c:w val="0.69335838555462193"/>
          <c:h val="0.79029768587594984"/>
        </c:manualLayout>
      </c:layout>
      <c:barChart>
        <c:barDir val="bar"/>
        <c:grouping val="clustered"/>
        <c:varyColors val="0"/>
        <c:ser>
          <c:idx val="0"/>
          <c:order val="0"/>
          <c:tx>
            <c:strRef>
              <c:f>'IV.2.4.Pagos x ARS'!$C$3</c:f>
              <c:strCache>
                <c:ptCount val="1"/>
                <c:pt idx="0">
                  <c:v>Total 
Sep.07 -Nov.2015</c:v>
                </c:pt>
              </c:strCache>
            </c:strRef>
          </c:tx>
          <c:invertIfNegative val="0"/>
          <c:dPt>
            <c:idx val="0"/>
            <c:invertIfNegative val="0"/>
            <c:bubble3D val="0"/>
            <c:spPr>
              <a:solidFill>
                <a:schemeClr val="tx2">
                  <a:lumMod val="60000"/>
                  <a:lumOff val="40000"/>
                </a:schemeClr>
              </a:solidFill>
            </c:spPr>
          </c:dPt>
          <c:dPt>
            <c:idx val="1"/>
            <c:invertIfNegative val="0"/>
            <c:bubble3D val="0"/>
            <c:spPr>
              <a:solidFill>
                <a:schemeClr val="tx2">
                  <a:lumMod val="60000"/>
                  <a:lumOff val="40000"/>
                </a:schemeClr>
              </a:solidFill>
            </c:spPr>
          </c:dPt>
          <c:dPt>
            <c:idx val="2"/>
            <c:invertIfNegative val="0"/>
            <c:bubble3D val="0"/>
            <c:spPr>
              <a:solidFill>
                <a:schemeClr val="accent5">
                  <a:lumMod val="50000"/>
                </a:schemeClr>
              </a:solidFill>
            </c:spPr>
          </c:dPt>
          <c:dPt>
            <c:idx val="3"/>
            <c:invertIfNegative val="0"/>
            <c:bubble3D val="0"/>
            <c:spPr>
              <a:solidFill>
                <a:schemeClr val="tx2">
                  <a:lumMod val="60000"/>
                  <a:lumOff val="40000"/>
                </a:schemeClr>
              </a:solidFill>
            </c:spPr>
          </c:dPt>
          <c:dPt>
            <c:idx val="4"/>
            <c:invertIfNegative val="0"/>
            <c:bubble3D val="0"/>
            <c:spPr>
              <a:solidFill>
                <a:srgbClr val="00B050"/>
              </a:solidFill>
            </c:spPr>
          </c:dPt>
          <c:dPt>
            <c:idx val="5"/>
            <c:invertIfNegative val="0"/>
            <c:bubble3D val="0"/>
            <c:spPr>
              <a:solidFill>
                <a:srgbClr val="00B050"/>
              </a:solidFill>
            </c:spPr>
          </c:dPt>
          <c:dPt>
            <c:idx val="6"/>
            <c:invertIfNegative val="0"/>
            <c:bubble3D val="0"/>
            <c:spPr>
              <a:solidFill>
                <a:srgbClr val="FF0000"/>
              </a:solidFill>
            </c:spPr>
          </c:dPt>
          <c:dPt>
            <c:idx val="7"/>
            <c:invertIfNegative val="0"/>
            <c:bubble3D val="0"/>
            <c:spPr>
              <a:solidFill>
                <a:schemeClr val="tx2">
                  <a:lumMod val="60000"/>
                  <a:lumOff val="40000"/>
                </a:schemeClr>
              </a:solidFill>
            </c:spPr>
          </c:dPt>
          <c:dPt>
            <c:idx val="8"/>
            <c:invertIfNegative val="0"/>
            <c:bubble3D val="0"/>
            <c:spPr>
              <a:solidFill>
                <a:schemeClr val="tx2">
                  <a:lumMod val="60000"/>
                  <a:lumOff val="40000"/>
                </a:schemeClr>
              </a:solidFill>
            </c:spPr>
          </c:dPt>
          <c:dPt>
            <c:idx val="9"/>
            <c:invertIfNegative val="0"/>
            <c:bubble3D val="0"/>
            <c:spPr>
              <a:solidFill>
                <a:srgbClr val="FF0000"/>
              </a:solidFill>
            </c:spPr>
          </c:dPt>
          <c:dPt>
            <c:idx val="10"/>
            <c:invertIfNegative val="0"/>
            <c:bubble3D val="0"/>
            <c:spPr>
              <a:solidFill>
                <a:schemeClr val="tx2">
                  <a:lumMod val="60000"/>
                  <a:lumOff val="40000"/>
                </a:schemeClr>
              </a:solidFill>
            </c:spPr>
          </c:dPt>
          <c:dPt>
            <c:idx val="11"/>
            <c:invertIfNegative val="0"/>
            <c:bubble3D val="0"/>
            <c:spPr>
              <a:solidFill>
                <a:schemeClr val="tx2">
                  <a:lumMod val="60000"/>
                  <a:lumOff val="40000"/>
                </a:schemeClr>
              </a:solidFill>
            </c:spPr>
          </c:dPt>
          <c:dPt>
            <c:idx val="12"/>
            <c:invertIfNegative val="0"/>
            <c:bubble3D val="0"/>
            <c:spPr>
              <a:solidFill>
                <a:schemeClr val="tx2">
                  <a:lumMod val="60000"/>
                  <a:lumOff val="40000"/>
                </a:schemeClr>
              </a:solidFill>
            </c:spPr>
          </c:dPt>
          <c:dPt>
            <c:idx val="13"/>
            <c:invertIfNegative val="0"/>
            <c:bubble3D val="0"/>
            <c:spPr>
              <a:solidFill>
                <a:srgbClr val="00B050"/>
              </a:solidFill>
            </c:spPr>
          </c:dPt>
          <c:dPt>
            <c:idx val="14"/>
            <c:invertIfNegative val="0"/>
            <c:bubble3D val="0"/>
            <c:spPr>
              <a:solidFill>
                <a:schemeClr val="tx2">
                  <a:lumMod val="60000"/>
                  <a:lumOff val="40000"/>
                </a:schemeClr>
              </a:solidFill>
            </c:spPr>
          </c:dPt>
          <c:dPt>
            <c:idx val="15"/>
            <c:invertIfNegative val="0"/>
            <c:bubble3D val="0"/>
            <c:spPr>
              <a:solidFill>
                <a:srgbClr val="00B050"/>
              </a:solidFill>
            </c:spPr>
          </c:dPt>
          <c:dPt>
            <c:idx val="16"/>
            <c:invertIfNegative val="0"/>
            <c:bubble3D val="0"/>
            <c:spPr>
              <a:solidFill>
                <a:schemeClr val="tx2">
                  <a:lumMod val="60000"/>
                  <a:lumOff val="40000"/>
                </a:schemeClr>
              </a:solidFill>
            </c:spPr>
          </c:dPt>
          <c:dPt>
            <c:idx val="17"/>
            <c:invertIfNegative val="0"/>
            <c:bubble3D val="0"/>
            <c:spPr>
              <a:solidFill>
                <a:schemeClr val="tx2">
                  <a:lumMod val="60000"/>
                  <a:lumOff val="40000"/>
                </a:schemeClr>
              </a:solidFill>
            </c:spPr>
          </c:dPt>
          <c:dPt>
            <c:idx val="18"/>
            <c:invertIfNegative val="0"/>
            <c:bubble3D val="0"/>
            <c:spPr>
              <a:solidFill>
                <a:schemeClr val="tx2">
                  <a:lumMod val="60000"/>
                  <a:lumOff val="40000"/>
                </a:schemeClr>
              </a:solidFill>
            </c:spPr>
          </c:dPt>
          <c:dPt>
            <c:idx val="19"/>
            <c:invertIfNegative val="0"/>
            <c:bubble3D val="0"/>
            <c:spPr>
              <a:solidFill>
                <a:schemeClr val="tx2">
                  <a:lumMod val="60000"/>
                  <a:lumOff val="40000"/>
                </a:schemeClr>
              </a:solidFill>
            </c:spPr>
          </c:dPt>
          <c:dPt>
            <c:idx val="20"/>
            <c:invertIfNegative val="0"/>
            <c:bubble3D val="0"/>
            <c:spPr>
              <a:solidFill>
                <a:srgbClr val="00B050"/>
              </a:solidFill>
            </c:spPr>
          </c:dPt>
          <c:dPt>
            <c:idx val="21"/>
            <c:invertIfNegative val="0"/>
            <c:bubble3D val="0"/>
            <c:spPr>
              <a:solidFill>
                <a:srgbClr val="00B050"/>
              </a:solidFill>
            </c:spPr>
          </c:dPt>
          <c:dPt>
            <c:idx val="22"/>
            <c:invertIfNegative val="0"/>
            <c:bubble3D val="0"/>
            <c:spPr>
              <a:solidFill>
                <a:srgbClr val="00B050"/>
              </a:solidFill>
            </c:spPr>
          </c:dPt>
          <c:dPt>
            <c:idx val="23"/>
            <c:invertIfNegative val="0"/>
            <c:bubble3D val="0"/>
            <c:spPr>
              <a:solidFill>
                <a:srgbClr val="FF0000"/>
              </a:solidFill>
            </c:spPr>
          </c:dPt>
          <c:dPt>
            <c:idx val="24"/>
            <c:invertIfNegative val="0"/>
            <c:bubble3D val="0"/>
            <c:spPr>
              <a:solidFill>
                <a:srgbClr val="00B050"/>
              </a:solidFill>
            </c:spPr>
          </c:dPt>
          <c:dPt>
            <c:idx val="25"/>
            <c:invertIfNegative val="0"/>
            <c:bubble3D val="0"/>
            <c:spPr>
              <a:solidFill>
                <a:srgbClr val="FF0000"/>
              </a:solidFill>
            </c:spPr>
          </c:dPt>
          <c:dPt>
            <c:idx val="26"/>
            <c:invertIfNegative val="0"/>
            <c:bubble3D val="0"/>
            <c:spPr>
              <a:solidFill>
                <a:srgbClr val="FF0000"/>
              </a:solidFill>
            </c:spPr>
          </c:dPt>
          <c:dPt>
            <c:idx val="27"/>
            <c:invertIfNegative val="0"/>
            <c:bubble3D val="0"/>
            <c:spPr>
              <a:solidFill>
                <a:srgbClr val="FF0000"/>
              </a:solidFill>
            </c:spPr>
          </c:dPt>
          <c:dPt>
            <c:idx val="28"/>
            <c:invertIfNegative val="0"/>
            <c:bubble3D val="0"/>
            <c:spPr>
              <a:solidFill>
                <a:srgbClr val="FF0000"/>
              </a:solidFill>
            </c:spPr>
          </c:dPt>
          <c:dLbls>
            <c:spPr>
              <a:noFill/>
              <a:ln>
                <a:noFill/>
              </a:ln>
              <a:effectLst/>
            </c:spPr>
            <c:txPr>
              <a:bodyPr/>
              <a:lstStyle/>
              <a:p>
                <a:pPr>
                  <a:defRPr lang="en-US"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'IV.2.4.Pagos x ARS'!$B$4:$B$32</c:f>
              <c:strCache>
                <c:ptCount val="29"/>
                <c:pt idx="0">
                  <c:v>Humano</c:v>
                </c:pt>
                <c:pt idx="1">
                  <c:v>Palic Salud</c:v>
                </c:pt>
                <c:pt idx="2">
                  <c:v>SENASA RC</c:v>
                </c:pt>
                <c:pt idx="3">
                  <c:v>Universal</c:v>
                </c:pt>
                <c:pt idx="4">
                  <c:v>Salud Segura</c:v>
                </c:pt>
                <c:pt idx="5">
                  <c:v>SEMMA</c:v>
                </c:pt>
                <c:pt idx="6">
                  <c:v>Serv. Dominicano de Salud</c:v>
                </c:pt>
                <c:pt idx="7">
                  <c:v>Futuro</c:v>
                </c:pt>
                <c:pt idx="8">
                  <c:v>Serv. de Igualas Méd. Dr. Abel G.</c:v>
                </c:pt>
                <c:pt idx="9">
                  <c:v>La Colonial</c:v>
                </c:pt>
                <c:pt idx="10">
                  <c:v>Dr. Yunen</c:v>
                </c:pt>
                <c:pt idx="11">
                  <c:v>Asoc. de Profesionales de la Salud</c:v>
                </c:pt>
                <c:pt idx="12">
                  <c:v>Renacer</c:v>
                </c:pt>
                <c:pt idx="13">
                  <c:v>Reservas</c:v>
                </c:pt>
                <c:pt idx="14">
                  <c:v>Grupo Med. Asociado</c:v>
                </c:pt>
                <c:pt idx="15">
                  <c:v>CMD</c:v>
                </c:pt>
                <c:pt idx="16">
                  <c:v>Monumental </c:v>
                </c:pt>
                <c:pt idx="17">
                  <c:v>Adm. Serv. Médicos Amor y Paz</c:v>
                </c:pt>
                <c:pt idx="18">
                  <c:v>METASALUD</c:v>
                </c:pt>
                <c:pt idx="19">
                  <c:v>Constitución (ex IGMAN)</c:v>
                </c:pt>
                <c:pt idx="20">
                  <c:v>FFAA</c:v>
                </c:pt>
                <c:pt idx="21">
                  <c:v>Plan Salud </c:v>
                </c:pt>
                <c:pt idx="22">
                  <c:v>ISSPOL</c:v>
                </c:pt>
                <c:pt idx="23">
                  <c:v>IGMAM</c:v>
                </c:pt>
                <c:pt idx="24">
                  <c:v>SEMUNASED</c:v>
                </c:pt>
                <c:pt idx="25">
                  <c:v>Galeno</c:v>
                </c:pt>
                <c:pt idx="26">
                  <c:v>BMI </c:v>
                </c:pt>
                <c:pt idx="27">
                  <c:v>UCEMED</c:v>
                </c:pt>
                <c:pt idx="28">
                  <c:v>Plamedin</c:v>
                </c:pt>
              </c:strCache>
            </c:strRef>
          </c:cat>
          <c:val>
            <c:numRef>
              <c:f>'IV.2.4.Pagos x ARS'!$C$4:$C$32</c:f>
              <c:numCache>
                <c:formatCode>_(* #,##0.00_);_(* \(#,##0.00\);_(* "-"??_);_(@_)</c:formatCode>
                <c:ptCount val="29"/>
                <c:pt idx="0">
                  <c:v>61201802118.369995</c:v>
                </c:pt>
                <c:pt idx="1">
                  <c:v>26402798762.219994</c:v>
                </c:pt>
                <c:pt idx="2">
                  <c:v>24983294049.329998</c:v>
                </c:pt>
                <c:pt idx="3">
                  <c:v>22436497328.240002</c:v>
                </c:pt>
                <c:pt idx="4">
                  <c:v>13521549153.519999</c:v>
                </c:pt>
                <c:pt idx="5">
                  <c:v>9574587332.1799984</c:v>
                </c:pt>
                <c:pt idx="6">
                  <c:v>3119370268.7700009</c:v>
                </c:pt>
                <c:pt idx="7">
                  <c:v>4103925814.9899998</c:v>
                </c:pt>
                <c:pt idx="8">
                  <c:v>2979068532.6400003</c:v>
                </c:pt>
                <c:pt idx="9">
                  <c:v>2163231786.7200003</c:v>
                </c:pt>
                <c:pt idx="10">
                  <c:v>2558450896.2399998</c:v>
                </c:pt>
                <c:pt idx="11">
                  <c:v>2067621660.21</c:v>
                </c:pt>
                <c:pt idx="12">
                  <c:v>2112326456.4300001</c:v>
                </c:pt>
                <c:pt idx="13">
                  <c:v>1783787520.1000001</c:v>
                </c:pt>
                <c:pt idx="14">
                  <c:v>1839172337.0599999</c:v>
                </c:pt>
                <c:pt idx="15">
                  <c:v>1433557292.1099999</c:v>
                </c:pt>
                <c:pt idx="16">
                  <c:v>1420793865.1600001</c:v>
                </c:pt>
                <c:pt idx="17">
                  <c:v>1394237283.5300002</c:v>
                </c:pt>
                <c:pt idx="18">
                  <c:v>1142561373.0200002</c:v>
                </c:pt>
                <c:pt idx="19">
                  <c:v>973720896.85999942</c:v>
                </c:pt>
                <c:pt idx="20">
                  <c:v>538371562.81000006</c:v>
                </c:pt>
                <c:pt idx="21">
                  <c:v>554747250.25</c:v>
                </c:pt>
                <c:pt idx="22">
                  <c:v>387469499.48000002</c:v>
                </c:pt>
                <c:pt idx="23">
                  <c:v>260644027.96000001</c:v>
                </c:pt>
                <c:pt idx="24">
                  <c:v>182597732.30999997</c:v>
                </c:pt>
                <c:pt idx="25">
                  <c:v>114002984.84</c:v>
                </c:pt>
                <c:pt idx="26">
                  <c:v>75538660.520000011</c:v>
                </c:pt>
                <c:pt idx="27">
                  <c:v>65746073.510000005</c:v>
                </c:pt>
                <c:pt idx="28">
                  <c:v>40803540.200000003</c:v>
                </c:pt>
              </c:numCache>
            </c:numRef>
          </c:val>
        </c:ser>
        <c:dLbls>
          <c:showLegendKey val="0"/>
          <c:showVal val="0"/>
          <c:showCatName val="0"/>
          <c:showSerName val="0"/>
          <c:showPercent val="0"/>
          <c:showBubbleSize val="0"/>
        </c:dLbls>
        <c:gapWidth val="20"/>
        <c:axId val="372819608"/>
        <c:axId val="372820000"/>
      </c:barChart>
      <c:catAx>
        <c:axId val="372819608"/>
        <c:scaling>
          <c:orientation val="minMax"/>
        </c:scaling>
        <c:delete val="0"/>
        <c:axPos val="l"/>
        <c:numFmt formatCode="General" sourceLinked="1"/>
        <c:majorTickMark val="out"/>
        <c:minorTickMark val="none"/>
        <c:tickLblPos val="nextTo"/>
        <c:txPr>
          <a:bodyPr/>
          <a:lstStyle/>
          <a:p>
            <a:pPr>
              <a:defRPr lang="en-US" sz="1000"/>
            </a:pPr>
            <a:endParaRPr lang="es-ES"/>
          </a:p>
        </c:txPr>
        <c:crossAx val="372820000"/>
        <c:crosses val="autoZero"/>
        <c:auto val="1"/>
        <c:lblAlgn val="ctr"/>
        <c:lblOffset val="100"/>
        <c:noMultiLvlLbl val="0"/>
      </c:catAx>
      <c:valAx>
        <c:axId val="372820000"/>
        <c:scaling>
          <c:orientation val="minMax"/>
        </c:scaling>
        <c:delete val="1"/>
        <c:axPos val="b"/>
        <c:numFmt formatCode="_(* #,##0.00_);_(* \(#,##0.00\);_(* &quot;-&quot;??_);_(@_)" sourceLinked="1"/>
        <c:majorTickMark val="out"/>
        <c:minorTickMark val="none"/>
        <c:tickLblPos val="nextTo"/>
        <c:crossAx val="372819608"/>
        <c:crosses val="autoZero"/>
        <c:crossBetween val="between"/>
      </c:valAx>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800"/>
            </a:pPr>
            <a:r>
              <a:rPr lang="en-US" sz="2800"/>
              <a:t>Afiliación</a:t>
            </a:r>
            <a:r>
              <a:rPr lang="en-US" sz="2800" baseline="0"/>
              <a:t> del </a:t>
            </a:r>
            <a:r>
              <a:rPr lang="en-US" sz="2800"/>
              <a:t>SFS a la Población Nacional</a:t>
            </a:r>
          </a:p>
        </c:rich>
      </c:tx>
      <c:layout>
        <c:manualLayout>
          <c:xMode val="edge"/>
          <c:yMode val="edge"/>
          <c:x val="0.34294991817156434"/>
          <c:y val="1.9867480618771333E-2"/>
        </c:manualLayout>
      </c:layout>
      <c:overlay val="0"/>
    </c:title>
    <c:autoTitleDeleted val="0"/>
    <c:plotArea>
      <c:layout>
        <c:manualLayout>
          <c:layoutTarget val="inner"/>
          <c:xMode val="edge"/>
          <c:yMode val="edge"/>
          <c:x val="6.4822906967996113E-2"/>
          <c:y val="0.14360093295015819"/>
          <c:w val="0.87238438386058159"/>
          <c:h val="0.6429641109850337"/>
        </c:manualLayout>
      </c:layout>
      <c:barChart>
        <c:barDir val="col"/>
        <c:grouping val="clustered"/>
        <c:varyColors val="0"/>
        <c:ser>
          <c:idx val="0"/>
          <c:order val="0"/>
          <c:tx>
            <c:strRef>
              <c:f>III.1.3.Afil.SFSPob.Nac.!$C$3</c:f>
              <c:strCache>
                <c:ptCount val="1"/>
                <c:pt idx="0">
                  <c:v>Población Nacional Total</c:v>
                </c:pt>
              </c:strCache>
            </c:strRef>
          </c:tx>
          <c:spPr>
            <a:solidFill>
              <a:srgbClr val="0070C0"/>
            </a:solidFill>
          </c:spPr>
          <c:invertIfNegative val="0"/>
          <c:dLbls>
            <c:spPr>
              <a:noFill/>
              <a:ln>
                <a:noFill/>
              </a:ln>
              <a:effectLst/>
            </c:spPr>
            <c:txPr>
              <a:bodyPr/>
              <a:lstStyle/>
              <a:p>
                <a:pPr>
                  <a:defRPr sz="20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III.1.3.Afil.SFSPob.Nac.!$A$4:$A$14</c:f>
              <c:strCache>
                <c:ptCount val="11"/>
                <c:pt idx="0">
                  <c:v>2005</c:v>
                </c:pt>
                <c:pt idx="1">
                  <c:v>2006</c:v>
                </c:pt>
                <c:pt idx="2">
                  <c:v>2007</c:v>
                </c:pt>
                <c:pt idx="3">
                  <c:v>2008</c:v>
                </c:pt>
                <c:pt idx="4">
                  <c:v>2009</c:v>
                </c:pt>
                <c:pt idx="5">
                  <c:v>2010</c:v>
                </c:pt>
                <c:pt idx="6">
                  <c:v>2011</c:v>
                </c:pt>
                <c:pt idx="7">
                  <c:v>2012</c:v>
                </c:pt>
                <c:pt idx="8">
                  <c:v>2013</c:v>
                </c:pt>
                <c:pt idx="9">
                  <c:v>2014</c:v>
                </c:pt>
                <c:pt idx="10">
                  <c:v>Nov.15</c:v>
                </c:pt>
              </c:strCache>
            </c:strRef>
          </c:cat>
          <c:val>
            <c:numRef>
              <c:f>III.1.3.Afil.SFSPob.Nac.!$C$4:$C$14</c:f>
              <c:numCache>
                <c:formatCode>#,##0_);[Red]\(#,##0\)</c:formatCode>
                <c:ptCount val="11"/>
                <c:pt idx="0">
                  <c:v>9020226</c:v>
                </c:pt>
                <c:pt idx="1">
                  <c:v>9123786.5</c:v>
                </c:pt>
                <c:pt idx="2">
                  <c:v>9226223</c:v>
                </c:pt>
                <c:pt idx="3">
                  <c:v>9327818</c:v>
                </c:pt>
                <c:pt idx="4">
                  <c:v>9428533.4999999963</c:v>
                </c:pt>
                <c:pt idx="5">
                  <c:v>9529297.5000000037</c:v>
                </c:pt>
                <c:pt idx="6">
                  <c:v>9630258.5</c:v>
                </c:pt>
                <c:pt idx="7">
                  <c:v>9730638.5</c:v>
                </c:pt>
                <c:pt idx="8">
                  <c:v>9830624</c:v>
                </c:pt>
                <c:pt idx="9">
                  <c:v>9930374</c:v>
                </c:pt>
                <c:pt idx="10">
                  <c:v>10020050</c:v>
                </c:pt>
              </c:numCache>
            </c:numRef>
          </c:val>
        </c:ser>
        <c:dLbls>
          <c:showLegendKey val="0"/>
          <c:showVal val="0"/>
          <c:showCatName val="0"/>
          <c:showSerName val="0"/>
          <c:showPercent val="0"/>
          <c:showBubbleSize val="0"/>
        </c:dLbls>
        <c:gapWidth val="39"/>
        <c:axId val="380003760"/>
        <c:axId val="380007288"/>
      </c:barChart>
      <c:lineChart>
        <c:grouping val="standard"/>
        <c:varyColors val="0"/>
        <c:ser>
          <c:idx val="1"/>
          <c:order val="1"/>
          <c:tx>
            <c:strRef>
              <c:f>III.1.3.Afil.SFSPob.Nac.!$D$3</c:f>
              <c:strCache>
                <c:ptCount val="1"/>
                <c:pt idx="0">
                  <c:v>% Población Total Afiliada al  SFS</c:v>
                </c:pt>
              </c:strCache>
            </c:strRef>
          </c:tx>
          <c:spPr>
            <a:ln>
              <a:noFill/>
            </a:ln>
            <a:effectLst>
              <a:glow rad="228600">
                <a:schemeClr val="accent2">
                  <a:satMod val="175000"/>
                  <a:alpha val="40000"/>
                </a:schemeClr>
              </a:glow>
            </a:effectLst>
          </c:spPr>
          <c:marker>
            <c:symbol val="circle"/>
            <c:size val="13"/>
            <c:spPr>
              <a:gradFill>
                <a:gsLst>
                  <a:gs pos="0">
                    <a:srgbClr val="FFF200"/>
                  </a:gs>
                  <a:gs pos="45000">
                    <a:srgbClr val="FF7A00"/>
                  </a:gs>
                  <a:gs pos="70000">
                    <a:srgbClr val="FF0300"/>
                  </a:gs>
                  <a:gs pos="100000">
                    <a:srgbClr val="4D0808"/>
                  </a:gs>
                </a:gsLst>
                <a:lin ang="5400000" scaled="0"/>
              </a:gradFill>
              <a:ln>
                <a:noFill/>
              </a:ln>
              <a:effectLst>
                <a:glow rad="228600">
                  <a:schemeClr val="accent2">
                    <a:satMod val="175000"/>
                    <a:alpha val="40000"/>
                  </a:schemeClr>
                </a:glow>
              </a:effectLst>
            </c:spPr>
          </c:marker>
          <c:dLbls>
            <c:spPr>
              <a:noFill/>
              <a:ln>
                <a:noFill/>
              </a:ln>
              <a:effectLst/>
            </c:spPr>
            <c:txPr>
              <a:bodyPr/>
              <a:lstStyle/>
              <a:p>
                <a:pPr>
                  <a:defRPr sz="2400" b="1">
                    <a:solidFill>
                      <a:schemeClr val="bg1"/>
                    </a:solidFill>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III.1.3.Afil.SFSPob.Nac.!$A$4:$A$14</c:f>
              <c:strCache>
                <c:ptCount val="11"/>
                <c:pt idx="0">
                  <c:v>2005</c:v>
                </c:pt>
                <c:pt idx="1">
                  <c:v>2006</c:v>
                </c:pt>
                <c:pt idx="2">
                  <c:v>2007</c:v>
                </c:pt>
                <c:pt idx="3">
                  <c:v>2008</c:v>
                </c:pt>
                <c:pt idx="4">
                  <c:v>2009</c:v>
                </c:pt>
                <c:pt idx="5">
                  <c:v>2010</c:v>
                </c:pt>
                <c:pt idx="6">
                  <c:v>2011</c:v>
                </c:pt>
                <c:pt idx="7">
                  <c:v>2012</c:v>
                </c:pt>
                <c:pt idx="8">
                  <c:v>2013</c:v>
                </c:pt>
                <c:pt idx="9">
                  <c:v>2014</c:v>
                </c:pt>
                <c:pt idx="10">
                  <c:v>Nov.15</c:v>
                </c:pt>
              </c:strCache>
            </c:strRef>
          </c:cat>
          <c:val>
            <c:numRef>
              <c:f>III.1.3.Afil.SFSPob.Nac.!$D$4:$D$14</c:f>
              <c:numCache>
                <c:formatCode>0.0%</c:formatCode>
                <c:ptCount val="11"/>
                <c:pt idx="0">
                  <c:v>2.8089540106866501E-2</c:v>
                </c:pt>
                <c:pt idx="1">
                  <c:v>5.6340643218689958E-2</c:v>
                </c:pt>
                <c:pt idx="2">
                  <c:v>0.27737428414639448</c:v>
                </c:pt>
                <c:pt idx="3">
                  <c:v>0.31273734114452062</c:v>
                </c:pt>
                <c:pt idx="4">
                  <c:v>0.37275213584381933</c:v>
                </c:pt>
                <c:pt idx="5">
                  <c:v>0.46225590081535373</c:v>
                </c:pt>
                <c:pt idx="6">
                  <c:v>0.47252895651762616</c:v>
                </c:pt>
                <c:pt idx="7">
                  <c:v>0.51614958257877941</c:v>
                </c:pt>
                <c:pt idx="8">
                  <c:v>0.57354772189435788</c:v>
                </c:pt>
                <c:pt idx="9">
                  <c:v>0.62309989533123322</c:v>
                </c:pt>
                <c:pt idx="10">
                  <c:v>0.64778658789127797</c:v>
                </c:pt>
              </c:numCache>
            </c:numRef>
          </c:val>
          <c:smooth val="0"/>
        </c:ser>
        <c:dLbls>
          <c:showLegendKey val="0"/>
          <c:showVal val="0"/>
          <c:showCatName val="0"/>
          <c:showSerName val="0"/>
          <c:showPercent val="0"/>
          <c:showBubbleSize val="0"/>
        </c:dLbls>
        <c:marker val="1"/>
        <c:smooth val="0"/>
        <c:axId val="379992392"/>
        <c:axId val="380004544"/>
      </c:lineChart>
      <c:catAx>
        <c:axId val="380003760"/>
        <c:scaling>
          <c:orientation val="minMax"/>
        </c:scaling>
        <c:delete val="0"/>
        <c:axPos val="b"/>
        <c:numFmt formatCode="General" sourceLinked="0"/>
        <c:majorTickMark val="none"/>
        <c:minorTickMark val="none"/>
        <c:tickLblPos val="nextTo"/>
        <c:txPr>
          <a:bodyPr/>
          <a:lstStyle/>
          <a:p>
            <a:pPr>
              <a:defRPr sz="1800"/>
            </a:pPr>
            <a:endParaRPr lang="es-ES"/>
          </a:p>
        </c:txPr>
        <c:crossAx val="380007288"/>
        <c:crosses val="autoZero"/>
        <c:auto val="1"/>
        <c:lblAlgn val="ctr"/>
        <c:lblOffset val="100"/>
        <c:noMultiLvlLbl val="0"/>
      </c:catAx>
      <c:valAx>
        <c:axId val="380007288"/>
        <c:scaling>
          <c:orientation val="minMax"/>
        </c:scaling>
        <c:delete val="0"/>
        <c:axPos val="l"/>
        <c:numFmt formatCode="#,##0_);[Red]\(#,##0\)" sourceLinked="1"/>
        <c:majorTickMark val="none"/>
        <c:minorTickMark val="none"/>
        <c:tickLblPos val="nextTo"/>
        <c:txPr>
          <a:bodyPr/>
          <a:lstStyle/>
          <a:p>
            <a:pPr>
              <a:defRPr sz="1200"/>
            </a:pPr>
            <a:endParaRPr lang="es-ES"/>
          </a:p>
        </c:txPr>
        <c:crossAx val="380003760"/>
        <c:crosses val="autoZero"/>
        <c:crossBetween val="between"/>
      </c:valAx>
      <c:valAx>
        <c:axId val="380004544"/>
        <c:scaling>
          <c:orientation val="minMax"/>
          <c:max val="1"/>
        </c:scaling>
        <c:delete val="0"/>
        <c:axPos val="r"/>
        <c:numFmt formatCode="0.0%" sourceLinked="1"/>
        <c:majorTickMark val="out"/>
        <c:minorTickMark val="none"/>
        <c:tickLblPos val="nextTo"/>
        <c:txPr>
          <a:bodyPr/>
          <a:lstStyle/>
          <a:p>
            <a:pPr>
              <a:defRPr sz="1200"/>
            </a:pPr>
            <a:endParaRPr lang="es-ES"/>
          </a:p>
        </c:txPr>
        <c:crossAx val="379992392"/>
        <c:crosses val="max"/>
        <c:crossBetween val="between"/>
      </c:valAx>
      <c:catAx>
        <c:axId val="379992392"/>
        <c:scaling>
          <c:orientation val="minMax"/>
        </c:scaling>
        <c:delete val="1"/>
        <c:axPos val="b"/>
        <c:numFmt formatCode="General" sourceLinked="1"/>
        <c:majorTickMark val="out"/>
        <c:minorTickMark val="none"/>
        <c:tickLblPos val="nextTo"/>
        <c:crossAx val="380004544"/>
        <c:crosses val="autoZero"/>
        <c:auto val="1"/>
        <c:lblAlgn val="ctr"/>
        <c:lblOffset val="100"/>
        <c:noMultiLvlLbl val="0"/>
      </c:catAx>
    </c:plotArea>
    <c:legend>
      <c:legendPos val="t"/>
      <c:layout>
        <c:manualLayout>
          <c:xMode val="edge"/>
          <c:yMode val="edge"/>
          <c:x val="0.31835316219721033"/>
          <c:y val="7.2909572777144049E-2"/>
          <c:w val="0.34152028152573005"/>
          <c:h val="4.6539881896478931E-2"/>
        </c:manualLayout>
      </c:layout>
      <c:overlay val="0"/>
      <c:txPr>
        <a:bodyPr/>
        <a:lstStyle/>
        <a:p>
          <a:pPr>
            <a:defRPr sz="18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5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floor>
    <c:sideWall>
      <c:thickness val="0"/>
    </c:sideWall>
    <c:backWall>
      <c:thickness val="0"/>
    </c:backWall>
    <c:plotArea>
      <c:layout>
        <c:manualLayout>
          <c:layoutTarget val="inner"/>
          <c:xMode val="edge"/>
          <c:yMode val="edge"/>
          <c:x val="0.1922819946518404"/>
          <c:y val="7.9817225715919551E-2"/>
          <c:w val="0.6463860398999558"/>
          <c:h val="0.80986004378097798"/>
        </c:manualLayout>
      </c:layout>
      <c:bar3DChart>
        <c:barDir val="bar"/>
        <c:grouping val="clustered"/>
        <c:varyColors val="0"/>
        <c:ser>
          <c:idx val="0"/>
          <c:order val="0"/>
          <c:invertIfNegative val="0"/>
          <c:dPt>
            <c:idx val="2"/>
            <c:invertIfNegative val="0"/>
            <c:bubble3D val="0"/>
            <c:spPr>
              <a:blipFill>
                <a:blip xmlns:r="http://schemas.openxmlformats.org/officeDocument/2006/relationships" r:embed="rId1"/>
                <a:stretch>
                  <a:fillRect/>
                </a:stretch>
              </a:blipFill>
            </c:spPr>
          </c:dPt>
          <c:dPt>
            <c:idx val="5"/>
            <c:invertIfNegative val="0"/>
            <c:bubble3D val="0"/>
            <c:spPr>
              <a:solidFill>
                <a:srgbClr val="00B050"/>
              </a:solidFill>
            </c:spPr>
          </c:dPt>
          <c:dPt>
            <c:idx val="12"/>
            <c:invertIfNegative val="0"/>
            <c:bubble3D val="0"/>
            <c:spPr>
              <a:solidFill>
                <a:schemeClr val="tx2">
                  <a:lumMod val="60000"/>
                  <a:lumOff val="40000"/>
                </a:schemeClr>
              </a:solidFill>
            </c:spPr>
          </c:dPt>
          <c:dPt>
            <c:idx val="13"/>
            <c:invertIfNegative val="0"/>
            <c:bubble3D val="0"/>
            <c:spPr>
              <a:solidFill>
                <a:schemeClr val="tx2">
                  <a:lumMod val="60000"/>
                  <a:lumOff val="40000"/>
                </a:schemeClr>
              </a:solidFill>
            </c:spPr>
          </c:dPt>
          <c:dPt>
            <c:idx val="14"/>
            <c:invertIfNegative val="0"/>
            <c:bubble3D val="0"/>
            <c:spPr>
              <a:solidFill>
                <a:srgbClr val="00B050"/>
              </a:solidFill>
            </c:spPr>
          </c:dPt>
          <c:dPt>
            <c:idx val="17"/>
            <c:invertIfNegative val="0"/>
            <c:bubble3D val="0"/>
            <c:spPr>
              <a:solidFill>
                <a:srgbClr val="00B050"/>
              </a:solidFill>
            </c:spPr>
          </c:dPt>
          <c:dPt>
            <c:idx val="18"/>
            <c:invertIfNegative val="0"/>
            <c:bubble3D val="0"/>
            <c:spPr>
              <a:solidFill>
                <a:srgbClr val="00B050"/>
              </a:solidFill>
            </c:spPr>
          </c:dPt>
          <c:dPt>
            <c:idx val="19"/>
            <c:invertIfNegative val="0"/>
            <c:bubble3D val="0"/>
            <c:spPr>
              <a:solidFill>
                <a:srgbClr val="00B050"/>
              </a:solidFill>
            </c:spPr>
          </c:dPt>
          <c:dPt>
            <c:idx val="20"/>
            <c:invertIfNegative val="0"/>
            <c:bubble3D val="0"/>
            <c:spPr>
              <a:solidFill>
                <a:srgbClr val="00B050"/>
              </a:solidFill>
            </c:spPr>
          </c:dPt>
          <c:dPt>
            <c:idx val="21"/>
            <c:invertIfNegative val="0"/>
            <c:bubble3D val="0"/>
            <c:spPr>
              <a:solidFill>
                <a:srgbClr val="00B050"/>
              </a:solidFill>
            </c:spPr>
          </c:dPt>
          <c:dPt>
            <c:idx val="22"/>
            <c:invertIfNegative val="0"/>
            <c:bubble3D val="0"/>
            <c:spPr>
              <a:solidFill>
                <a:schemeClr val="accent6">
                  <a:lumMod val="50000"/>
                </a:schemeClr>
              </a:solidFill>
            </c:spPr>
          </c:dPt>
          <c:dPt>
            <c:idx val="24"/>
            <c:invertIfNegative val="0"/>
            <c:bubble3D val="0"/>
            <c:spPr>
              <a:solidFill>
                <a:schemeClr val="accent6">
                  <a:lumMod val="50000"/>
                </a:schemeClr>
              </a:solidFill>
            </c:spPr>
          </c:dPt>
          <c:dLbls>
            <c:dLbl>
              <c:idx val="0"/>
              <c:layout>
                <c:manualLayout>
                  <c:x val="9.4546978978989789E-3"/>
                  <c:y val="-4.6937288178783478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0800385837405861E-2"/>
                  <c:y val="-3.8834951456310678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5.4001929187029304E-3"/>
                  <c:y val="1.294498381876927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5.4001929187029304E-3"/>
                  <c:y val="1.294498381877117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7.2002572249372405E-3"/>
                  <c:y val="-2.588996763754045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4.5001607655857749E-3"/>
                  <c:y val="1.294498381876927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8.1002893780543952E-3"/>
                  <c:y val="-9.492878471222674E-17"/>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4.5001607655857419E-3"/>
                  <c:y val="-2.588996763754140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3.6001286124686203E-3"/>
                  <c:y val="3.8834951456309728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6.3002250718200521E-3"/>
                  <c:y val="1.294498381877022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4.5001607655857749E-3"/>
                  <c:y val="1.294498381877022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7.2002572249372076E-3"/>
                  <c:y val="2.588996763754045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2"/>
              <c:layout>
                <c:manualLayout>
                  <c:x val="5.4001929187028975E-3"/>
                  <c:y val="2.588996763754045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3"/>
              <c:layout>
                <c:manualLayout>
                  <c:x val="5.4001929187029304E-3"/>
                  <c:y val="-4.746439235611337E-17"/>
                </c:manualLayout>
              </c:layout>
              <c:showLegendKey val="0"/>
              <c:showVal val="1"/>
              <c:showCatName val="0"/>
              <c:showSerName val="0"/>
              <c:showPercent val="0"/>
              <c:showBubbleSize val="0"/>
              <c:extLst>
                <c:ext xmlns:c15="http://schemas.microsoft.com/office/drawing/2012/chart" uri="{CE6537A1-D6FC-4f65-9D91-7224C49458BB}">
                  <c15:layout/>
                </c:ext>
              </c:extLst>
            </c:dLbl>
            <c:dLbl>
              <c:idx val="14"/>
              <c:layout>
                <c:manualLayout>
                  <c:x val="4.5001607655857749E-3"/>
                  <c:y val="-4.746439235611337E-17"/>
                </c:manualLayout>
              </c:layout>
              <c:showLegendKey val="0"/>
              <c:showVal val="1"/>
              <c:showCatName val="0"/>
              <c:showSerName val="0"/>
              <c:showPercent val="0"/>
              <c:showBubbleSize val="0"/>
              <c:extLst>
                <c:ext xmlns:c15="http://schemas.microsoft.com/office/drawing/2012/chart" uri="{CE6537A1-D6FC-4f65-9D91-7224C49458BB}">
                  <c15:layout/>
                </c:ext>
              </c:extLst>
            </c:dLbl>
            <c:dLbl>
              <c:idx val="15"/>
              <c:layout>
                <c:manualLayout>
                  <c:x val="5.4001929187029304E-3"/>
                  <c:y val="1.2944983818769752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6"/>
              <c:layout>
                <c:manualLayout>
                  <c:x val="5.4001929187028975E-3"/>
                  <c:y val="3.8834951456310205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7"/>
              <c:layout>
                <c:manualLayout>
                  <c:x val="5.4001929187029304E-3"/>
                  <c:y val="2.588996763754045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8"/>
              <c:layout>
                <c:manualLayout>
                  <c:x val="8.1002893780543622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19"/>
              <c:layout>
                <c:manualLayout>
                  <c:x val="5.4001929187029304E-3"/>
                  <c:y val="-2.3732196178056685E-17"/>
                </c:manualLayout>
              </c:layout>
              <c:showLegendKey val="0"/>
              <c:showVal val="1"/>
              <c:showCatName val="0"/>
              <c:showSerName val="0"/>
              <c:showPercent val="0"/>
              <c:showBubbleSize val="0"/>
              <c:extLst>
                <c:ext xmlns:c15="http://schemas.microsoft.com/office/drawing/2012/chart" uri="{CE6537A1-D6FC-4f65-9D91-7224C49458BB}">
                  <c15:layout/>
                </c:ext>
              </c:extLst>
            </c:dLbl>
            <c:dLbl>
              <c:idx val="20"/>
              <c:layout>
                <c:manualLayout>
                  <c:x val="9.0003215311715498E-3"/>
                  <c:y val="1.294498381877022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1"/>
              <c:layout>
                <c:manualLayout>
                  <c:x val="9.9003536842886732E-3"/>
                  <c:y val="2.588996763754045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2"/>
              <c:layout>
                <c:manualLayout>
                  <c:x val="1.4400514449874448E-2"/>
                  <c:y val="3.8834951456310678E-3"/>
                </c:manualLayout>
              </c:layout>
              <c:showLegendKey val="0"/>
              <c:showVal val="1"/>
              <c:showCatName val="0"/>
              <c:showSerName val="0"/>
              <c:showPercent val="0"/>
              <c:showBubbleSize val="0"/>
              <c:extLst>
                <c:ext xmlns:c15="http://schemas.microsoft.com/office/drawing/2012/chart" uri="{CE6537A1-D6FC-4f65-9D91-7224C49458BB}"/>
              </c:extLst>
            </c:dLbl>
            <c:dLbl>
              <c:idx val="23"/>
              <c:layout>
                <c:manualLayout>
                  <c:x val="1.779070632010319E-2"/>
                  <c:y val="-2.5396827936190768E-3"/>
                </c:manualLayout>
              </c:layout>
              <c:showLegendKey val="0"/>
              <c:showVal val="1"/>
              <c:showCatName val="0"/>
              <c:showSerName val="0"/>
              <c:showPercent val="0"/>
              <c:showBubbleSize val="0"/>
              <c:extLst>
                <c:ext xmlns:c15="http://schemas.microsoft.com/office/drawing/2012/chart" uri="{CE6537A1-D6FC-4f65-9D91-7224C49458BB}"/>
              </c:extLst>
            </c:dLbl>
            <c:dLbl>
              <c:idx val="24"/>
              <c:layout>
                <c:manualLayout>
                  <c:x val="1.69619858968433E-2"/>
                  <c:y val="0"/>
                </c:manualLayout>
              </c:layout>
              <c:showLegendKey val="0"/>
              <c:showVal val="1"/>
              <c:showCatName val="0"/>
              <c:showSerName val="0"/>
              <c:showPercent val="0"/>
              <c:showBubbleSize val="0"/>
              <c:extLst>
                <c:ext xmlns:c15="http://schemas.microsoft.com/office/drawing/2012/chart" uri="{CE6537A1-D6FC-4f65-9D91-7224C49458BB}"/>
              </c:extLst>
            </c:dLbl>
            <c:dLbl>
              <c:idx val="25"/>
              <c:layout>
                <c:manualLayout>
                  <c:x val="0"/>
                  <c:y val="-2.1972953197782904E-3"/>
                </c:manualLayout>
              </c:layout>
              <c:showLegendKey val="0"/>
              <c:showVal val="1"/>
              <c:showCatName val="0"/>
              <c:showSerName val="0"/>
              <c:showPercent val="0"/>
              <c:showBubbleSize val="0"/>
              <c:extLst>
                <c:ext xmlns:c15="http://schemas.microsoft.com/office/drawing/2012/chart" uri="{CE6537A1-D6FC-4f65-9D91-7224C49458BB}"/>
              </c:extLst>
            </c:dLbl>
            <c:dLbl>
              <c:idx val="26"/>
              <c:layout>
                <c:manualLayout>
                  <c:x val="2.2651111933122972E-17"/>
                  <c:y val="-4.3945906395565365E-3"/>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lang="en-US"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'IV.2.5.Pagos x ARS'!$I$3:$I$24</c:f>
              <c:strCache>
                <c:ptCount val="22"/>
                <c:pt idx="0">
                  <c:v>ARS</c:v>
                </c:pt>
                <c:pt idx="1">
                  <c:v>Humano</c:v>
                </c:pt>
                <c:pt idx="2">
                  <c:v>Palic Salud</c:v>
                </c:pt>
                <c:pt idx="3">
                  <c:v>SENASA RC</c:v>
                </c:pt>
                <c:pt idx="4">
                  <c:v>Universal</c:v>
                </c:pt>
                <c:pt idx="5">
                  <c:v>Futuro</c:v>
                </c:pt>
                <c:pt idx="6">
                  <c:v>SEMMA</c:v>
                </c:pt>
                <c:pt idx="7">
                  <c:v>Salud Segura</c:v>
                </c:pt>
                <c:pt idx="8">
                  <c:v>Dr. Yunen</c:v>
                </c:pt>
                <c:pt idx="9">
                  <c:v>Grupo Med. Asociado</c:v>
                </c:pt>
                <c:pt idx="10">
                  <c:v>Serv. de Igualas Méd. Dr. Abel</c:v>
                </c:pt>
                <c:pt idx="11">
                  <c:v>Renacer</c:v>
                </c:pt>
                <c:pt idx="12">
                  <c:v>Adm. Serv. Médicos Amor y Paz</c:v>
                </c:pt>
                <c:pt idx="13">
                  <c:v>Asoc. de Profesionales de la Salud</c:v>
                </c:pt>
                <c:pt idx="14">
                  <c:v>Constitución (ex IGMAN)</c:v>
                </c:pt>
                <c:pt idx="15">
                  <c:v>Reservas</c:v>
                </c:pt>
                <c:pt idx="16">
                  <c:v>METASALUD</c:v>
                </c:pt>
                <c:pt idx="17">
                  <c:v>Monumental </c:v>
                </c:pt>
                <c:pt idx="18">
                  <c:v>CMD</c:v>
                </c:pt>
                <c:pt idx="19">
                  <c:v>Plan Salud </c:v>
                </c:pt>
                <c:pt idx="20">
                  <c:v>FFAA</c:v>
                </c:pt>
                <c:pt idx="21">
                  <c:v>SEMUNASED</c:v>
                </c:pt>
              </c:strCache>
            </c:strRef>
          </c:cat>
          <c:val>
            <c:numRef>
              <c:f>'IV.2.5.Pagos x ARS'!$J$3:$J$24</c:f>
              <c:numCache>
                <c:formatCode>_(* #,##0.00_);_(* \(#,##0.00\);_(* "-"??_);_(@_)</c:formatCode>
                <c:ptCount val="22"/>
                <c:pt idx="0" formatCode="_([$€-2]* #,##0_);_([$€-2]* \(#,##0\);_([$€-2]* &quot;-&quot;??_)">
                  <c:v>0</c:v>
                </c:pt>
                <c:pt idx="1">
                  <c:v>1194497502.5799999</c:v>
                </c:pt>
                <c:pt idx="2">
                  <c:v>536428861.44</c:v>
                </c:pt>
                <c:pt idx="3">
                  <c:v>512390963.05000001</c:v>
                </c:pt>
                <c:pt idx="4">
                  <c:v>399248270.45999998</c:v>
                </c:pt>
                <c:pt idx="5">
                  <c:v>153258007.69999999</c:v>
                </c:pt>
                <c:pt idx="6">
                  <c:v>124996589.06999999</c:v>
                </c:pt>
                <c:pt idx="7">
                  <c:v>69815692.75</c:v>
                </c:pt>
                <c:pt idx="8">
                  <c:v>60010653.359999999</c:v>
                </c:pt>
                <c:pt idx="9">
                  <c:v>47723148.390000001</c:v>
                </c:pt>
                <c:pt idx="10">
                  <c:v>58109374.439999998</c:v>
                </c:pt>
                <c:pt idx="11">
                  <c:v>47003406.390000001</c:v>
                </c:pt>
                <c:pt idx="12">
                  <c:v>37388005.710000001</c:v>
                </c:pt>
                <c:pt idx="13">
                  <c:v>27371040.870000001</c:v>
                </c:pt>
                <c:pt idx="14">
                  <c:v>22358398.440000001</c:v>
                </c:pt>
                <c:pt idx="15">
                  <c:v>25957245.789999999</c:v>
                </c:pt>
                <c:pt idx="16">
                  <c:v>22860994.289999999</c:v>
                </c:pt>
                <c:pt idx="17">
                  <c:v>27973871.559999999</c:v>
                </c:pt>
                <c:pt idx="18">
                  <c:v>23810702.100000001</c:v>
                </c:pt>
                <c:pt idx="19">
                  <c:v>7850145.4500000002</c:v>
                </c:pt>
                <c:pt idx="20">
                  <c:v>3631422.03</c:v>
                </c:pt>
                <c:pt idx="21">
                  <c:v>2319136.5299999998</c:v>
                </c:pt>
              </c:numCache>
            </c:numRef>
          </c:val>
        </c:ser>
        <c:dLbls>
          <c:showLegendKey val="0"/>
          <c:showVal val="0"/>
          <c:showCatName val="0"/>
          <c:showSerName val="0"/>
          <c:showPercent val="0"/>
          <c:showBubbleSize val="0"/>
        </c:dLbls>
        <c:gapWidth val="36"/>
        <c:shape val="cylinder"/>
        <c:axId val="372820784"/>
        <c:axId val="372821176"/>
        <c:axId val="0"/>
      </c:bar3DChart>
      <c:catAx>
        <c:axId val="372820784"/>
        <c:scaling>
          <c:orientation val="minMax"/>
        </c:scaling>
        <c:delete val="0"/>
        <c:axPos val="l"/>
        <c:numFmt formatCode="General" sourceLinked="1"/>
        <c:majorTickMark val="none"/>
        <c:minorTickMark val="none"/>
        <c:tickLblPos val="nextTo"/>
        <c:txPr>
          <a:bodyPr rot="-2700000" vert="horz"/>
          <a:lstStyle/>
          <a:p>
            <a:pPr>
              <a:defRPr lang="en-US" sz="1200"/>
            </a:pPr>
            <a:endParaRPr lang="es-ES"/>
          </a:p>
        </c:txPr>
        <c:crossAx val="372821176"/>
        <c:crosses val="autoZero"/>
        <c:auto val="1"/>
        <c:lblAlgn val="ctr"/>
        <c:lblOffset val="100"/>
        <c:noMultiLvlLbl val="0"/>
      </c:catAx>
      <c:valAx>
        <c:axId val="372821176"/>
        <c:scaling>
          <c:orientation val="minMax"/>
        </c:scaling>
        <c:delete val="1"/>
        <c:axPos val="b"/>
        <c:numFmt formatCode="_([$€-2]* #,##0_);_([$€-2]* \(#,##0\);_([$€-2]* &quot;-&quot;??_)" sourceLinked="1"/>
        <c:majorTickMark val="out"/>
        <c:minorTickMark val="none"/>
        <c:tickLblPos val="nextTo"/>
        <c:crossAx val="372820784"/>
        <c:crosses val="autoZero"/>
        <c:crossBetween val="between"/>
      </c:valAx>
      <c:spPr>
        <a:noFill/>
        <a:ln w="25400">
          <a:noFill/>
        </a:ln>
      </c:spPr>
    </c:plotArea>
    <c:plotVisOnly val="1"/>
    <c:dispBlanksAs val="gap"/>
    <c:showDLblsOverMax val="0"/>
  </c:chart>
  <c:spPr>
    <a:noFill/>
    <a:ln>
      <a:noFill/>
    </a:ln>
  </c:spPr>
  <c:printSettings>
    <c:headerFooter/>
    <c:pageMargins b="0.75000000000001565" l="0.70000000000000095" r="0.70000000000000095" t="0.75000000000001565" header="0.30000000000000032" footer="0.30000000000000032"/>
    <c:pageSetup orientation="landscape"/>
  </c:printSettings>
  <c:userShapes r:id="rId2"/>
</c:chartSpace>
</file>

<file path=xl/charts/chart5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baseline="0">
                <a:solidFill>
                  <a:schemeClr val="tx1">
                    <a:lumMod val="65000"/>
                    <a:lumOff val="35000"/>
                  </a:schemeClr>
                </a:solidFill>
                <a:latin typeface="+mn-lt"/>
                <a:ea typeface="+mn-ea"/>
                <a:cs typeface="+mn-cs"/>
              </a:defRPr>
            </a:pPr>
            <a:r>
              <a:rPr lang="es-DO"/>
              <a:t>Distribución de las Inversiones de la  Cuenta Cuidado de la Salud por Instrumento</a:t>
            </a:r>
          </a:p>
        </c:rich>
      </c:tx>
      <c:layout>
        <c:manualLayout>
          <c:xMode val="edge"/>
          <c:yMode val="edge"/>
          <c:x val="0.13165246184833407"/>
          <c:y val="3.1450198728750788E-2"/>
        </c:manualLayout>
      </c:layout>
      <c:overlay val="0"/>
      <c:spPr>
        <a:noFill/>
        <a:ln>
          <a:noFill/>
        </a:ln>
        <a:effectLst/>
      </c:spPr>
      <c:txPr>
        <a:bodyPr rot="0" spcFirstLastPara="1" vertOverflow="ellipsis" vert="horz" wrap="square" anchor="ctr" anchorCtr="1"/>
        <a:lstStyle/>
        <a:p>
          <a:pPr>
            <a:defRPr sz="1600" b="1" i="0" u="none" strike="noStrike" kern="1200" cap="all" baseline="0">
              <a:solidFill>
                <a:schemeClr val="tx1">
                  <a:lumMod val="65000"/>
                  <a:lumOff val="35000"/>
                </a:schemeClr>
              </a:solidFill>
              <a:latin typeface="+mn-lt"/>
              <a:ea typeface="+mn-ea"/>
              <a:cs typeface="+mn-cs"/>
            </a:defRPr>
          </a:pPr>
          <a:endParaRPr lang="es-ES"/>
        </a:p>
      </c:txPr>
    </c:title>
    <c:autoTitleDeleted val="0"/>
    <c:view3D>
      <c:rotX val="6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9300143441974665"/>
          <c:y val="0.31425557288926265"/>
          <c:w val="0.5513304739765259"/>
          <c:h val="0.4950345624168207"/>
        </c:manualLayout>
      </c:layout>
      <c:pie3DChart>
        <c:varyColors val="1"/>
        <c:ser>
          <c:idx val="0"/>
          <c:order val="0"/>
          <c:tx>
            <c:strRef>
              <c:f>'IV.2.6.INV_SFS x Entidad'!$B$3</c:f>
              <c:strCache>
                <c:ptCount val="1"/>
                <c:pt idx="0">
                  <c:v> Total Invertido</c:v>
                </c:pt>
              </c:strCache>
            </c:strRef>
          </c:tx>
          <c:explosion val="5"/>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Lbls>
            <c:dLbl>
              <c:idx val="0"/>
              <c:layout>
                <c:manualLayout>
                  <c:x val="1.1420096803509182E-2"/>
                  <c:y val="-9.8418294023490966E-3"/>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69FC51D7-008F-45FB-99F5-F81D6CD89F71}" type="CATEGORYNAME">
                      <a:rPr lang="en-US"/>
                      <a:pPr>
                        <a:defRPr sz="1600"/>
                      </a:pPr>
                      <a:t>[NOMBRE DE CATEGORÍA]</a:t>
                    </a:fld>
                    <a:r>
                      <a:rPr lang="en-US" baseline="0"/>
                      <a:t> </a:t>
                    </a:r>
                    <a:fld id="{4A878F0E-3D82-459D-950D-C453455DD7B7}" type="VALUE">
                      <a:rPr lang="en-US" baseline="0"/>
                      <a:pPr>
                        <a:defRPr sz="1600"/>
                      </a:pPr>
                      <a:t>[VALOR]</a:t>
                    </a:fld>
                    <a:r>
                      <a:rPr lang="en-US" baseline="0"/>
                      <a:t>                           </a:t>
                    </a:r>
                    <a:fld id="{BE657A84-49A8-4FE6-A878-CFA2AA25F128}" type="PERCENTAGE">
                      <a:rPr lang="en-US" baseline="0"/>
                      <a:pPr>
                        <a:defRPr sz="1600"/>
                      </a:pPr>
                      <a:t>[PORCENTAJE]</a:t>
                    </a:fld>
                    <a:endParaRPr lang="en-US" baseline="0"/>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1"/>
              <c:layout>
                <c:manualLayout>
                  <c:x val="-1.557285927751254E-2"/>
                  <c:y val="-1.804335390430668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rgbClr val="FF0000"/>
                        </a:solidFill>
                        <a:latin typeface="+mn-lt"/>
                        <a:ea typeface="+mn-ea"/>
                        <a:cs typeface="+mn-cs"/>
                      </a:defRPr>
                    </a:pPr>
                    <a:fld id="{ABD0B146-B642-43C8-8059-94A42F071D48}" type="CATEGORYNAME">
                      <a:rPr lang="en-US">
                        <a:solidFill>
                          <a:srgbClr val="FF0000"/>
                        </a:solidFill>
                      </a:rPr>
                      <a:pPr>
                        <a:defRPr sz="1600">
                          <a:solidFill>
                            <a:srgbClr val="FF0000"/>
                          </a:solidFill>
                        </a:defRPr>
                      </a:pPr>
                      <a:t>[NOMBRE DE CATEGORÍA]</a:t>
                    </a:fld>
                    <a:endParaRPr lang="en-US" baseline="0">
                      <a:solidFill>
                        <a:srgbClr val="FF0000"/>
                      </a:solidFill>
                    </a:endParaRPr>
                  </a:p>
                  <a:p>
                    <a:pPr>
                      <a:defRPr sz="1600">
                        <a:solidFill>
                          <a:srgbClr val="FF0000"/>
                        </a:solidFill>
                      </a:defRPr>
                    </a:pPr>
                    <a:r>
                      <a:rPr lang="en-US" baseline="0">
                        <a:solidFill>
                          <a:srgbClr val="FF0000"/>
                        </a:solidFill>
                      </a:rPr>
                      <a:t> </a:t>
                    </a:r>
                    <a:fld id="{630034AB-1033-4150-9C1B-76AD66DD4F05}" type="VALUE">
                      <a:rPr lang="en-US" baseline="0">
                        <a:solidFill>
                          <a:srgbClr val="FF0000"/>
                        </a:solidFill>
                      </a:rPr>
                      <a:pPr>
                        <a:defRPr sz="1600">
                          <a:solidFill>
                            <a:srgbClr val="FF0000"/>
                          </a:solidFill>
                        </a:defRPr>
                      </a:pPr>
                      <a:t>[VALOR]</a:t>
                    </a:fld>
                    <a:r>
                      <a:rPr lang="en-US" baseline="0">
                        <a:solidFill>
                          <a:srgbClr val="FF0000"/>
                        </a:solidFill>
                      </a:rPr>
                      <a:t>                   </a:t>
                    </a:r>
                    <a:fld id="{9229A1F0-15E0-46E8-B346-CB07C75DBB39}" type="PERCENTAGE">
                      <a:rPr lang="en-US" baseline="0">
                        <a:solidFill>
                          <a:srgbClr val="FF0000"/>
                        </a:solidFill>
                      </a:rPr>
                      <a:pPr>
                        <a:defRPr sz="1600">
                          <a:solidFill>
                            <a:srgbClr val="FF0000"/>
                          </a:solidFill>
                        </a:defRPr>
                      </a:pPr>
                      <a:t>[PORCENTAJE]</a:t>
                    </a:fld>
                    <a:endParaRPr lang="en-US" baseline="0">
                      <a:solidFill>
                        <a:srgbClr val="FF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rgbClr val="FF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2"/>
              <c:layout>
                <c:manualLayout>
                  <c:x val="8.6169821335569247E-2"/>
                  <c:y val="-2.4604573505872744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3">
                            <a:lumMod val="50000"/>
                          </a:schemeClr>
                        </a:solidFill>
                        <a:latin typeface="+mn-lt"/>
                        <a:ea typeface="+mn-ea"/>
                        <a:cs typeface="+mn-cs"/>
                      </a:defRPr>
                    </a:pPr>
                    <a:fld id="{A04CF839-85CE-415B-9164-6FD88C171D56}" type="CATEGORYNAME">
                      <a:rPr lang="en-US">
                        <a:solidFill>
                          <a:schemeClr val="accent3">
                            <a:lumMod val="50000"/>
                          </a:schemeClr>
                        </a:solidFill>
                      </a:rPr>
                      <a:pPr>
                        <a:defRPr sz="1600">
                          <a:solidFill>
                            <a:schemeClr val="accent3">
                              <a:lumMod val="50000"/>
                            </a:schemeClr>
                          </a:solidFill>
                        </a:defRPr>
                      </a:pPr>
                      <a:t>[NOMBRE DE CATEGORÍA]</a:t>
                    </a:fld>
                    <a:r>
                      <a:rPr lang="en-US" baseline="0">
                        <a:solidFill>
                          <a:schemeClr val="accent3">
                            <a:lumMod val="50000"/>
                          </a:schemeClr>
                        </a:solidFill>
                      </a:rPr>
                      <a:t> </a:t>
                    </a:r>
                  </a:p>
                  <a:p>
                    <a:pPr>
                      <a:defRPr sz="1600">
                        <a:solidFill>
                          <a:schemeClr val="accent3">
                            <a:lumMod val="50000"/>
                          </a:schemeClr>
                        </a:solidFill>
                      </a:defRPr>
                    </a:pPr>
                    <a:fld id="{4D8B5E52-A18B-46C8-B149-68C38E2F4127}" type="VALUE">
                      <a:rPr lang="en-US" baseline="0">
                        <a:solidFill>
                          <a:schemeClr val="accent3">
                            <a:lumMod val="50000"/>
                          </a:schemeClr>
                        </a:solidFill>
                      </a:rPr>
                      <a:pPr>
                        <a:defRPr sz="1600">
                          <a:solidFill>
                            <a:schemeClr val="accent3">
                              <a:lumMod val="50000"/>
                            </a:schemeClr>
                          </a:solidFill>
                        </a:defRPr>
                      </a:pPr>
                      <a:t>[VALOR]</a:t>
                    </a:fld>
                    <a:r>
                      <a:rPr lang="en-US" baseline="0">
                        <a:solidFill>
                          <a:schemeClr val="accent3">
                            <a:lumMod val="50000"/>
                          </a:schemeClr>
                        </a:solidFill>
                      </a:rPr>
                      <a:t> </a:t>
                    </a:r>
                  </a:p>
                  <a:p>
                    <a:pPr>
                      <a:defRPr sz="1600">
                        <a:solidFill>
                          <a:schemeClr val="accent3">
                            <a:lumMod val="50000"/>
                          </a:schemeClr>
                        </a:solidFill>
                      </a:defRPr>
                    </a:pPr>
                    <a:r>
                      <a:rPr lang="en-US">
                        <a:solidFill>
                          <a:schemeClr val="accent3">
                            <a:lumMod val="50000"/>
                          </a:schemeClr>
                        </a:solidFill>
                      </a:rPr>
                      <a:t>16.25%</a:t>
                    </a: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3">
                          <a:lumMod val="50000"/>
                        </a:schemeClr>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s-ES"/>
              </a:p>
            </c:txPr>
            <c:dLblPos val="outEnd"/>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'IV.2.6.INV_SFS x Entidad'!$A$4:$A$6</c:f>
              <c:strCache>
                <c:ptCount val="3"/>
                <c:pt idx="0">
                  <c:v>Certificados Financieros</c:v>
                </c:pt>
                <c:pt idx="1">
                  <c:v>Títulos Desmaterializados del BC</c:v>
                </c:pt>
                <c:pt idx="2">
                  <c:v>Títulos Desmaterializados de Pacto de Recompra (REPO)</c:v>
                </c:pt>
              </c:strCache>
            </c:strRef>
          </c:cat>
          <c:val>
            <c:numRef>
              <c:f>'IV.2.6.INV_SFS x Entidad'!$B$4:$B$6</c:f>
              <c:numCache>
                <c:formatCode>_(* #,##0.00_);_(* \(#,##0.00\);_(* "-"??_);_(@_)</c:formatCode>
                <c:ptCount val="3"/>
                <c:pt idx="0">
                  <c:v>3330535384.7800002</c:v>
                </c:pt>
                <c:pt idx="1">
                  <c:v>2003760000</c:v>
                </c:pt>
                <c:pt idx="2">
                  <c:v>1035229746.45</c:v>
                </c:pt>
              </c:numCache>
            </c:numRef>
          </c:val>
        </c:ser>
        <c:dLbls>
          <c:showLegendKey val="0"/>
          <c:showVal val="0"/>
          <c:showCatName val="0"/>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a:pPr>
            <a:r>
              <a:rPr lang="es-DO"/>
              <a:t>Distribución de Fondos del SFS del RC en Certificados Financieros</a:t>
            </a:r>
          </a:p>
        </c:rich>
      </c:tx>
      <c:layout>
        <c:manualLayout>
          <c:xMode val="edge"/>
          <c:yMode val="edge"/>
          <c:x val="0.20235244601528096"/>
          <c:y val="4.1609730888462454E-2"/>
        </c:manualLayout>
      </c:layout>
      <c:overlay val="0"/>
    </c:title>
    <c:autoTitleDeleted val="0"/>
    <c:view3D>
      <c:rotX val="50"/>
      <c:rotY val="0"/>
      <c:rAngAx val="0"/>
    </c:view3D>
    <c:floor>
      <c:thickness val="0"/>
    </c:floor>
    <c:sideWall>
      <c:thickness val="0"/>
    </c:sideWall>
    <c:backWall>
      <c:thickness val="0"/>
    </c:backWall>
    <c:plotArea>
      <c:layout>
        <c:manualLayout>
          <c:layoutTarget val="inner"/>
          <c:xMode val="edge"/>
          <c:yMode val="edge"/>
          <c:x val="0.16469645784944001"/>
          <c:y val="0.29407378709925569"/>
          <c:w val="0.6128951724177617"/>
          <c:h val="0.5321113615829387"/>
        </c:manualLayout>
      </c:layout>
      <c:pie3DChart>
        <c:varyColors val="1"/>
        <c:ser>
          <c:idx val="0"/>
          <c:order val="0"/>
          <c:explosion val="31"/>
          <c:dPt>
            <c:idx val="1"/>
            <c:bubble3D val="0"/>
            <c:spPr>
              <a:solidFill>
                <a:schemeClr val="accent6">
                  <a:lumMod val="75000"/>
                </a:schemeClr>
              </a:solidFill>
            </c:spPr>
          </c:dPt>
          <c:dPt>
            <c:idx val="2"/>
            <c:bubble3D val="0"/>
            <c:spPr>
              <a:solidFill>
                <a:schemeClr val="accent3">
                  <a:lumMod val="50000"/>
                </a:schemeClr>
              </a:solidFill>
            </c:spPr>
          </c:dPt>
          <c:dLbls>
            <c:dLbl>
              <c:idx val="0"/>
              <c:layout>
                <c:manualLayout>
                  <c:x val="-2.5694001168125865E-2"/>
                  <c:y val="2.8320596829309517E-2"/>
                </c:manualLayout>
              </c:layout>
              <c:tx>
                <c:rich>
                  <a:bodyPr wrap="square" lIns="38100" tIns="19050" rIns="38100" bIns="19050" anchor="ctr">
                    <a:spAutoFit/>
                  </a:bodyPr>
                  <a:lstStyle/>
                  <a:p>
                    <a:pPr>
                      <a:defRPr sz="1600" b="1">
                        <a:solidFill>
                          <a:schemeClr val="accent5">
                            <a:lumMod val="75000"/>
                          </a:schemeClr>
                        </a:solidFill>
                      </a:defRPr>
                    </a:pPr>
                    <a:fld id="{73A698BE-4C2C-4B87-A27B-E3D691075888}" type="CATEGORYNAME">
                      <a:rPr lang="en-US" sz="1600" b="1">
                        <a:solidFill>
                          <a:schemeClr val="accent5">
                            <a:lumMod val="75000"/>
                          </a:schemeClr>
                        </a:solidFill>
                      </a:rPr>
                      <a:pPr>
                        <a:defRPr sz="1600" b="1">
                          <a:solidFill>
                            <a:schemeClr val="accent5">
                              <a:lumMod val="75000"/>
                            </a:schemeClr>
                          </a:solidFill>
                        </a:defRPr>
                      </a:pPr>
                      <a:t>[NOMBRE DE CATEGORÍA]</a:t>
                    </a:fld>
                    <a:r>
                      <a:rPr lang="en-US" sz="1600" b="1" baseline="0">
                        <a:solidFill>
                          <a:schemeClr val="accent5">
                            <a:lumMod val="75000"/>
                          </a:schemeClr>
                        </a:solidFill>
                      </a:rPr>
                      <a:t> </a:t>
                    </a:r>
                    <a:fld id="{96E559AF-91C2-4911-93E1-6A04DC386639}" type="VALUE">
                      <a:rPr lang="en-US" sz="1600" b="1" baseline="0">
                        <a:solidFill>
                          <a:schemeClr val="accent5">
                            <a:lumMod val="75000"/>
                          </a:schemeClr>
                        </a:solidFill>
                      </a:rPr>
                      <a:pPr>
                        <a:defRPr sz="1600" b="1">
                          <a:solidFill>
                            <a:schemeClr val="accent5">
                              <a:lumMod val="75000"/>
                            </a:schemeClr>
                          </a:solidFill>
                        </a:defRPr>
                      </a:pPr>
                      <a:t>[VALOR]</a:t>
                    </a:fld>
                    <a:endParaRPr lang="en-US" sz="1600" b="1" baseline="0">
                      <a:solidFill>
                        <a:schemeClr val="accent5">
                          <a:lumMod val="75000"/>
                        </a:schemeClr>
                      </a:solidFill>
                    </a:endParaRPr>
                  </a:p>
                  <a:p>
                    <a:pPr>
                      <a:defRPr sz="1600" b="1">
                        <a:solidFill>
                          <a:schemeClr val="accent5">
                            <a:lumMod val="75000"/>
                          </a:schemeClr>
                        </a:solidFill>
                      </a:defRPr>
                    </a:pPr>
                    <a:r>
                      <a:rPr lang="en-US" sz="1600" b="1" baseline="0">
                        <a:solidFill>
                          <a:schemeClr val="accent5">
                            <a:lumMod val="75000"/>
                          </a:schemeClr>
                        </a:solidFill>
                      </a:rPr>
                      <a:t> </a:t>
                    </a:r>
                    <a:fld id="{302B6464-47A8-40E6-8A72-953E7E7F7668}" type="PERCENTAGE">
                      <a:rPr lang="en-US" sz="1600" b="1" baseline="0">
                        <a:solidFill>
                          <a:schemeClr val="accent5">
                            <a:lumMod val="75000"/>
                          </a:schemeClr>
                        </a:solidFill>
                      </a:rPr>
                      <a:pPr>
                        <a:defRPr sz="1600" b="1">
                          <a:solidFill>
                            <a:schemeClr val="accent5">
                              <a:lumMod val="75000"/>
                            </a:schemeClr>
                          </a:solidFill>
                        </a:defRPr>
                      </a:pPr>
                      <a:t>[PORCENTAJE]</a:t>
                    </a:fld>
                    <a:endParaRPr lang="en-US" sz="1600" b="1" baseline="0">
                      <a:solidFill>
                        <a:schemeClr val="accent5">
                          <a:lumMod val="75000"/>
                        </a:schemeClr>
                      </a:solidFill>
                    </a:endParaRPr>
                  </a:p>
                </c:rich>
              </c:tx>
              <c:numFmt formatCode="0.00%" sourceLinked="0"/>
              <c:spPr>
                <a:noFill/>
                <a:ln>
                  <a:noFill/>
                </a:ln>
                <a:effectLst/>
              </c:spPr>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1"/>
              <c:layout>
                <c:manualLayout>
                  <c:x val="-2.6440417976972056E-2"/>
                  <c:y val="2.8683251595743538E-2"/>
                </c:manualLayout>
              </c:layout>
              <c:tx>
                <c:rich>
                  <a:bodyPr wrap="square" lIns="38100" tIns="19050" rIns="38100" bIns="19050" anchor="ctr">
                    <a:spAutoFit/>
                  </a:bodyPr>
                  <a:lstStyle/>
                  <a:p>
                    <a:pPr>
                      <a:defRPr sz="1600" b="1">
                        <a:solidFill>
                          <a:schemeClr val="accent6">
                            <a:lumMod val="75000"/>
                          </a:schemeClr>
                        </a:solidFill>
                      </a:defRPr>
                    </a:pPr>
                    <a:fld id="{871483A1-02F7-4F9B-893C-0365FD9D2AD1}" type="CATEGORYNAME">
                      <a:rPr lang="en-US" sz="1600" b="1">
                        <a:solidFill>
                          <a:schemeClr val="accent6">
                            <a:lumMod val="75000"/>
                          </a:schemeClr>
                        </a:solidFill>
                      </a:rPr>
                      <a:pPr>
                        <a:defRPr sz="1600" b="1">
                          <a:solidFill>
                            <a:schemeClr val="accent6">
                              <a:lumMod val="75000"/>
                            </a:schemeClr>
                          </a:solidFill>
                        </a:defRPr>
                      </a:pPr>
                      <a:t>[NOMBRE DE CATEGORÍA]</a:t>
                    </a:fld>
                    <a:r>
                      <a:rPr lang="en-US" sz="1600" b="1" baseline="0">
                        <a:solidFill>
                          <a:schemeClr val="accent6">
                            <a:lumMod val="75000"/>
                          </a:schemeClr>
                        </a:solidFill>
                      </a:rPr>
                      <a:t> </a:t>
                    </a:r>
                    <a:fld id="{EAE5D7E7-8F4A-40F6-842D-8681081E0FC9}" type="VALUE">
                      <a:rPr lang="en-US" sz="1600" b="1" baseline="0">
                        <a:solidFill>
                          <a:schemeClr val="accent6">
                            <a:lumMod val="75000"/>
                          </a:schemeClr>
                        </a:solidFill>
                      </a:rPr>
                      <a:pPr>
                        <a:defRPr sz="1600" b="1">
                          <a:solidFill>
                            <a:schemeClr val="accent6">
                              <a:lumMod val="75000"/>
                            </a:schemeClr>
                          </a:solidFill>
                        </a:defRPr>
                      </a:pPr>
                      <a:t>[VALOR]</a:t>
                    </a:fld>
                    <a:r>
                      <a:rPr lang="en-US" sz="1600" b="1" baseline="0">
                        <a:solidFill>
                          <a:schemeClr val="accent6">
                            <a:lumMod val="75000"/>
                          </a:schemeClr>
                        </a:solidFill>
                      </a:rPr>
                      <a:t> </a:t>
                    </a:r>
                  </a:p>
                  <a:p>
                    <a:pPr>
                      <a:defRPr sz="1600" b="1">
                        <a:solidFill>
                          <a:schemeClr val="accent6">
                            <a:lumMod val="75000"/>
                          </a:schemeClr>
                        </a:solidFill>
                      </a:defRPr>
                    </a:pPr>
                    <a:r>
                      <a:rPr lang="en-US" sz="1600"/>
                      <a:t>11.78%</a:t>
                    </a:r>
                  </a:p>
                </c:rich>
              </c:tx>
              <c:numFmt formatCode="0.00%" sourceLinked="0"/>
              <c:spPr>
                <a:noFill/>
                <a:ln>
                  <a:noFill/>
                </a:ln>
                <a:effectLst/>
              </c:spPr>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2"/>
              <c:layout>
                <c:manualLayout>
                  <c:x val="8.8689113699913238E-2"/>
                  <c:y val="-9.2911678192930548E-3"/>
                </c:manualLayout>
              </c:layout>
              <c:tx>
                <c:rich>
                  <a:bodyPr wrap="square" lIns="38100" tIns="19050" rIns="38100" bIns="19050" anchor="ctr">
                    <a:spAutoFit/>
                  </a:bodyPr>
                  <a:lstStyle/>
                  <a:p>
                    <a:pPr>
                      <a:defRPr sz="1600" b="1">
                        <a:solidFill>
                          <a:schemeClr val="accent3">
                            <a:lumMod val="50000"/>
                          </a:schemeClr>
                        </a:solidFill>
                      </a:defRPr>
                    </a:pPr>
                    <a:fld id="{5288538B-8767-4F0B-B04E-71BA664C8A1C}" type="CATEGORYNAME">
                      <a:rPr lang="en-US" sz="1600" b="1">
                        <a:solidFill>
                          <a:schemeClr val="accent3">
                            <a:lumMod val="50000"/>
                          </a:schemeClr>
                        </a:solidFill>
                      </a:rPr>
                      <a:pPr>
                        <a:defRPr sz="1600" b="1">
                          <a:solidFill>
                            <a:schemeClr val="accent3">
                              <a:lumMod val="50000"/>
                            </a:schemeClr>
                          </a:solidFill>
                        </a:defRPr>
                      </a:pPr>
                      <a:t>[NOMBRE DE CATEGORÍA]</a:t>
                    </a:fld>
                    <a:r>
                      <a:rPr lang="en-US" sz="1600" b="1" baseline="0">
                        <a:solidFill>
                          <a:schemeClr val="accent3">
                            <a:lumMod val="50000"/>
                          </a:schemeClr>
                        </a:solidFill>
                      </a:rPr>
                      <a:t> </a:t>
                    </a:r>
                    <a:fld id="{ADBA7D7E-E120-4427-9FCB-9DBC87E2373D}" type="VALUE">
                      <a:rPr lang="en-US" sz="1600" b="1" baseline="0">
                        <a:solidFill>
                          <a:schemeClr val="accent3">
                            <a:lumMod val="50000"/>
                          </a:schemeClr>
                        </a:solidFill>
                      </a:rPr>
                      <a:pPr>
                        <a:defRPr sz="1600" b="1">
                          <a:solidFill>
                            <a:schemeClr val="accent3">
                              <a:lumMod val="50000"/>
                            </a:schemeClr>
                          </a:solidFill>
                        </a:defRPr>
                      </a:pPr>
                      <a:t>[VALOR]</a:t>
                    </a:fld>
                    <a:r>
                      <a:rPr lang="en-US" sz="1600" b="1" baseline="0">
                        <a:solidFill>
                          <a:schemeClr val="accent3">
                            <a:lumMod val="50000"/>
                          </a:schemeClr>
                        </a:solidFill>
                      </a:rPr>
                      <a:t> </a:t>
                    </a:r>
                  </a:p>
                  <a:p>
                    <a:pPr>
                      <a:defRPr sz="1600" b="1">
                        <a:solidFill>
                          <a:schemeClr val="accent3">
                            <a:lumMod val="50000"/>
                          </a:schemeClr>
                        </a:solidFill>
                      </a:defRPr>
                    </a:pPr>
                    <a:fld id="{CAEBBFE1-85FB-4657-832A-81C8683699E5}" type="PERCENTAGE">
                      <a:rPr lang="en-US" sz="1600" b="1" baseline="0">
                        <a:solidFill>
                          <a:schemeClr val="accent3">
                            <a:lumMod val="50000"/>
                          </a:schemeClr>
                        </a:solidFill>
                      </a:rPr>
                      <a:pPr>
                        <a:defRPr sz="1600" b="1">
                          <a:solidFill>
                            <a:schemeClr val="accent3">
                              <a:lumMod val="50000"/>
                            </a:schemeClr>
                          </a:solidFill>
                        </a:defRPr>
                      </a:pPr>
                      <a:t>[PORCENTAJE]</a:t>
                    </a:fld>
                    <a:endParaRPr lang="es-ES"/>
                  </a:p>
                </c:rich>
              </c:tx>
              <c:numFmt formatCode="0.00%" sourceLinked="0"/>
              <c:spPr>
                <a:noFill/>
                <a:ln>
                  <a:noFill/>
                </a:ln>
                <a:effectLst/>
              </c:spPr>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numFmt formatCode="0.00%" sourceLinked="0"/>
            <c:spPr>
              <a:noFill/>
              <a:ln>
                <a:noFill/>
              </a:ln>
              <a:effectLst/>
            </c:spPr>
            <c:txPr>
              <a:bodyPr wrap="square" lIns="38100" tIns="19050" rIns="38100" bIns="19050" anchor="ctr">
                <a:spAutoFit/>
              </a:bodyPr>
              <a:lstStyle/>
              <a:p>
                <a:pPr>
                  <a:defRPr sz="1600"/>
                </a:pPr>
                <a:endParaRPr lang="es-ES"/>
              </a:p>
            </c:txPr>
            <c:showLegendKey val="1"/>
            <c:showVal val="1"/>
            <c:showCatName val="1"/>
            <c:showSerName val="0"/>
            <c:showPercent val="1"/>
            <c:showBubbleSize val="0"/>
            <c:separator> </c:separator>
            <c:showLeaderLines val="1"/>
            <c:extLst>
              <c:ext xmlns:c15="http://schemas.microsoft.com/office/drawing/2012/chart" uri="{CE6537A1-D6FC-4f65-9D91-7224C49458BB}"/>
            </c:extLst>
          </c:dLbls>
          <c:cat>
            <c:strRef>
              <c:f>'IV.2.7.INV_SFS x cuentas'!$A$3:$A$5</c:f>
              <c:strCache>
                <c:ptCount val="3"/>
                <c:pt idx="0">
                  <c:v>Cuidado de la Salud</c:v>
                </c:pt>
                <c:pt idx="1">
                  <c:v>Estancias Infantiles</c:v>
                </c:pt>
                <c:pt idx="2">
                  <c:v>Pensionados de Hacienda</c:v>
                </c:pt>
              </c:strCache>
            </c:strRef>
          </c:cat>
          <c:val>
            <c:numRef>
              <c:f>'IV.2.7.INV_SFS x cuentas'!$B$3:$B$5</c:f>
              <c:numCache>
                <c:formatCode>_(* #,##0.00_);_(* \(#,##0.00\);_(* "-"??_);_(@_)</c:formatCode>
                <c:ptCount val="3"/>
                <c:pt idx="0">
                  <c:v>6369525131.2300005</c:v>
                </c:pt>
                <c:pt idx="1">
                  <c:v>868577228.13</c:v>
                </c:pt>
                <c:pt idx="2">
                  <c:v>133430083</c:v>
                </c:pt>
              </c:numCache>
            </c:numRef>
          </c:val>
        </c:ser>
        <c:dLbls>
          <c:showLegendKey val="0"/>
          <c:showVal val="0"/>
          <c:showCatName val="0"/>
          <c:showSerName val="0"/>
          <c:showPercent val="0"/>
          <c:showBubbleSize val="0"/>
          <c:showLeaderLines val="1"/>
        </c:dLbls>
      </c:pie3DChart>
    </c:plotArea>
    <c:plotVisOnly val="1"/>
    <c:dispBlanksAs val="gap"/>
    <c:showDLblsOverMax val="0"/>
  </c:chart>
  <c:spPr>
    <a:ln>
      <a:noFill/>
    </a:ln>
  </c:spPr>
  <c:printSettings>
    <c:headerFooter/>
    <c:pageMargins b="0.75" l="0.7" r="0.7" t="0.75" header="0.3" footer="0.3"/>
    <c:pageSetup orientation="portrait"/>
  </c:printSettings>
</c:chartSpace>
</file>

<file path=xl/charts/chart5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7"/>
    </mc:Choice>
    <mc:Fallback>
      <c:style val="27"/>
    </mc:Fallback>
  </mc:AlternateContent>
  <c:chart>
    <c:title>
      <c:tx>
        <c:rich>
          <a:bodyPr/>
          <a:lstStyle/>
          <a:p>
            <a:pPr>
              <a:defRPr/>
            </a:pPr>
            <a:r>
              <a:rPr lang="es-ES"/>
              <a:t>Aporte</a:t>
            </a:r>
            <a:r>
              <a:rPr lang="es-ES" baseline="0"/>
              <a:t> del Gobierno Central y Pago a SENASA</a:t>
            </a:r>
          </a:p>
          <a:p>
            <a:pPr>
              <a:defRPr/>
            </a:pPr>
            <a:r>
              <a:rPr lang="es-ES" baseline="0"/>
              <a:t>Millones (RD$)</a:t>
            </a:r>
            <a:endParaRPr lang="es-ES"/>
          </a:p>
        </c:rich>
      </c:tx>
      <c:layout>
        <c:manualLayout>
          <c:xMode val="edge"/>
          <c:yMode val="edge"/>
          <c:x val="0.34752111122792823"/>
          <c:y val="2.596259088255886E-2"/>
        </c:manualLayout>
      </c:layout>
      <c:overlay val="0"/>
    </c:title>
    <c:autoTitleDeleted val="0"/>
    <c:plotArea>
      <c:layout>
        <c:manualLayout>
          <c:layoutTarget val="inner"/>
          <c:xMode val="edge"/>
          <c:yMode val="edge"/>
          <c:x val="2.2935268326320288E-2"/>
          <c:y val="0.12867822813318344"/>
          <c:w val="0.93428744656923313"/>
          <c:h val="0.64346232810556125"/>
        </c:manualLayout>
      </c:layout>
      <c:barChart>
        <c:barDir val="col"/>
        <c:grouping val="clustered"/>
        <c:varyColors val="0"/>
        <c:ser>
          <c:idx val="0"/>
          <c:order val="0"/>
          <c:tx>
            <c:strRef>
              <c:f>'IV.2.8.Aport. GOB. y Pagos RS'!$B$3</c:f>
              <c:strCache>
                <c:ptCount val="1"/>
                <c:pt idx="0">
                  <c:v>Aporte Gobierno (Presupuestado)</c:v>
                </c:pt>
              </c:strCache>
            </c:strRef>
          </c:tx>
          <c:spPr>
            <a:solidFill>
              <a:srgbClr val="0070C0"/>
            </a:solidFill>
          </c:spPr>
          <c:invertIfNegative val="0"/>
          <c:dLbls>
            <c:spPr>
              <a:noFill/>
              <a:ln>
                <a:noFill/>
              </a:ln>
              <a:effectLst/>
            </c:spPr>
            <c:txPr>
              <a:bodyPr rot="-5400000" vert="horz" wrap="square" lIns="38100" tIns="19050" rIns="38100" bIns="19050" anchor="ctr">
                <a:spAutoFit/>
              </a:bodyPr>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'IV.2.8.Aport. GOB. y Pagos RS'!$A$4:$A$16</c:f>
              <c:strCache>
                <c:ptCount val="13"/>
                <c:pt idx="0">
                  <c:v>2003</c:v>
                </c:pt>
                <c:pt idx="1">
                  <c:v>2004</c:v>
                </c:pt>
                <c:pt idx="2">
                  <c:v>2005</c:v>
                </c:pt>
                <c:pt idx="3">
                  <c:v>2006</c:v>
                </c:pt>
                <c:pt idx="4">
                  <c:v>2007</c:v>
                </c:pt>
                <c:pt idx="5">
                  <c:v>2008</c:v>
                </c:pt>
                <c:pt idx="6">
                  <c:v>2009</c:v>
                </c:pt>
                <c:pt idx="7">
                  <c:v>2010</c:v>
                </c:pt>
                <c:pt idx="8">
                  <c:v>2011</c:v>
                </c:pt>
                <c:pt idx="9">
                  <c:v>2012</c:v>
                </c:pt>
                <c:pt idx="10">
                  <c:v>2013</c:v>
                </c:pt>
                <c:pt idx="11">
                  <c:v>2014</c:v>
                </c:pt>
                <c:pt idx="12">
                  <c:v>Ene-Nov.2015</c:v>
                </c:pt>
              </c:strCache>
            </c:strRef>
          </c:cat>
          <c:val>
            <c:numRef>
              <c:f>'IV.2.8.Aport. GOB. y Pagos RS'!$B$4:$B$16</c:f>
              <c:numCache>
                <c:formatCode>#,##0.00_);[Red]\(#,##0.00\)</c:formatCode>
                <c:ptCount val="13"/>
                <c:pt idx="0">
                  <c:v>50000000</c:v>
                </c:pt>
                <c:pt idx="1">
                  <c:v>100013332.31999999</c:v>
                </c:pt>
                <c:pt idx="2">
                  <c:v>604604920.63</c:v>
                </c:pt>
                <c:pt idx="3">
                  <c:v>724509996.65999997</c:v>
                </c:pt>
                <c:pt idx="4">
                  <c:v>1566425499.9599998</c:v>
                </c:pt>
                <c:pt idx="5">
                  <c:v>2203369531</c:v>
                </c:pt>
                <c:pt idx="6">
                  <c:v>3190675855.0100002</c:v>
                </c:pt>
                <c:pt idx="7">
                  <c:v>3736675849.46</c:v>
                </c:pt>
                <c:pt idx="8">
                  <c:v>4134675852</c:v>
                </c:pt>
                <c:pt idx="9">
                  <c:v>4599999999.96</c:v>
                </c:pt>
                <c:pt idx="10">
                  <c:v>5302610000</c:v>
                </c:pt>
                <c:pt idx="11">
                  <c:v>6839999499</c:v>
                </c:pt>
                <c:pt idx="12">
                  <c:v>6293464792.25</c:v>
                </c:pt>
              </c:numCache>
            </c:numRef>
          </c:val>
        </c:ser>
        <c:ser>
          <c:idx val="1"/>
          <c:order val="1"/>
          <c:tx>
            <c:strRef>
              <c:f>'IV.2.8.Aport. GOB. y Pagos RS'!$C$3</c:f>
              <c:strCache>
                <c:ptCount val="1"/>
                <c:pt idx="0">
                  <c:v> Pago a SENASA </c:v>
                </c:pt>
              </c:strCache>
            </c:strRef>
          </c:tx>
          <c:spPr>
            <a:solidFill>
              <a:schemeClr val="accent5">
                <a:lumMod val="50000"/>
              </a:schemeClr>
            </a:solidFill>
          </c:spPr>
          <c:invertIfNegative val="0"/>
          <c:dLbls>
            <c:spPr>
              <a:noFill/>
              <a:ln>
                <a:noFill/>
              </a:ln>
              <a:effectLst/>
            </c:spPr>
            <c:txPr>
              <a:bodyPr rot="-5400000" vert="horz" wrap="square" lIns="38100" tIns="19050" rIns="38100" bIns="19050" anchor="ctr">
                <a:spAutoFit/>
              </a:bodyPr>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'IV.2.8.Aport. GOB. y Pagos RS'!$A$4:$A$16</c:f>
              <c:strCache>
                <c:ptCount val="13"/>
                <c:pt idx="0">
                  <c:v>2003</c:v>
                </c:pt>
                <c:pt idx="1">
                  <c:v>2004</c:v>
                </c:pt>
                <c:pt idx="2">
                  <c:v>2005</c:v>
                </c:pt>
                <c:pt idx="3">
                  <c:v>2006</c:v>
                </c:pt>
                <c:pt idx="4">
                  <c:v>2007</c:v>
                </c:pt>
                <c:pt idx="5">
                  <c:v>2008</c:v>
                </c:pt>
                <c:pt idx="6">
                  <c:v>2009</c:v>
                </c:pt>
                <c:pt idx="7">
                  <c:v>2010</c:v>
                </c:pt>
                <c:pt idx="8">
                  <c:v>2011</c:v>
                </c:pt>
                <c:pt idx="9">
                  <c:v>2012</c:v>
                </c:pt>
                <c:pt idx="10">
                  <c:v>2013</c:v>
                </c:pt>
                <c:pt idx="11">
                  <c:v>2014</c:v>
                </c:pt>
                <c:pt idx="12">
                  <c:v>Ene-Nov.2015</c:v>
                </c:pt>
              </c:strCache>
            </c:strRef>
          </c:cat>
          <c:val>
            <c:numRef>
              <c:f>'IV.2.8.Aport. GOB. y Pagos RS'!$C$4:$C$16</c:f>
              <c:numCache>
                <c:formatCode>#,##0.00_);[Red]\(#,##0.00\)</c:formatCode>
                <c:ptCount val="13"/>
                <c:pt idx="0">
                  <c:v>50652652.469999999</c:v>
                </c:pt>
                <c:pt idx="1">
                  <c:v>103813912.38</c:v>
                </c:pt>
                <c:pt idx="2">
                  <c:v>203608914.68000001</c:v>
                </c:pt>
                <c:pt idx="3">
                  <c:v>816768960.5</c:v>
                </c:pt>
                <c:pt idx="4">
                  <c:v>1578880050.26</c:v>
                </c:pt>
                <c:pt idx="5">
                  <c:v>2556770326.0999999</c:v>
                </c:pt>
                <c:pt idx="6">
                  <c:v>2723337644.3600001</c:v>
                </c:pt>
                <c:pt idx="7">
                  <c:v>3444380482.9799995</c:v>
                </c:pt>
                <c:pt idx="8">
                  <c:v>4363872025.2399998</c:v>
                </c:pt>
                <c:pt idx="9">
                  <c:v>4742082647.7799997</c:v>
                </c:pt>
                <c:pt idx="10">
                  <c:v>5215203784.9399996</c:v>
                </c:pt>
                <c:pt idx="11">
                  <c:v>7378610518.96</c:v>
                </c:pt>
                <c:pt idx="12">
                  <c:v>6254114959.9200001</c:v>
                </c:pt>
              </c:numCache>
            </c:numRef>
          </c:val>
        </c:ser>
        <c:ser>
          <c:idx val="2"/>
          <c:order val="2"/>
          <c:tx>
            <c:strRef>
              <c:f>'IV.2.8.Aport. GOB. y Pagos RS'!$D$3</c:f>
              <c:strCache>
                <c:ptCount val="1"/>
                <c:pt idx="0">
                  <c:v>Saldos</c:v>
                </c:pt>
              </c:strCache>
            </c:strRef>
          </c:tx>
          <c:spPr>
            <a:solidFill>
              <a:srgbClr val="FFC000"/>
            </a:solidFill>
          </c:spPr>
          <c:invertIfNegative val="0"/>
          <c:dPt>
            <c:idx val="1"/>
            <c:invertIfNegative val="0"/>
            <c:bubble3D val="0"/>
          </c:dPt>
          <c:dPt>
            <c:idx val="2"/>
            <c:invertIfNegative val="0"/>
            <c:bubble3D val="0"/>
          </c:dPt>
          <c:dPt>
            <c:idx val="4"/>
            <c:invertIfNegative val="0"/>
            <c:bubble3D val="0"/>
          </c:dPt>
          <c:dPt>
            <c:idx val="5"/>
            <c:invertIfNegative val="0"/>
            <c:bubble3D val="0"/>
          </c:dPt>
          <c:dPt>
            <c:idx val="6"/>
            <c:invertIfNegative val="0"/>
            <c:bubble3D val="0"/>
          </c:dPt>
          <c:dPt>
            <c:idx val="9"/>
            <c:invertIfNegative val="0"/>
            <c:bubble3D val="0"/>
          </c:dPt>
          <c:dPt>
            <c:idx val="10"/>
            <c:invertIfNegative val="0"/>
            <c:bubble3D val="0"/>
          </c:dPt>
          <c:dLbls>
            <c:spPr>
              <a:noFill/>
              <a:ln>
                <a:noFill/>
              </a:ln>
              <a:effectLst/>
            </c:spPr>
            <c:txPr>
              <a:bodyPr rot="-5400000" vert="horz" wrap="square" lIns="38100" tIns="19050" rIns="38100" bIns="19050" anchor="ctr">
                <a:spAutoFit/>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'IV.2.8.Aport. GOB. y Pagos RS'!$A$4:$A$16</c:f>
              <c:strCache>
                <c:ptCount val="13"/>
                <c:pt idx="0">
                  <c:v>2003</c:v>
                </c:pt>
                <c:pt idx="1">
                  <c:v>2004</c:v>
                </c:pt>
                <c:pt idx="2">
                  <c:v>2005</c:v>
                </c:pt>
                <c:pt idx="3">
                  <c:v>2006</c:v>
                </c:pt>
                <c:pt idx="4">
                  <c:v>2007</c:v>
                </c:pt>
                <c:pt idx="5">
                  <c:v>2008</c:v>
                </c:pt>
                <c:pt idx="6">
                  <c:v>2009</c:v>
                </c:pt>
                <c:pt idx="7">
                  <c:v>2010</c:v>
                </c:pt>
                <c:pt idx="8">
                  <c:v>2011</c:v>
                </c:pt>
                <c:pt idx="9">
                  <c:v>2012</c:v>
                </c:pt>
                <c:pt idx="10">
                  <c:v>2013</c:v>
                </c:pt>
                <c:pt idx="11">
                  <c:v>2014</c:v>
                </c:pt>
                <c:pt idx="12">
                  <c:v>Ene-Nov.2015</c:v>
                </c:pt>
              </c:strCache>
            </c:strRef>
          </c:cat>
          <c:val>
            <c:numRef>
              <c:f>'IV.2.8.Aport. GOB. y Pagos RS'!$D$4:$D$16</c:f>
              <c:numCache>
                <c:formatCode>#,##0.00_);[Red]\(#,##0.00\)</c:formatCode>
                <c:ptCount val="13"/>
                <c:pt idx="0">
                  <c:v>-652652.46999999881</c:v>
                </c:pt>
                <c:pt idx="1">
                  <c:v>-3800580.0600000024</c:v>
                </c:pt>
                <c:pt idx="2">
                  <c:v>400996005.94999999</c:v>
                </c:pt>
                <c:pt idx="3">
                  <c:v>-92258963.840000033</c:v>
                </c:pt>
                <c:pt idx="4">
                  <c:v>-12454550.300000191</c:v>
                </c:pt>
                <c:pt idx="5">
                  <c:v>-353400795.0999999</c:v>
                </c:pt>
                <c:pt idx="6">
                  <c:v>467338210.6500001</c:v>
                </c:pt>
                <c:pt idx="7">
                  <c:v>292295366.4800005</c:v>
                </c:pt>
                <c:pt idx="8">
                  <c:v>-229196173.23999977</c:v>
                </c:pt>
                <c:pt idx="9">
                  <c:v>-142082647.81999969</c:v>
                </c:pt>
                <c:pt idx="10">
                  <c:v>87406215.06000042</c:v>
                </c:pt>
                <c:pt idx="11">
                  <c:v>-538611019.96000004</c:v>
                </c:pt>
                <c:pt idx="12">
                  <c:v>39349832.329999924</c:v>
                </c:pt>
              </c:numCache>
            </c:numRef>
          </c:val>
        </c:ser>
        <c:dLbls>
          <c:showLegendKey val="0"/>
          <c:showVal val="0"/>
          <c:showCatName val="0"/>
          <c:showSerName val="0"/>
          <c:showPercent val="0"/>
          <c:showBubbleSize val="0"/>
        </c:dLbls>
        <c:gapWidth val="75"/>
        <c:overlap val="-25"/>
        <c:axId val="372822352"/>
        <c:axId val="372823136"/>
      </c:barChart>
      <c:catAx>
        <c:axId val="372822352"/>
        <c:scaling>
          <c:orientation val="minMax"/>
        </c:scaling>
        <c:delete val="0"/>
        <c:axPos val="b"/>
        <c:numFmt formatCode="General" sourceLinked="1"/>
        <c:majorTickMark val="none"/>
        <c:minorTickMark val="none"/>
        <c:tickLblPos val="low"/>
        <c:txPr>
          <a:bodyPr/>
          <a:lstStyle/>
          <a:p>
            <a:pPr>
              <a:defRPr sz="1400"/>
            </a:pPr>
            <a:endParaRPr lang="es-ES"/>
          </a:p>
        </c:txPr>
        <c:crossAx val="372823136"/>
        <c:crosses val="autoZero"/>
        <c:auto val="1"/>
        <c:lblAlgn val="ctr"/>
        <c:lblOffset val="100"/>
        <c:noMultiLvlLbl val="0"/>
      </c:catAx>
      <c:valAx>
        <c:axId val="372823136"/>
        <c:scaling>
          <c:orientation val="minMax"/>
        </c:scaling>
        <c:delete val="0"/>
        <c:axPos val="l"/>
        <c:numFmt formatCode="#,##0.00_);[Red]\(#,##0.00\)" sourceLinked="1"/>
        <c:majorTickMark val="none"/>
        <c:minorTickMark val="none"/>
        <c:tickLblPos val="none"/>
        <c:spPr>
          <a:ln w="9525">
            <a:noFill/>
          </a:ln>
        </c:spPr>
        <c:crossAx val="372822352"/>
        <c:crosses val="autoZero"/>
        <c:crossBetween val="midCat"/>
        <c:dispUnits>
          <c:builtInUnit val="millions"/>
          <c:dispUnitsLbl>
            <c:layout>
              <c:manualLayout>
                <c:xMode val="edge"/>
                <c:yMode val="edge"/>
                <c:x val="3.4102336361643616E-3"/>
                <c:y val="0.43641968749756765"/>
              </c:manualLayout>
            </c:layout>
          </c:dispUnitsLbl>
        </c:dispUnits>
      </c:valAx>
    </c:plotArea>
    <c:legend>
      <c:legendPos val="b"/>
      <c:layout>
        <c:manualLayout>
          <c:xMode val="edge"/>
          <c:yMode val="edge"/>
          <c:x val="0.25937440255937677"/>
          <c:y val="0.10825571206629797"/>
          <c:w val="0.46011755411646693"/>
          <c:h val="6.186153322007594E-2"/>
        </c:manualLayout>
      </c:layout>
      <c:overlay val="0"/>
      <c:txPr>
        <a:bodyPr/>
        <a:lstStyle/>
        <a:p>
          <a:pPr>
            <a:defRPr sz="1600"/>
          </a:pPr>
          <a:endParaRPr lang="es-E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5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400" b="1" i="0" u="none" strike="noStrike" kern="1200" baseline="0">
                <a:solidFill>
                  <a:sysClr val="windowText" lastClr="000000"/>
                </a:solidFill>
                <a:latin typeface="+mn-lt"/>
                <a:ea typeface="+mn-ea"/>
                <a:cs typeface="+mn-cs"/>
              </a:defRPr>
            </a:pPr>
            <a:r>
              <a:rPr lang="es-DO" sz="1400" b="1">
                <a:effectLst/>
              </a:rPr>
              <a:t>Seguro Familiar de Salud (SFS) del Régimen Subsidiado (RS)</a:t>
            </a:r>
            <a:endParaRPr lang="es-ES" sz="1400">
              <a:effectLst/>
            </a:endParaRPr>
          </a:p>
          <a:p>
            <a:pPr marL="0" marR="0" indent="0" algn="ctr" defTabSz="914400" rtl="0" eaLnBrk="1" fontAlgn="auto" latinLnBrk="0" hangingPunct="1">
              <a:lnSpc>
                <a:spcPct val="100000"/>
              </a:lnSpc>
              <a:spcBef>
                <a:spcPts val="0"/>
              </a:spcBef>
              <a:spcAft>
                <a:spcPts val="0"/>
              </a:spcAft>
              <a:buClrTx/>
              <a:buSzTx/>
              <a:buFontTx/>
              <a:buNone/>
              <a:tabLst/>
              <a:defRPr sz="1400" b="1" i="0" u="none" strike="noStrike" kern="1200" baseline="0">
                <a:solidFill>
                  <a:sysClr val="windowText" lastClr="000000"/>
                </a:solidFill>
                <a:latin typeface="+mn-lt"/>
                <a:ea typeface="+mn-ea"/>
                <a:cs typeface="+mn-cs"/>
              </a:defRPr>
            </a:pPr>
            <a:r>
              <a:rPr lang="es-DO" sz="1400" b="1">
                <a:effectLst/>
              </a:rPr>
              <a:t>Aportes y Pagos Mensual </a:t>
            </a:r>
          </a:p>
          <a:p>
            <a:pPr marL="0" marR="0" indent="0" algn="ctr" defTabSz="914400" rtl="0" eaLnBrk="1" fontAlgn="auto" latinLnBrk="0" hangingPunct="1">
              <a:lnSpc>
                <a:spcPct val="100000"/>
              </a:lnSpc>
              <a:spcBef>
                <a:spcPts val="0"/>
              </a:spcBef>
              <a:spcAft>
                <a:spcPts val="0"/>
              </a:spcAft>
              <a:buClrTx/>
              <a:buSzTx/>
              <a:buFontTx/>
              <a:buNone/>
              <a:tabLst/>
              <a:defRPr sz="1400" b="1" i="0" u="none" strike="noStrike" kern="1200" baseline="0">
                <a:solidFill>
                  <a:sysClr val="windowText" lastClr="000000"/>
                </a:solidFill>
                <a:latin typeface="+mn-lt"/>
                <a:ea typeface="+mn-ea"/>
                <a:cs typeface="+mn-cs"/>
              </a:defRPr>
            </a:pPr>
            <a:r>
              <a:rPr lang="es-ES" sz="1400" b="1" i="0" baseline="0">
                <a:effectLst/>
              </a:rPr>
              <a:t>Millones (RD$)</a:t>
            </a:r>
            <a:endParaRPr lang="es-ES" sz="1100">
              <a:effectLst/>
            </a:endParaRPr>
          </a:p>
          <a:p>
            <a:pPr marL="0" marR="0" indent="0" algn="ctr" defTabSz="914400" rtl="0" eaLnBrk="1" fontAlgn="auto" latinLnBrk="0" hangingPunct="1">
              <a:lnSpc>
                <a:spcPct val="100000"/>
              </a:lnSpc>
              <a:spcBef>
                <a:spcPts val="0"/>
              </a:spcBef>
              <a:spcAft>
                <a:spcPts val="0"/>
              </a:spcAft>
              <a:buClrTx/>
              <a:buSzTx/>
              <a:buFontTx/>
              <a:buNone/>
              <a:tabLst/>
              <a:defRPr sz="1400" b="1" i="0" u="none" strike="noStrike" kern="1200" baseline="0">
                <a:solidFill>
                  <a:sysClr val="windowText" lastClr="000000"/>
                </a:solidFill>
                <a:latin typeface="+mn-lt"/>
                <a:ea typeface="+mn-ea"/>
                <a:cs typeface="+mn-cs"/>
              </a:defRPr>
            </a:pPr>
            <a:endParaRPr lang="es-ES" sz="1400">
              <a:effectLst/>
            </a:endParaRPr>
          </a:p>
        </c:rich>
      </c:tx>
      <c:layout>
        <c:manualLayout>
          <c:xMode val="edge"/>
          <c:yMode val="edge"/>
          <c:x val="0.30904961698295769"/>
          <c:y val="4.7666575257577753E-2"/>
        </c:manualLayout>
      </c:layout>
      <c:overlay val="0"/>
    </c:title>
    <c:autoTitleDeleted val="0"/>
    <c:view3D>
      <c:rotX val="15"/>
      <c:rotY val="20"/>
      <c:depthPercent val="100"/>
      <c:rAngAx val="1"/>
    </c:view3D>
    <c:floor>
      <c:thickness val="0"/>
      <c:spPr>
        <a:noFill/>
        <a:ln w="9525">
          <a:noFill/>
        </a:ln>
      </c:spPr>
    </c:floor>
    <c:sideWall>
      <c:thickness val="0"/>
    </c:sideWall>
    <c:backWall>
      <c:thickness val="0"/>
    </c:backWall>
    <c:plotArea>
      <c:layout>
        <c:manualLayout>
          <c:layoutTarget val="inner"/>
          <c:xMode val="edge"/>
          <c:yMode val="edge"/>
          <c:x val="1.0175709918545888E-2"/>
          <c:y val="0.23276819960895903"/>
          <c:w val="0.97679166331307188"/>
          <c:h val="0.59251074650360236"/>
        </c:manualLayout>
      </c:layout>
      <c:bar3DChart>
        <c:barDir val="col"/>
        <c:grouping val="clustered"/>
        <c:varyColors val="0"/>
        <c:ser>
          <c:idx val="0"/>
          <c:order val="0"/>
          <c:tx>
            <c:strRef>
              <c:f>'IV.2.9.Saldos RS mensual'!$B$2</c:f>
              <c:strCache>
                <c:ptCount val="1"/>
                <c:pt idx="0">
                  <c:v>Aporte Gobierno</c:v>
                </c:pt>
              </c:strCache>
            </c:strRef>
          </c:tx>
          <c:spPr>
            <a:solidFill>
              <a:srgbClr val="0070C0"/>
            </a:solidFill>
          </c:spPr>
          <c:invertIfNegative val="0"/>
          <c:dLbls>
            <c:spPr>
              <a:noFill/>
              <a:ln>
                <a:noFill/>
              </a:ln>
              <a:effectLst/>
            </c:spPr>
            <c:txPr>
              <a:bodyPr rot="-5400000" vert="horz" wrap="square" lIns="38100" tIns="19050" rIns="38100" bIns="19050" anchor="ctr">
                <a:spAutoFit/>
              </a:bodyPr>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'IV.2.9.Saldos RS mensual'!$A$3:$A$15</c:f>
              <c:strCache>
                <c:ptCount val="13"/>
                <c:pt idx="0">
                  <c:v> Nov.14 </c:v>
                </c:pt>
                <c:pt idx="1">
                  <c:v> Dic.14 </c:v>
                </c:pt>
                <c:pt idx="2">
                  <c:v> Ene.15 </c:v>
                </c:pt>
                <c:pt idx="3">
                  <c:v> Feb.15 </c:v>
                </c:pt>
                <c:pt idx="4">
                  <c:v> Mar.15 </c:v>
                </c:pt>
                <c:pt idx="5">
                  <c:v> Abr.15 </c:v>
                </c:pt>
                <c:pt idx="6">
                  <c:v> May.15 </c:v>
                </c:pt>
                <c:pt idx="7">
                  <c:v> Jun.15 </c:v>
                </c:pt>
                <c:pt idx="8">
                  <c:v> Jul.15 </c:v>
                </c:pt>
                <c:pt idx="9">
                  <c:v> Ago.15 </c:v>
                </c:pt>
                <c:pt idx="10">
                  <c:v> Sep.15 </c:v>
                </c:pt>
                <c:pt idx="11">
                  <c:v> Oct.15 </c:v>
                </c:pt>
                <c:pt idx="12">
                  <c:v>Nov.15 </c:v>
                </c:pt>
              </c:strCache>
            </c:strRef>
          </c:cat>
          <c:val>
            <c:numRef>
              <c:f>'IV.2.9.Saldos RS mensual'!$B$3:$B$15</c:f>
              <c:numCache>
                <c:formatCode>_(* #,##0.00_);_(* \(#,##0.00\);_(* "-"??_);_(@_)</c:formatCode>
                <c:ptCount val="13"/>
                <c:pt idx="0">
                  <c:v>570000000</c:v>
                </c:pt>
                <c:pt idx="1">
                  <c:v>1139999499</c:v>
                </c:pt>
                <c:pt idx="2">
                  <c:v>0</c:v>
                </c:pt>
                <c:pt idx="3">
                  <c:v>629346479</c:v>
                </c:pt>
                <c:pt idx="4">
                  <c:v>629346479.75</c:v>
                </c:pt>
                <c:pt idx="5">
                  <c:v>629346479.75</c:v>
                </c:pt>
                <c:pt idx="6">
                  <c:v>629346479.75</c:v>
                </c:pt>
                <c:pt idx="7">
                  <c:v>629346479.75</c:v>
                </c:pt>
                <c:pt idx="8">
                  <c:v>629346479.75</c:v>
                </c:pt>
                <c:pt idx="9">
                  <c:v>629346479.75</c:v>
                </c:pt>
                <c:pt idx="10">
                  <c:v>629346479</c:v>
                </c:pt>
                <c:pt idx="11">
                  <c:v>629346479</c:v>
                </c:pt>
                <c:pt idx="12">
                  <c:v>629346479</c:v>
                </c:pt>
              </c:numCache>
            </c:numRef>
          </c:val>
        </c:ser>
        <c:ser>
          <c:idx val="1"/>
          <c:order val="1"/>
          <c:tx>
            <c:strRef>
              <c:f>'IV.2.9.Saldos RS mensual'!$C$2</c:f>
              <c:strCache>
                <c:ptCount val="1"/>
                <c:pt idx="0">
                  <c:v>Pagos a SENASA</c:v>
                </c:pt>
              </c:strCache>
            </c:strRef>
          </c:tx>
          <c:spPr>
            <a:solidFill>
              <a:schemeClr val="accent3">
                <a:lumMod val="75000"/>
              </a:schemeClr>
            </a:solidFill>
          </c:spPr>
          <c:invertIfNegative val="0"/>
          <c:dLbls>
            <c:dLbl>
              <c:idx val="0"/>
              <c:layout>
                <c:manualLayout>
                  <c:x val="0"/>
                  <c:y val="-3.7691410038618064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wrap="square" lIns="38100" tIns="19050" rIns="38100" bIns="19050" anchor="ctr">
                <a:spAutoFit/>
              </a:bodyPr>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'IV.2.9.Saldos RS mensual'!$A$3:$A$15</c:f>
              <c:strCache>
                <c:ptCount val="13"/>
                <c:pt idx="0">
                  <c:v> Nov.14 </c:v>
                </c:pt>
                <c:pt idx="1">
                  <c:v> Dic.14 </c:v>
                </c:pt>
                <c:pt idx="2">
                  <c:v> Ene.15 </c:v>
                </c:pt>
                <c:pt idx="3">
                  <c:v> Feb.15 </c:v>
                </c:pt>
                <c:pt idx="4">
                  <c:v> Mar.15 </c:v>
                </c:pt>
                <c:pt idx="5">
                  <c:v> Abr.15 </c:v>
                </c:pt>
                <c:pt idx="6">
                  <c:v> May.15 </c:v>
                </c:pt>
                <c:pt idx="7">
                  <c:v> Jun.15 </c:v>
                </c:pt>
                <c:pt idx="8">
                  <c:v> Jul.15 </c:v>
                </c:pt>
                <c:pt idx="9">
                  <c:v> Ago.15 </c:v>
                </c:pt>
                <c:pt idx="10">
                  <c:v> Sep.15 </c:v>
                </c:pt>
                <c:pt idx="11">
                  <c:v> Oct.15 </c:v>
                </c:pt>
                <c:pt idx="12">
                  <c:v>Nov.15 </c:v>
                </c:pt>
              </c:strCache>
            </c:strRef>
          </c:cat>
          <c:val>
            <c:numRef>
              <c:f>'IV.2.9.Saldos RS mensual'!$C$3:$C$15</c:f>
              <c:numCache>
                <c:formatCode>_(* #,##0.00_);_(* \(#,##0.00\);_(* "-"??_);_(@_)</c:formatCode>
                <c:ptCount val="13"/>
                <c:pt idx="0">
                  <c:v>584861503.05999994</c:v>
                </c:pt>
                <c:pt idx="1">
                  <c:v>1200757477.7</c:v>
                </c:pt>
                <c:pt idx="2">
                  <c:v>0</c:v>
                </c:pt>
                <c:pt idx="3">
                  <c:v>616221438.53999996</c:v>
                </c:pt>
                <c:pt idx="4">
                  <c:v>616437456.22000003</c:v>
                </c:pt>
                <c:pt idx="5">
                  <c:v>622706897.10000002</c:v>
                </c:pt>
                <c:pt idx="6">
                  <c:v>622927021.58000004</c:v>
                </c:pt>
                <c:pt idx="7">
                  <c:v>623730106.32000005</c:v>
                </c:pt>
                <c:pt idx="8">
                  <c:v>625066868.48000002</c:v>
                </c:pt>
                <c:pt idx="9">
                  <c:v>628985578.27999997</c:v>
                </c:pt>
                <c:pt idx="10">
                  <c:v>632014000.86000001</c:v>
                </c:pt>
                <c:pt idx="11">
                  <c:v>631627688.05999994</c:v>
                </c:pt>
                <c:pt idx="12">
                  <c:v>634397904.48000002</c:v>
                </c:pt>
              </c:numCache>
            </c:numRef>
          </c:val>
        </c:ser>
        <c:ser>
          <c:idx val="2"/>
          <c:order val="2"/>
          <c:tx>
            <c:strRef>
              <c:f>'IV.2.9.Saldos RS mensual'!$D$2</c:f>
              <c:strCache>
                <c:ptCount val="1"/>
                <c:pt idx="0">
                  <c:v>Saldos</c:v>
                </c:pt>
              </c:strCache>
            </c:strRef>
          </c:tx>
          <c:spPr>
            <a:solidFill>
              <a:srgbClr val="FFC000"/>
            </a:solidFill>
          </c:spPr>
          <c:invertIfNegative val="0"/>
          <c:cat>
            <c:strRef>
              <c:f>'IV.2.9.Saldos RS mensual'!$A$3:$A$15</c:f>
              <c:strCache>
                <c:ptCount val="13"/>
                <c:pt idx="0">
                  <c:v> Nov.14 </c:v>
                </c:pt>
                <c:pt idx="1">
                  <c:v> Dic.14 </c:v>
                </c:pt>
                <c:pt idx="2">
                  <c:v> Ene.15 </c:v>
                </c:pt>
                <c:pt idx="3">
                  <c:v> Feb.15 </c:v>
                </c:pt>
                <c:pt idx="4">
                  <c:v> Mar.15 </c:v>
                </c:pt>
                <c:pt idx="5">
                  <c:v> Abr.15 </c:v>
                </c:pt>
                <c:pt idx="6">
                  <c:v> May.15 </c:v>
                </c:pt>
                <c:pt idx="7">
                  <c:v> Jun.15 </c:v>
                </c:pt>
                <c:pt idx="8">
                  <c:v> Jul.15 </c:v>
                </c:pt>
                <c:pt idx="9">
                  <c:v> Ago.15 </c:v>
                </c:pt>
                <c:pt idx="10">
                  <c:v> Sep.15 </c:v>
                </c:pt>
                <c:pt idx="11">
                  <c:v> Oct.15 </c:v>
                </c:pt>
                <c:pt idx="12">
                  <c:v>Nov.15 </c:v>
                </c:pt>
              </c:strCache>
            </c:strRef>
          </c:cat>
          <c:val>
            <c:numRef>
              <c:f>'IV.2.9.Saldos RS mensual'!$D$3:$D$15</c:f>
              <c:numCache>
                <c:formatCode>General</c:formatCode>
                <c:ptCount val="13"/>
                <c:pt idx="0">
                  <c:v>-14861503.059999943</c:v>
                </c:pt>
                <c:pt idx="1">
                  <c:v>-60757978.700000048</c:v>
                </c:pt>
                <c:pt idx="2">
                  <c:v>0</c:v>
                </c:pt>
                <c:pt idx="3">
                  <c:v>13125040.460000038</c:v>
                </c:pt>
                <c:pt idx="4">
                  <c:v>12909023.529999971</c:v>
                </c:pt>
                <c:pt idx="5">
                  <c:v>6639582.6499999762</c:v>
                </c:pt>
                <c:pt idx="6">
                  <c:v>6419458.1699999571</c:v>
                </c:pt>
                <c:pt idx="7">
                  <c:v>5616373.4299999475</c:v>
                </c:pt>
                <c:pt idx="8">
                  <c:v>4279611.2699999809</c:v>
                </c:pt>
                <c:pt idx="9">
                  <c:v>360901.47000002861</c:v>
                </c:pt>
                <c:pt idx="10">
                  <c:v>-2667521.8600000143</c:v>
                </c:pt>
                <c:pt idx="11">
                  <c:v>-2281209.0599999428</c:v>
                </c:pt>
                <c:pt idx="12">
                  <c:v>-5051425.4800000191</c:v>
                </c:pt>
              </c:numCache>
            </c:numRef>
          </c:val>
        </c:ser>
        <c:dLbls>
          <c:showLegendKey val="0"/>
          <c:showVal val="0"/>
          <c:showCatName val="0"/>
          <c:showSerName val="0"/>
          <c:showPercent val="0"/>
          <c:showBubbleSize val="0"/>
        </c:dLbls>
        <c:gapWidth val="75"/>
        <c:shape val="cylinder"/>
        <c:axId val="372823528"/>
        <c:axId val="372812944"/>
        <c:axId val="0"/>
      </c:bar3DChart>
      <c:catAx>
        <c:axId val="372823528"/>
        <c:scaling>
          <c:orientation val="minMax"/>
        </c:scaling>
        <c:delete val="0"/>
        <c:axPos val="b"/>
        <c:numFmt formatCode="mmm\-yy" sourceLinked="0"/>
        <c:majorTickMark val="none"/>
        <c:minorTickMark val="none"/>
        <c:tickLblPos val="low"/>
        <c:txPr>
          <a:bodyPr/>
          <a:lstStyle/>
          <a:p>
            <a:pPr>
              <a:defRPr lang="en-US" sz="1600"/>
            </a:pPr>
            <a:endParaRPr lang="es-ES"/>
          </a:p>
        </c:txPr>
        <c:crossAx val="372812944"/>
        <c:crosses val="autoZero"/>
        <c:auto val="1"/>
        <c:lblAlgn val="ctr"/>
        <c:lblOffset val="100"/>
        <c:noMultiLvlLbl val="1"/>
      </c:catAx>
      <c:valAx>
        <c:axId val="372812944"/>
        <c:scaling>
          <c:orientation val="minMax"/>
        </c:scaling>
        <c:delete val="0"/>
        <c:axPos val="l"/>
        <c:numFmt formatCode="_(* #,##0.00_);_(* \(#,##0.00\);_(* &quot;-&quot;??_);_(@_)" sourceLinked="1"/>
        <c:majorTickMark val="none"/>
        <c:minorTickMark val="none"/>
        <c:tickLblPos val="none"/>
        <c:spPr>
          <a:ln w="9525">
            <a:noFill/>
          </a:ln>
        </c:spPr>
        <c:txPr>
          <a:bodyPr/>
          <a:lstStyle/>
          <a:p>
            <a:pPr>
              <a:defRPr lang="en-US"/>
            </a:pPr>
            <a:endParaRPr lang="es-ES"/>
          </a:p>
        </c:txPr>
        <c:crossAx val="372823528"/>
        <c:crosses val="autoZero"/>
        <c:crossBetween val="between"/>
        <c:dispUnits>
          <c:builtInUnit val="millions"/>
        </c:dispUnits>
      </c:valAx>
      <c:spPr>
        <a:noFill/>
        <a:ln w="25400">
          <a:noFill/>
        </a:ln>
      </c:spPr>
    </c:plotArea>
    <c:legend>
      <c:legendPos val="b"/>
      <c:layout>
        <c:manualLayout>
          <c:xMode val="edge"/>
          <c:yMode val="edge"/>
          <c:x val="0.30106671605003188"/>
          <c:y val="0.17919920889588506"/>
          <c:w val="0.35389992379984758"/>
          <c:h val="4.9493817080081687E-2"/>
        </c:manualLayout>
      </c:layout>
      <c:overlay val="0"/>
      <c:txPr>
        <a:bodyPr/>
        <a:lstStyle/>
        <a:p>
          <a:pPr>
            <a:defRPr lang="en-US" sz="1400"/>
          </a:pPr>
          <a:endParaRPr lang="es-E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userShapes r:id="rId1"/>
</c:chartSpace>
</file>

<file path=xl/charts/chart5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cap="all" spc="50" baseline="0">
                <a:solidFill>
                  <a:sysClr val="windowText" lastClr="000000"/>
                </a:solidFill>
                <a:latin typeface="+mn-lt"/>
                <a:ea typeface="+mn-ea"/>
                <a:cs typeface="+mn-cs"/>
              </a:defRPr>
            </a:pPr>
            <a:r>
              <a:rPr lang="es-DO" sz="1400" b="1">
                <a:effectLst/>
              </a:rPr>
              <a:t>Régimen Especial Transitorio para la Salud de Pensionados Ley 1896 - 379</a:t>
            </a:r>
            <a:endParaRPr lang="es-ES" sz="1400">
              <a:effectLst/>
            </a:endParaRPr>
          </a:p>
          <a:p>
            <a:pPr>
              <a:defRPr>
                <a:solidFill>
                  <a:sysClr val="windowText" lastClr="000000"/>
                </a:solidFill>
              </a:defRPr>
            </a:pPr>
            <a:r>
              <a:rPr lang="es-DO" sz="1400" b="1">
                <a:effectLst/>
              </a:rPr>
              <a:t>Pagos Anuales del  SFSP </a:t>
            </a:r>
            <a:endParaRPr lang="en-US" sz="1400">
              <a:solidFill>
                <a:sysClr val="windowText" lastClr="000000"/>
              </a:solidFill>
            </a:endParaRPr>
          </a:p>
        </c:rich>
      </c:tx>
      <c:layout>
        <c:manualLayout>
          <c:xMode val="edge"/>
          <c:yMode val="edge"/>
          <c:x val="0.16953148967594128"/>
          <c:y val="1.8205446027859298E-2"/>
        </c:manualLayout>
      </c:layout>
      <c:overlay val="0"/>
      <c:spPr>
        <a:noFill/>
        <a:ln>
          <a:noFill/>
        </a:ln>
        <a:effectLst/>
      </c:spPr>
      <c:txPr>
        <a:bodyPr rot="0" spcFirstLastPara="1" vertOverflow="ellipsis" vert="horz" wrap="square" anchor="ctr" anchorCtr="1"/>
        <a:lstStyle/>
        <a:p>
          <a:pPr>
            <a:defRPr sz="1800" b="1" i="0" u="none" strike="noStrike" kern="1200" cap="all" spc="50" baseline="0">
              <a:solidFill>
                <a:sysClr val="windowText" lastClr="000000"/>
              </a:solidFill>
              <a:latin typeface="+mn-lt"/>
              <a:ea typeface="+mn-ea"/>
              <a:cs typeface="+mn-cs"/>
            </a:defRPr>
          </a:pPr>
          <a:endParaRPr lang="es-ES"/>
        </a:p>
      </c:txPr>
    </c:title>
    <c:autoTitleDeleted val="0"/>
    <c:plotArea>
      <c:layout>
        <c:manualLayout>
          <c:layoutTarget val="inner"/>
          <c:xMode val="edge"/>
          <c:yMode val="edge"/>
          <c:x val="0.10910940354431861"/>
          <c:y val="0.16922397432976477"/>
          <c:w val="0.83654729702186092"/>
          <c:h val="0.67132504490534961"/>
        </c:manualLayout>
      </c:layout>
      <c:barChart>
        <c:barDir val="bar"/>
        <c:grouping val="clustered"/>
        <c:varyColors val="0"/>
        <c:ser>
          <c:idx val="0"/>
          <c:order val="0"/>
          <c:tx>
            <c:strRef>
              <c:f>'IV.2.10 Pagos.SFS Pens.'!$B$6</c:f>
              <c:strCache>
                <c:ptCount val="1"/>
                <c:pt idx="0">
                  <c:v>Pagos SFSP</c:v>
                </c:pt>
              </c:strCache>
            </c:strRef>
          </c:tx>
          <c:spPr>
            <a:gradFill flip="none" rotWithShape="1">
              <a:gsLst>
                <a:gs pos="0">
                  <a:schemeClr val="accent1"/>
                </a:gs>
                <a:gs pos="75000">
                  <a:schemeClr val="accent1">
                    <a:lumMod val="60000"/>
                    <a:lumOff val="40000"/>
                  </a:schemeClr>
                </a:gs>
                <a:gs pos="51000">
                  <a:schemeClr val="accent1">
                    <a:alpha val="75000"/>
                  </a:schemeClr>
                </a:gs>
                <a:gs pos="100000">
                  <a:schemeClr val="accent1">
                    <a:lumMod val="20000"/>
                    <a:lumOff val="80000"/>
                    <a:alpha val="15000"/>
                  </a:schemeClr>
                </a:gs>
              </a:gsLst>
              <a:lin ang="10800000" scaled="1"/>
              <a:tileRect/>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strRef>
              <c:f>'IV.2.10 Pagos.SFS Pens.'!$A$7:$A$12</c:f>
              <c:strCache>
                <c:ptCount val="6"/>
                <c:pt idx="0">
                  <c:v>Jul. 2010</c:v>
                </c:pt>
                <c:pt idx="1">
                  <c:v>2011</c:v>
                </c:pt>
                <c:pt idx="2">
                  <c:v>2012</c:v>
                </c:pt>
                <c:pt idx="3">
                  <c:v>2013</c:v>
                </c:pt>
                <c:pt idx="4">
                  <c:v>2014</c:v>
                </c:pt>
                <c:pt idx="5">
                  <c:v>Ene- Nov. 2015</c:v>
                </c:pt>
              </c:strCache>
            </c:strRef>
          </c:cat>
          <c:val>
            <c:numRef>
              <c:f>'IV.2.10 Pagos.SFS Pens.'!$B$7:$B$12</c:f>
              <c:numCache>
                <c:formatCode>#,##0.00</c:formatCode>
                <c:ptCount val="6"/>
                <c:pt idx="0">
                  <c:v>115952658.19999999</c:v>
                </c:pt>
                <c:pt idx="1">
                  <c:v>291946073.39999998</c:v>
                </c:pt>
                <c:pt idx="2">
                  <c:v>331635794.92000002</c:v>
                </c:pt>
                <c:pt idx="3">
                  <c:v>333800248.55999994</c:v>
                </c:pt>
                <c:pt idx="4">
                  <c:v>329249337.19999999</c:v>
                </c:pt>
                <c:pt idx="5">
                  <c:v>307729442.79999995</c:v>
                </c:pt>
              </c:numCache>
            </c:numRef>
          </c:val>
        </c:ser>
        <c:dLbls>
          <c:showLegendKey val="0"/>
          <c:showVal val="0"/>
          <c:showCatName val="0"/>
          <c:showSerName val="0"/>
          <c:showPercent val="0"/>
          <c:showBubbleSize val="0"/>
        </c:dLbls>
        <c:gapWidth val="80"/>
        <c:overlap val="-100"/>
        <c:axId val="366730056"/>
        <c:axId val="366731232"/>
      </c:barChart>
      <c:catAx>
        <c:axId val="366730056"/>
        <c:scaling>
          <c:orientation val="minMax"/>
        </c:scaling>
        <c:delete val="0"/>
        <c:axPos val="l"/>
        <c:numFmt formatCode="General" sourceLinked="1"/>
        <c:majorTickMark val="none"/>
        <c:minorTickMark val="none"/>
        <c:tickLblPos val="nextTo"/>
        <c:spPr>
          <a:noFill/>
          <a:ln w="19050" cap="flat" cmpd="sng" algn="ctr">
            <a:solidFill>
              <a:schemeClr val="tx1">
                <a:lumMod val="15000"/>
                <a:lumOff val="85000"/>
              </a:schemeClr>
            </a:solidFill>
            <a:round/>
            <a:headEnd type="none" w="sm" len="sm"/>
            <a:tailEnd type="none" w="sm" len="sm"/>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endParaRPr lang="es-ES"/>
          </a:p>
        </c:txPr>
        <c:crossAx val="366731232"/>
        <c:crosses val="autoZero"/>
        <c:auto val="1"/>
        <c:lblAlgn val="ctr"/>
        <c:lblOffset val="100"/>
        <c:noMultiLvlLbl val="0"/>
      </c:catAx>
      <c:valAx>
        <c:axId val="366731232"/>
        <c:scaling>
          <c:orientation val="minMax"/>
        </c:scaling>
        <c:delete val="0"/>
        <c:axPos val="b"/>
        <c:numFmt formatCode="#,##0.00" sourceLinked="1"/>
        <c:majorTickMark val="none"/>
        <c:minorTickMark val="none"/>
        <c:tickLblPos val="nextTo"/>
        <c:spPr>
          <a:noFill/>
          <a:ln>
            <a:noFill/>
          </a:ln>
          <a:effectLst/>
        </c:spPr>
        <c:txPr>
          <a:bodyPr rot="-2700000" spcFirstLastPara="1" vertOverflow="ellipsis"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s-ES"/>
          </a:p>
        </c:txPr>
        <c:crossAx val="366730056"/>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userShapes r:id="rId3"/>
</c:chartSpace>
</file>

<file path=xl/charts/chart5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1" i="0" u="none" strike="noStrike" kern="1200" baseline="0">
                <a:solidFill>
                  <a:sysClr val="windowText" lastClr="000000"/>
                </a:solidFill>
                <a:latin typeface="+mn-lt"/>
                <a:ea typeface="+mn-ea"/>
                <a:cs typeface="+mn-cs"/>
              </a:defRPr>
            </a:pPr>
            <a:r>
              <a:rPr lang="en-US" sz="2000">
                <a:solidFill>
                  <a:sysClr val="windowText" lastClr="000000"/>
                </a:solidFill>
              </a:rPr>
              <a:t>Pagos Mensuales del SFSP por ARS</a:t>
            </a:r>
          </a:p>
        </c:rich>
      </c:tx>
      <c:layout>
        <c:manualLayout>
          <c:xMode val="edge"/>
          <c:yMode val="edge"/>
          <c:x val="0.35121723513479502"/>
          <c:y val="2.6608521724496056E-2"/>
        </c:manualLayout>
      </c:layout>
      <c:overlay val="0"/>
      <c:spPr>
        <a:noFill/>
        <a:ln>
          <a:noFill/>
        </a:ln>
        <a:effectLst/>
      </c:spPr>
      <c:txPr>
        <a:bodyPr rot="0" spcFirstLastPara="1" vertOverflow="ellipsis" vert="horz" wrap="square" anchor="ctr" anchorCtr="1"/>
        <a:lstStyle/>
        <a:p>
          <a:pPr>
            <a:defRPr sz="2000" b="1" i="0" u="none" strike="noStrike" kern="1200" baseline="0">
              <a:solidFill>
                <a:sysClr val="windowText" lastClr="000000"/>
              </a:solidFill>
              <a:latin typeface="+mn-lt"/>
              <a:ea typeface="+mn-ea"/>
              <a:cs typeface="+mn-cs"/>
            </a:defRPr>
          </a:pPr>
          <a:endParaRPr lang="es-ES"/>
        </a:p>
      </c:txPr>
    </c:title>
    <c:autoTitleDeleted val="0"/>
    <c:view3D>
      <c:rotX val="10"/>
      <c:rotY val="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7.0853349262820914E-2"/>
          <c:y val="0.3557855796631445"/>
          <c:w val="0.91780135354097947"/>
          <c:h val="0.42706056249768576"/>
        </c:manualLayout>
      </c:layout>
      <c:bar3DChart>
        <c:barDir val="col"/>
        <c:grouping val="clustered"/>
        <c:varyColors val="0"/>
        <c:ser>
          <c:idx val="1"/>
          <c:order val="0"/>
          <c:tx>
            <c:strRef>
              <c:f>'IV.2.11.Pagos.SFS Pens.Mens.'!$C$6</c:f>
              <c:strCache>
                <c:ptCount val="1"/>
                <c:pt idx="0">
                  <c:v>SEMMA</c:v>
                </c:pt>
              </c:strCache>
            </c:strRef>
          </c:tx>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rgbClr val="FF0000"/>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'IV.2.11.Pagos.SFS Pens.Mens.'!$A$7:$A$19</c:f>
              <c:strCache>
                <c:ptCount val="13"/>
                <c:pt idx="0">
                  <c:v> Nov.14 </c:v>
                </c:pt>
                <c:pt idx="1">
                  <c:v> Dic.14 </c:v>
                </c:pt>
                <c:pt idx="2">
                  <c:v> Ene.15 </c:v>
                </c:pt>
                <c:pt idx="3">
                  <c:v> Feb.15 </c:v>
                </c:pt>
                <c:pt idx="4">
                  <c:v> Mar.15 </c:v>
                </c:pt>
                <c:pt idx="5">
                  <c:v> Abr.15 </c:v>
                </c:pt>
                <c:pt idx="6">
                  <c:v> May.15 </c:v>
                </c:pt>
                <c:pt idx="7">
                  <c:v> Jun.15 </c:v>
                </c:pt>
                <c:pt idx="8">
                  <c:v> Jul.15 </c:v>
                </c:pt>
                <c:pt idx="9">
                  <c:v> Ago.15 </c:v>
                </c:pt>
                <c:pt idx="10">
                  <c:v> Sep.15 </c:v>
                </c:pt>
                <c:pt idx="11">
                  <c:v> Oct.15 </c:v>
                </c:pt>
                <c:pt idx="12">
                  <c:v>Nov.15 </c:v>
                </c:pt>
              </c:strCache>
            </c:strRef>
          </c:cat>
          <c:val>
            <c:numRef>
              <c:f>'IV.2.11.Pagos.SFS Pens.Mens.'!$C$7:$C$19</c:f>
              <c:numCache>
                <c:formatCode>#,##0.00</c:formatCode>
                <c:ptCount val="13"/>
                <c:pt idx="0">
                  <c:v>3468875.84</c:v>
                </c:pt>
                <c:pt idx="1">
                  <c:v>3483305.44</c:v>
                </c:pt>
                <c:pt idx="2">
                  <c:v>3489798.76</c:v>
                </c:pt>
                <c:pt idx="3">
                  <c:v>3503506.88</c:v>
                </c:pt>
                <c:pt idx="4">
                  <c:v>3510000.2</c:v>
                </c:pt>
                <c:pt idx="5">
                  <c:v>3526594.24</c:v>
                </c:pt>
                <c:pt idx="6">
                  <c:v>3551846.04</c:v>
                </c:pt>
                <c:pt idx="7">
                  <c:v>3565554.16</c:v>
                </c:pt>
                <c:pt idx="8">
                  <c:v>3580705.24</c:v>
                </c:pt>
                <c:pt idx="9">
                  <c:v>3618943.68</c:v>
                </c:pt>
                <c:pt idx="10">
                  <c:v>3618943.68</c:v>
                </c:pt>
                <c:pt idx="11">
                  <c:v>3618222.2</c:v>
                </c:pt>
                <c:pt idx="12">
                  <c:v>3621108.1199999973</c:v>
                </c:pt>
              </c:numCache>
            </c:numRef>
          </c:val>
        </c:ser>
        <c:ser>
          <c:idx val="0"/>
          <c:order val="1"/>
          <c:tx>
            <c:strRef>
              <c:f>'IV.2.11.Pagos.SFS Pens.Mens.'!$B$6</c:f>
              <c:strCache>
                <c:ptCount val="1"/>
                <c:pt idx="0">
                  <c:v>Salud Segura</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rgbClr val="0070C0"/>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'IV.2.11.Pagos.SFS Pens.Mens.'!$A$7:$A$19</c:f>
              <c:strCache>
                <c:ptCount val="13"/>
                <c:pt idx="0">
                  <c:v> Nov.14 </c:v>
                </c:pt>
                <c:pt idx="1">
                  <c:v> Dic.14 </c:v>
                </c:pt>
                <c:pt idx="2">
                  <c:v> Ene.15 </c:v>
                </c:pt>
                <c:pt idx="3">
                  <c:v> Feb.15 </c:v>
                </c:pt>
                <c:pt idx="4">
                  <c:v> Mar.15 </c:v>
                </c:pt>
                <c:pt idx="5">
                  <c:v> Abr.15 </c:v>
                </c:pt>
                <c:pt idx="6">
                  <c:v> May.15 </c:v>
                </c:pt>
                <c:pt idx="7">
                  <c:v> Jun.15 </c:v>
                </c:pt>
                <c:pt idx="8">
                  <c:v> Jul.15 </c:v>
                </c:pt>
                <c:pt idx="9">
                  <c:v> Ago.15 </c:v>
                </c:pt>
                <c:pt idx="10">
                  <c:v> Sep.15 </c:v>
                </c:pt>
                <c:pt idx="11">
                  <c:v> Oct.15 </c:v>
                </c:pt>
                <c:pt idx="12">
                  <c:v>Nov.15 </c:v>
                </c:pt>
              </c:strCache>
            </c:strRef>
          </c:cat>
          <c:val>
            <c:numRef>
              <c:f>'IV.2.11.Pagos.SFS Pens.Mens.'!$B$7:$B$19</c:f>
              <c:numCache>
                <c:formatCode>#,##0.00</c:formatCode>
                <c:ptCount val="13"/>
                <c:pt idx="0">
                  <c:v>10769531.960000001</c:v>
                </c:pt>
                <c:pt idx="1">
                  <c:v>10900119.84</c:v>
                </c:pt>
                <c:pt idx="2">
                  <c:v>10901562.800000001</c:v>
                </c:pt>
                <c:pt idx="3">
                  <c:v>10951344.92</c:v>
                </c:pt>
                <c:pt idx="4">
                  <c:v>10977318.199999999</c:v>
                </c:pt>
                <c:pt idx="5">
                  <c:v>10954952.32</c:v>
                </c:pt>
                <c:pt idx="6">
                  <c:v>10946294.560000001</c:v>
                </c:pt>
                <c:pt idx="7">
                  <c:v>10975153.76</c:v>
                </c:pt>
                <c:pt idx="8">
                  <c:v>10965053.039999999</c:v>
                </c:pt>
                <c:pt idx="9">
                  <c:v>10873425.08</c:v>
                </c:pt>
                <c:pt idx="10">
                  <c:v>10892183.560000001</c:v>
                </c:pt>
                <c:pt idx="11">
                  <c:v>10825085.92</c:v>
                </c:pt>
                <c:pt idx="12">
                  <c:v>10838072.560000001</c:v>
                </c:pt>
              </c:numCache>
            </c:numRef>
          </c:val>
        </c:ser>
        <c:ser>
          <c:idx val="2"/>
          <c:order val="2"/>
          <c:tx>
            <c:strRef>
              <c:f>'IV.2.11.Pagos.SFS Pens.Mens.'!$D$6</c:f>
              <c:strCache>
                <c:ptCount val="1"/>
                <c:pt idx="0">
                  <c:v>SENASA                   </c:v>
                </c:pt>
              </c:strCache>
            </c:strRef>
          </c:tx>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chemeClr val="accent3">
                        <a:lumMod val="50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'IV.2.11.Pagos.SFS Pens.Mens.'!$A$7:$A$19</c:f>
              <c:strCache>
                <c:ptCount val="13"/>
                <c:pt idx="0">
                  <c:v> Nov.14 </c:v>
                </c:pt>
                <c:pt idx="1">
                  <c:v> Dic.14 </c:v>
                </c:pt>
                <c:pt idx="2">
                  <c:v> Ene.15 </c:v>
                </c:pt>
                <c:pt idx="3">
                  <c:v> Feb.15 </c:v>
                </c:pt>
                <c:pt idx="4">
                  <c:v> Mar.15 </c:v>
                </c:pt>
                <c:pt idx="5">
                  <c:v> Abr.15 </c:v>
                </c:pt>
                <c:pt idx="6">
                  <c:v> May.15 </c:v>
                </c:pt>
                <c:pt idx="7">
                  <c:v> Jun.15 </c:v>
                </c:pt>
                <c:pt idx="8">
                  <c:v> Jul.15 </c:v>
                </c:pt>
                <c:pt idx="9">
                  <c:v> Ago.15 </c:v>
                </c:pt>
                <c:pt idx="10">
                  <c:v> Sep.15 </c:v>
                </c:pt>
                <c:pt idx="11">
                  <c:v> Oct.15 </c:v>
                </c:pt>
                <c:pt idx="12">
                  <c:v>Nov.15 </c:v>
                </c:pt>
              </c:strCache>
            </c:strRef>
          </c:cat>
          <c:val>
            <c:numRef>
              <c:f>'IV.2.11.Pagos.SFS Pens.Mens.'!$D$7:$D$19</c:f>
              <c:numCache>
                <c:formatCode>#,##0.00</c:formatCode>
                <c:ptCount val="13"/>
                <c:pt idx="0">
                  <c:v>13456842.720000001</c:v>
                </c:pt>
                <c:pt idx="1">
                  <c:v>13497846.24</c:v>
                </c:pt>
                <c:pt idx="2">
                  <c:v>13502971.68</c:v>
                </c:pt>
                <c:pt idx="3">
                  <c:v>13565758.32</c:v>
                </c:pt>
                <c:pt idx="4">
                  <c:v>13550382</c:v>
                </c:pt>
                <c:pt idx="5">
                  <c:v>13477344.48</c:v>
                </c:pt>
                <c:pt idx="6">
                  <c:v>13459405.439999999</c:v>
                </c:pt>
                <c:pt idx="7">
                  <c:v>13555507.439999999</c:v>
                </c:pt>
                <c:pt idx="8">
                  <c:v>13491439.439999999</c:v>
                </c:pt>
                <c:pt idx="9">
                  <c:v>13467093.6</c:v>
                </c:pt>
                <c:pt idx="10">
                  <c:v>13488876.720000001</c:v>
                </c:pt>
                <c:pt idx="11">
                  <c:v>13435059.6</c:v>
                </c:pt>
                <c:pt idx="12">
                  <c:v>13429934.16</c:v>
                </c:pt>
              </c:numCache>
            </c:numRef>
          </c:val>
        </c:ser>
        <c:dLbls>
          <c:showLegendKey val="0"/>
          <c:showVal val="1"/>
          <c:showCatName val="0"/>
          <c:showSerName val="0"/>
          <c:showPercent val="0"/>
          <c:showBubbleSize val="0"/>
        </c:dLbls>
        <c:gapWidth val="150"/>
        <c:shape val="box"/>
        <c:axId val="366734760"/>
        <c:axId val="366734368"/>
        <c:axId val="0"/>
      </c:bar3DChart>
      <c:catAx>
        <c:axId val="366734760"/>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es-ES"/>
          </a:p>
        </c:txPr>
        <c:crossAx val="366734368"/>
        <c:crosses val="autoZero"/>
        <c:auto val="1"/>
        <c:lblAlgn val="ctr"/>
        <c:lblOffset val="100"/>
        <c:noMultiLvlLbl val="0"/>
      </c:catAx>
      <c:valAx>
        <c:axId val="366734368"/>
        <c:scaling>
          <c:orientation val="minMax"/>
        </c:scaling>
        <c:delete val="0"/>
        <c:axPos val="l"/>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66734760"/>
        <c:crosses val="autoZero"/>
        <c:crossBetween val="between"/>
      </c:valAx>
      <c:spPr>
        <a:noFill/>
        <a:ln>
          <a:noFill/>
        </a:ln>
        <a:effectLst/>
      </c:spPr>
    </c:plotArea>
    <c:legend>
      <c:legendPos val="b"/>
      <c:layout>
        <c:manualLayout>
          <c:xMode val="edge"/>
          <c:yMode val="edge"/>
          <c:x val="0.28161105220469168"/>
          <c:y val="7.6823651920892314E-2"/>
          <c:w val="0.45456897673072449"/>
          <c:h val="4.2022412659498652E-2"/>
        </c:manualLayout>
      </c:layout>
      <c:overlay val="0"/>
      <c:spPr>
        <a:noFill/>
        <a:ln>
          <a:noFill/>
        </a:ln>
        <a:effectLst/>
      </c:spPr>
      <c:txPr>
        <a:bodyPr rot="0" spcFirstLastPara="1" vertOverflow="ellipsis" vert="horz" wrap="square" anchor="ctr" anchorCtr="1"/>
        <a:lstStyle/>
        <a:p>
          <a:pPr>
            <a:defRPr sz="1600" b="0" i="0" u="none" strike="noStrike" kern="1200" baseline="0">
              <a:solidFill>
                <a:schemeClr val="accent3">
                  <a:lumMod val="50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autoTitleDeleted val="1"/>
    <c:view3D>
      <c:rotX val="15"/>
      <c:rotY val="20"/>
      <c:depthPercent val="100"/>
      <c:rAngAx val="1"/>
    </c:view3D>
    <c:floor>
      <c:thickness val="0"/>
    </c:floor>
    <c:sideWall>
      <c:thickness val="0"/>
    </c:sideWall>
    <c:backWall>
      <c:thickness val="0"/>
    </c:backWall>
    <c:plotArea>
      <c:layout>
        <c:manualLayout>
          <c:layoutTarget val="inner"/>
          <c:xMode val="edge"/>
          <c:yMode val="edge"/>
          <c:x val="4.5174248411842075E-2"/>
          <c:y val="0.10439613328937521"/>
          <c:w val="0.9392559779072317"/>
          <c:h val="0.74120336167348899"/>
        </c:manualLayout>
      </c:layout>
      <c:bar3DChart>
        <c:barDir val="col"/>
        <c:grouping val="stacked"/>
        <c:varyColors val="0"/>
        <c:ser>
          <c:idx val="0"/>
          <c:order val="0"/>
          <c:spPr>
            <a:solidFill>
              <a:schemeClr val="accent3">
                <a:lumMod val="75000"/>
              </a:schemeClr>
            </a:solidFill>
          </c:spPr>
          <c:invertIfNegative val="0"/>
          <c:dLbls>
            <c:dLbl>
              <c:idx val="0"/>
              <c:layout>
                <c:manualLayout>
                  <c:x val="6.7760848278599836E-3"/>
                  <c:y val="-5.294667831396528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8.6345163205336899E-3"/>
                  <c:y val="-9.240818594393521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9.1078435561262033E-3"/>
                  <c:y val="-0.11051617907641414"/>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2064646426164741E-2"/>
                  <c:y val="-0.12458999824327933"/>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6.487409460105337E-3"/>
                  <c:y val="-0.18800079573830797"/>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6.4306832205877941E-3"/>
                  <c:y val="-0.1915392375725383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7.5341515483352056E-3"/>
                  <c:y val="-0.21942443734804165"/>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4.9455570235375093E-3"/>
                  <c:y val="-0.27421366696587068"/>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9.8403017630637381E-3"/>
                  <c:y val="-0.27108111584115507"/>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1.0850808492434999E-2"/>
                  <c:y val="-0.29885682138375574"/>
                </c:manualLayout>
              </c:layout>
              <c:spPr/>
              <c:txPr>
                <a:bodyPr/>
                <a:lstStyle/>
                <a:p>
                  <a:pPr>
                    <a:defRPr sz="20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1.1009306708298349E-2"/>
                  <c:y val="-0.32939180833402187"/>
                </c:manualLayout>
              </c:layout>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8.4523784114596927E-3"/>
                  <c:y val="-0.3633497267189725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2"/>
              <c:layout>
                <c:manualLayout>
                  <c:x val="9.2580719781212243E-3"/>
                  <c:y val="-0.3826781524286265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20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'IV.3.2.Pagos_ SVDS'!$A$4:$A$16</c:f>
              <c:strCache>
                <c:ptCount val="13"/>
                <c:pt idx="0">
                  <c:v>2003</c:v>
                </c:pt>
                <c:pt idx="1">
                  <c:v>2004</c:v>
                </c:pt>
                <c:pt idx="2">
                  <c:v>2005</c:v>
                </c:pt>
                <c:pt idx="3">
                  <c:v>2006</c:v>
                </c:pt>
                <c:pt idx="4">
                  <c:v>2007</c:v>
                </c:pt>
                <c:pt idx="5">
                  <c:v>2008</c:v>
                </c:pt>
                <c:pt idx="6">
                  <c:v>2009</c:v>
                </c:pt>
                <c:pt idx="7">
                  <c:v>2010</c:v>
                </c:pt>
                <c:pt idx="8">
                  <c:v>2011</c:v>
                </c:pt>
                <c:pt idx="9">
                  <c:v>2012</c:v>
                </c:pt>
                <c:pt idx="10">
                  <c:v>2013</c:v>
                </c:pt>
                <c:pt idx="11">
                  <c:v>2014</c:v>
                </c:pt>
                <c:pt idx="12">
                  <c:v>Ene.Nov. 2015</c:v>
                </c:pt>
              </c:strCache>
            </c:strRef>
          </c:cat>
          <c:val>
            <c:numRef>
              <c:f>'IV.3.2.Pagos_ SVDS'!$B$4:$B$16</c:f>
              <c:numCache>
                <c:formatCode>#,##0.00</c:formatCode>
                <c:ptCount val="13"/>
                <c:pt idx="0">
                  <c:v>1813713639.4200001</c:v>
                </c:pt>
                <c:pt idx="1">
                  <c:v>6547406092.6799994</c:v>
                </c:pt>
                <c:pt idx="2">
                  <c:v>8393553851.0549603</c:v>
                </c:pt>
                <c:pt idx="3">
                  <c:v>9613650449.1000004</c:v>
                </c:pt>
                <c:pt idx="4">
                  <c:v>14892605258.139</c:v>
                </c:pt>
                <c:pt idx="5">
                  <c:v>15887938438.049997</c:v>
                </c:pt>
                <c:pt idx="6">
                  <c:v>18789773765.599998</c:v>
                </c:pt>
                <c:pt idx="7">
                  <c:v>23938490112.329998</c:v>
                </c:pt>
                <c:pt idx="8">
                  <c:v>23585106301.460003</c:v>
                </c:pt>
                <c:pt idx="9">
                  <c:v>26400473552.350002</c:v>
                </c:pt>
                <c:pt idx="10">
                  <c:v>29506184318.750004</c:v>
                </c:pt>
                <c:pt idx="11">
                  <c:v>33591892120.470001</c:v>
                </c:pt>
                <c:pt idx="12">
                  <c:v>34498899413.920006</c:v>
                </c:pt>
              </c:numCache>
            </c:numRef>
          </c:val>
        </c:ser>
        <c:dLbls>
          <c:showLegendKey val="0"/>
          <c:showVal val="0"/>
          <c:showCatName val="0"/>
          <c:showSerName val="0"/>
          <c:showPercent val="0"/>
          <c:showBubbleSize val="0"/>
        </c:dLbls>
        <c:gapWidth val="75"/>
        <c:shape val="cylinder"/>
        <c:axId val="366733584"/>
        <c:axId val="366733192"/>
        <c:axId val="0"/>
      </c:bar3DChart>
      <c:catAx>
        <c:axId val="366733584"/>
        <c:scaling>
          <c:orientation val="minMax"/>
        </c:scaling>
        <c:delete val="0"/>
        <c:axPos val="b"/>
        <c:numFmt formatCode="General" sourceLinked="1"/>
        <c:majorTickMark val="none"/>
        <c:minorTickMark val="none"/>
        <c:tickLblPos val="nextTo"/>
        <c:txPr>
          <a:bodyPr/>
          <a:lstStyle/>
          <a:p>
            <a:pPr>
              <a:defRPr sz="1600"/>
            </a:pPr>
            <a:endParaRPr lang="es-ES"/>
          </a:p>
        </c:txPr>
        <c:crossAx val="366733192"/>
        <c:crosses val="autoZero"/>
        <c:auto val="1"/>
        <c:lblAlgn val="ctr"/>
        <c:lblOffset val="100"/>
        <c:noMultiLvlLbl val="0"/>
      </c:catAx>
      <c:valAx>
        <c:axId val="366733192"/>
        <c:scaling>
          <c:orientation val="minMax"/>
        </c:scaling>
        <c:delete val="0"/>
        <c:axPos val="l"/>
        <c:numFmt formatCode="#,##0.00" sourceLinked="1"/>
        <c:majorTickMark val="none"/>
        <c:minorTickMark val="none"/>
        <c:tickLblPos val="none"/>
        <c:crossAx val="366733584"/>
        <c:crosses val="autoZero"/>
        <c:crossBetween val="between"/>
        <c:dispUnits>
          <c:builtInUnit val="millions"/>
          <c:dispUnitsLbl>
            <c:layout>
              <c:manualLayout>
                <c:xMode val="edge"/>
                <c:yMode val="edge"/>
                <c:x val="1.2022023276972623E-2"/>
                <c:y val="0.45224019318044784"/>
              </c:manualLayout>
            </c:layout>
            <c:txPr>
              <a:bodyPr/>
              <a:lstStyle/>
              <a:p>
                <a:pPr>
                  <a:defRPr sz="1800" b="0"/>
                </a:pPr>
                <a:endParaRPr lang="es-ES"/>
              </a:p>
            </c:txPr>
          </c:dispUnitsLbl>
        </c:dispUnits>
      </c:valAx>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5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ES"/>
              <a:t>Pagos Anual por Cuentas del SVDS </a:t>
            </a:r>
          </a:p>
        </c:rich>
      </c:tx>
      <c:layout>
        <c:manualLayout>
          <c:xMode val="edge"/>
          <c:yMode val="edge"/>
          <c:x val="0.46289176955177752"/>
          <c:y val="3.4263298611392143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7.0065324549660621E-2"/>
          <c:y val="0.25656503920671447"/>
          <c:w val="0.90584932680585084"/>
          <c:h val="0.59274754245673389"/>
        </c:manualLayout>
      </c:layout>
      <c:bar3DChart>
        <c:barDir val="col"/>
        <c:grouping val="clustered"/>
        <c:varyColors val="0"/>
        <c:ser>
          <c:idx val="0"/>
          <c:order val="0"/>
          <c:tx>
            <c:strRef>
              <c:f>'IV.3.3.Pagos anuales x cuentas'!$A$4</c:f>
              <c:strCache>
                <c:ptCount val="1"/>
                <c:pt idx="0">
                  <c:v> CCI</c:v>
                </c:pt>
              </c:strCache>
            </c:strRef>
          </c:tx>
          <c:spPr>
            <a:solidFill>
              <a:schemeClr val="accent3">
                <a:lumMod val="50000"/>
              </a:schemeClr>
            </a:solidFill>
          </c:spPr>
          <c:invertIfNegative val="0"/>
          <c:dLbls>
            <c:dLbl>
              <c:idx val="7"/>
              <c:spPr/>
              <c:txPr>
                <a:bodyPr rot="-5400000" vert="horz"/>
                <a:lstStyle/>
                <a:p>
                  <a:pPr>
                    <a:defRPr lang="en-US" sz="1100" b="0"/>
                  </a:pPr>
                  <a:endParaRPr lang="es-ES"/>
                </a:p>
              </c:txPr>
              <c:showLegendKey val="0"/>
              <c:showVal val="1"/>
              <c:showCatName val="0"/>
              <c:showSerName val="0"/>
              <c:showPercent val="0"/>
              <c:showBubbleSize val="0"/>
            </c:dLbl>
            <c:dLbl>
              <c:idx val="8"/>
              <c:spPr/>
              <c:txPr>
                <a:bodyPr rot="-5400000" vert="horz"/>
                <a:lstStyle/>
                <a:p>
                  <a:pPr>
                    <a:defRPr lang="en-US" sz="1200" b="0"/>
                  </a:pPr>
                  <a:endParaRPr lang="es-ES"/>
                </a:p>
              </c:txPr>
              <c:showLegendKey val="0"/>
              <c:showVal val="1"/>
              <c:showCatName val="0"/>
              <c:showSerName val="0"/>
              <c:showPercent val="0"/>
              <c:showBubbleSize val="0"/>
            </c:dLbl>
            <c:dLbl>
              <c:idx val="9"/>
              <c:spPr/>
              <c:txPr>
                <a:bodyPr rot="-5400000" vert="horz"/>
                <a:lstStyle/>
                <a:p>
                  <a:pPr>
                    <a:defRPr lang="en-US" sz="1100" b="0"/>
                  </a:pPr>
                  <a:endParaRPr lang="es-ES"/>
                </a:p>
              </c:txPr>
              <c:showLegendKey val="0"/>
              <c:showVal val="1"/>
              <c:showCatName val="0"/>
              <c:showSerName val="0"/>
              <c:showPercent val="0"/>
              <c:showBubbleSize val="0"/>
            </c:dLbl>
            <c:spPr>
              <a:noFill/>
              <a:ln>
                <a:noFill/>
              </a:ln>
              <a:effectLst/>
            </c:spPr>
            <c:txPr>
              <a:bodyPr rot="-5400000" vert="horz"/>
              <a:lstStyle/>
              <a:p>
                <a:pPr>
                  <a:defRPr lang="en-US" sz="11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cuentas'!$B$3:$N$3</c:f>
              <c:strCache>
                <c:ptCount val="13"/>
                <c:pt idx="0">
                  <c:v>2003</c:v>
                </c:pt>
                <c:pt idx="1">
                  <c:v>2004</c:v>
                </c:pt>
                <c:pt idx="2">
                  <c:v>2005</c:v>
                </c:pt>
                <c:pt idx="3">
                  <c:v>2006</c:v>
                </c:pt>
                <c:pt idx="4">
                  <c:v>2007</c:v>
                </c:pt>
                <c:pt idx="5">
                  <c:v>2008</c:v>
                </c:pt>
                <c:pt idx="6">
                  <c:v>2009</c:v>
                </c:pt>
                <c:pt idx="7">
                  <c:v>2010</c:v>
                </c:pt>
                <c:pt idx="8">
                  <c:v> 2011</c:v>
                </c:pt>
                <c:pt idx="9">
                  <c:v>2012</c:v>
                </c:pt>
                <c:pt idx="10">
                  <c:v>2013</c:v>
                </c:pt>
                <c:pt idx="11">
                  <c:v>2014</c:v>
                </c:pt>
                <c:pt idx="12">
                  <c:v>Ene-Nov. 2015</c:v>
                </c:pt>
              </c:strCache>
            </c:strRef>
          </c:cat>
          <c:val>
            <c:numRef>
              <c:f>'IV.3.3.Pagos anuales x cuentas'!$B$4:$N$4</c:f>
              <c:numCache>
                <c:formatCode>_(* #,##0.00_);_(* \(#,##0.00\);_(* "-"??_);_(@_)</c:formatCode>
                <c:ptCount val="13"/>
                <c:pt idx="0">
                  <c:v>1450970911.5360003</c:v>
                </c:pt>
                <c:pt idx="1">
                  <c:v>4388448532.5416241</c:v>
                </c:pt>
                <c:pt idx="2">
                  <c:v>5761654867.9499998</c:v>
                </c:pt>
                <c:pt idx="3">
                  <c:v>7098103492.750001</c:v>
                </c:pt>
                <c:pt idx="4">
                  <c:v>9157024021.4599991</c:v>
                </c:pt>
                <c:pt idx="5">
                  <c:v>10971688650.739998</c:v>
                </c:pt>
                <c:pt idx="6">
                  <c:v>14102437235.269999</c:v>
                </c:pt>
                <c:pt idx="7">
                  <c:v>18859679063.360001</c:v>
                </c:pt>
                <c:pt idx="8">
                  <c:v>18145611295.329998</c:v>
                </c:pt>
                <c:pt idx="9">
                  <c:v>20525176273.790001</c:v>
                </c:pt>
                <c:pt idx="10">
                  <c:v>23041717787.599998</c:v>
                </c:pt>
                <c:pt idx="11">
                  <c:v>26294772742.880001</c:v>
                </c:pt>
                <c:pt idx="12">
                  <c:v>27124637181.200001</c:v>
                </c:pt>
              </c:numCache>
            </c:numRef>
          </c:val>
        </c:ser>
        <c:ser>
          <c:idx val="1"/>
          <c:order val="1"/>
          <c:tx>
            <c:strRef>
              <c:f>'IV.3.3.Pagos anuales x cuentas'!$A$5</c:f>
              <c:strCache>
                <c:ptCount val="1"/>
                <c:pt idx="0">
                  <c:v>Reparto</c:v>
                </c:pt>
              </c:strCache>
            </c:strRef>
          </c:tx>
          <c:invertIfNegative val="0"/>
          <c:dLbls>
            <c:dLbl>
              <c:idx val="7"/>
              <c:spPr/>
              <c:txPr>
                <a:bodyPr rot="-5400000" vert="horz"/>
                <a:lstStyle/>
                <a:p>
                  <a:pPr>
                    <a:defRPr lang="en-US" sz="1100" b="0"/>
                  </a:pPr>
                  <a:endParaRPr lang="es-ES"/>
                </a:p>
              </c:txPr>
              <c:showLegendKey val="0"/>
              <c:showVal val="1"/>
              <c:showCatName val="0"/>
              <c:showSerName val="0"/>
              <c:showPercent val="0"/>
              <c:showBubbleSize val="0"/>
            </c:dLbl>
            <c:dLbl>
              <c:idx val="8"/>
              <c:layout>
                <c:manualLayout>
                  <c:x val="3.0660223245052277E-3"/>
                  <c:y val="-7.9002046268431689E-17"/>
                </c:manualLayout>
              </c:layout>
              <c:spPr/>
              <c:txPr>
                <a:bodyPr rot="-5400000" vert="horz"/>
                <a:lstStyle/>
                <a:p>
                  <a:pPr>
                    <a:defRPr lang="en-US" sz="11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2.7709860739402459E-3"/>
                  <c:y val="0"/>
                </c:manualLayout>
              </c:layout>
              <c:spPr/>
              <c:txPr>
                <a:bodyPr rot="-5400000" vert="horz"/>
                <a:lstStyle/>
                <a:p>
                  <a:pPr>
                    <a:defRPr lang="en-US" sz="11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lang="en-US" sz="11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cuentas'!$B$3:$N$3</c:f>
              <c:strCache>
                <c:ptCount val="13"/>
                <c:pt idx="0">
                  <c:v>2003</c:v>
                </c:pt>
                <c:pt idx="1">
                  <c:v>2004</c:v>
                </c:pt>
                <c:pt idx="2">
                  <c:v>2005</c:v>
                </c:pt>
                <c:pt idx="3">
                  <c:v>2006</c:v>
                </c:pt>
                <c:pt idx="4">
                  <c:v>2007</c:v>
                </c:pt>
                <c:pt idx="5">
                  <c:v>2008</c:v>
                </c:pt>
                <c:pt idx="6">
                  <c:v>2009</c:v>
                </c:pt>
                <c:pt idx="7">
                  <c:v>2010</c:v>
                </c:pt>
                <c:pt idx="8">
                  <c:v> 2011</c:v>
                </c:pt>
                <c:pt idx="9">
                  <c:v>2012</c:v>
                </c:pt>
                <c:pt idx="10">
                  <c:v>2013</c:v>
                </c:pt>
                <c:pt idx="11">
                  <c:v>2014</c:v>
                </c:pt>
                <c:pt idx="12">
                  <c:v>Ene-Nov. 2015</c:v>
                </c:pt>
              </c:strCache>
            </c:strRef>
          </c:cat>
          <c:val>
            <c:numRef>
              <c:f>'IV.3.3.Pagos anuales x cuentas'!$B$5:$N$5</c:f>
              <c:numCache>
                <c:formatCode>_(* #,##0.00_);_(* \(#,##0.00\);_(* "-"??_);_(@_)</c:formatCode>
                <c:ptCount val="13"/>
                <c:pt idx="0">
                  <c:v>0</c:v>
                </c:pt>
                <c:pt idx="1">
                  <c:v>572745548.09000003</c:v>
                </c:pt>
                <c:pt idx="2">
                  <c:v>801549025.60000014</c:v>
                </c:pt>
                <c:pt idx="3">
                  <c:v>470524902.12</c:v>
                </c:pt>
                <c:pt idx="4">
                  <c:v>726388233.41900003</c:v>
                </c:pt>
                <c:pt idx="5">
                  <c:v>702593218.49000001</c:v>
                </c:pt>
                <c:pt idx="6">
                  <c:v>791490784.11000001</c:v>
                </c:pt>
                <c:pt idx="7">
                  <c:v>935805888.13999999</c:v>
                </c:pt>
                <c:pt idx="8">
                  <c:v>1045138743.0899999</c:v>
                </c:pt>
                <c:pt idx="9">
                  <c:v>1032095716.16</c:v>
                </c:pt>
                <c:pt idx="10">
                  <c:v>1079979360.3499999</c:v>
                </c:pt>
                <c:pt idx="11">
                  <c:v>1200713160.95</c:v>
                </c:pt>
                <c:pt idx="12">
                  <c:v>1063383923.3</c:v>
                </c:pt>
              </c:numCache>
            </c:numRef>
          </c:val>
        </c:ser>
        <c:ser>
          <c:idx val="2"/>
          <c:order val="2"/>
          <c:tx>
            <c:strRef>
              <c:f>'IV.3.3.Pagos anuales x cuentas'!$A$6</c:f>
              <c:strCache>
                <c:ptCount val="1"/>
                <c:pt idx="0">
                  <c:v>TSS-INABIMA</c:v>
                </c:pt>
              </c:strCache>
            </c:strRef>
          </c:tx>
          <c:invertIfNegative val="0"/>
          <c:dLbls>
            <c:spPr>
              <a:noFill/>
              <a:ln>
                <a:noFill/>
              </a:ln>
              <a:effectLst/>
            </c:spPr>
            <c:txPr>
              <a:bodyPr rot="-5400000" vert="horz"/>
              <a:lstStyle/>
              <a:p>
                <a:pPr>
                  <a:defRPr lang="en-US"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cuentas'!$B$3:$N$3</c:f>
              <c:strCache>
                <c:ptCount val="13"/>
                <c:pt idx="0">
                  <c:v>2003</c:v>
                </c:pt>
                <c:pt idx="1">
                  <c:v>2004</c:v>
                </c:pt>
                <c:pt idx="2">
                  <c:v>2005</c:v>
                </c:pt>
                <c:pt idx="3">
                  <c:v>2006</c:v>
                </c:pt>
                <c:pt idx="4">
                  <c:v>2007</c:v>
                </c:pt>
                <c:pt idx="5">
                  <c:v>2008</c:v>
                </c:pt>
                <c:pt idx="6">
                  <c:v>2009</c:v>
                </c:pt>
                <c:pt idx="7">
                  <c:v>2010</c:v>
                </c:pt>
                <c:pt idx="8">
                  <c:v> 2011</c:v>
                </c:pt>
                <c:pt idx="9">
                  <c:v>2012</c:v>
                </c:pt>
                <c:pt idx="10">
                  <c:v>2013</c:v>
                </c:pt>
                <c:pt idx="11">
                  <c:v>2014</c:v>
                </c:pt>
                <c:pt idx="12">
                  <c:v>Ene-Nov. 2015</c:v>
                </c:pt>
              </c:strCache>
            </c:strRef>
          </c:cat>
          <c:val>
            <c:numRef>
              <c:f>'IV.3.3.Pagos anuales x cuentas'!$B$6:$N$6</c:f>
              <c:numCache>
                <c:formatCode>_(* #,##0.00_);_(* \(#,##0.00\);_(* "-"??_);_(@_)</c:formatCode>
                <c:ptCount val="13"/>
                <c:pt idx="0">
                  <c:v>0</c:v>
                </c:pt>
                <c:pt idx="1">
                  <c:v>0</c:v>
                </c:pt>
                <c:pt idx="2">
                  <c:v>0</c:v>
                </c:pt>
                <c:pt idx="3">
                  <c:v>0</c:v>
                </c:pt>
                <c:pt idx="4">
                  <c:v>2506661252.1800003</c:v>
                </c:pt>
                <c:pt idx="5">
                  <c:v>1248799551.6500001</c:v>
                </c:pt>
                <c:pt idx="6">
                  <c:v>404625934.49000001</c:v>
                </c:pt>
                <c:pt idx="7">
                  <c:v>0</c:v>
                </c:pt>
                <c:pt idx="8">
                  <c:v>0</c:v>
                </c:pt>
                <c:pt idx="9">
                  <c:v>0</c:v>
                </c:pt>
                <c:pt idx="10">
                  <c:v>0</c:v>
                </c:pt>
                <c:pt idx="11">
                  <c:v>0</c:v>
                </c:pt>
              </c:numCache>
            </c:numRef>
          </c:val>
        </c:ser>
        <c:ser>
          <c:idx val="3"/>
          <c:order val="3"/>
          <c:tx>
            <c:strRef>
              <c:f>'IV.3.3.Pagos anuales x cuentas'!$A$7</c:f>
              <c:strCache>
                <c:ptCount val="1"/>
                <c:pt idx="0">
                  <c:v>Seguro Vida</c:v>
                </c:pt>
              </c:strCache>
            </c:strRef>
          </c:tx>
          <c:invertIfNegative val="0"/>
          <c:dLbls>
            <c:dLbl>
              <c:idx val="7"/>
              <c:spPr/>
              <c:txPr>
                <a:bodyPr rot="-5400000" vert="horz"/>
                <a:lstStyle/>
                <a:p>
                  <a:pPr>
                    <a:defRPr lang="en-US" sz="1100" b="0"/>
                  </a:pPr>
                  <a:endParaRPr lang="es-ES"/>
                </a:p>
              </c:txPr>
              <c:showLegendKey val="0"/>
              <c:showVal val="1"/>
              <c:showCatName val="0"/>
              <c:showSerName val="0"/>
              <c:showPercent val="0"/>
              <c:showBubbleSize val="0"/>
            </c:dLbl>
            <c:dLbl>
              <c:idx val="8"/>
              <c:spPr/>
              <c:txPr>
                <a:bodyPr rot="-5400000" vert="horz"/>
                <a:lstStyle/>
                <a:p>
                  <a:pPr>
                    <a:defRPr lang="en-US" sz="1100" b="0"/>
                  </a:pPr>
                  <a:endParaRPr lang="es-ES"/>
                </a:p>
              </c:txPr>
              <c:showLegendKey val="0"/>
              <c:showVal val="1"/>
              <c:showCatName val="0"/>
              <c:showSerName val="0"/>
              <c:showPercent val="0"/>
              <c:showBubbleSize val="0"/>
            </c:dLbl>
            <c:dLbl>
              <c:idx val="9"/>
              <c:layout>
                <c:manualLayout>
                  <c:x val="9.5194099644836064E-4"/>
                  <c:y val="4.5442396037995566E-3"/>
                </c:manualLayout>
              </c:layout>
              <c:spPr/>
              <c:txPr>
                <a:bodyPr rot="-5400000" vert="horz"/>
                <a:lstStyle/>
                <a:p>
                  <a:pPr>
                    <a:defRPr lang="en-US" sz="11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lang="en-US" sz="11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cuentas'!$B$3:$N$3</c:f>
              <c:strCache>
                <c:ptCount val="13"/>
                <c:pt idx="0">
                  <c:v>2003</c:v>
                </c:pt>
                <c:pt idx="1">
                  <c:v>2004</c:v>
                </c:pt>
                <c:pt idx="2">
                  <c:v>2005</c:v>
                </c:pt>
                <c:pt idx="3">
                  <c:v>2006</c:v>
                </c:pt>
                <c:pt idx="4">
                  <c:v>2007</c:v>
                </c:pt>
                <c:pt idx="5">
                  <c:v>2008</c:v>
                </c:pt>
                <c:pt idx="6">
                  <c:v>2009</c:v>
                </c:pt>
                <c:pt idx="7">
                  <c:v>2010</c:v>
                </c:pt>
                <c:pt idx="8">
                  <c:v> 2011</c:v>
                </c:pt>
                <c:pt idx="9">
                  <c:v>2012</c:v>
                </c:pt>
                <c:pt idx="10">
                  <c:v>2013</c:v>
                </c:pt>
                <c:pt idx="11">
                  <c:v>2014</c:v>
                </c:pt>
                <c:pt idx="12">
                  <c:v>Ene-Nov. 2015</c:v>
                </c:pt>
              </c:strCache>
            </c:strRef>
          </c:cat>
          <c:val>
            <c:numRef>
              <c:f>'IV.3.3.Pagos anuales x cuentas'!$B$7:$N$7</c:f>
              <c:numCache>
                <c:formatCode>_(* #,##0.00_);_(* \(#,##0.00\);_(* "-"??_);_(@_)</c:formatCode>
                <c:ptCount val="13"/>
                <c:pt idx="0">
                  <c:v>181371363.94200003</c:v>
                </c:pt>
                <c:pt idx="1">
                  <c:v>753930807.93586206</c:v>
                </c:pt>
                <c:pt idx="2">
                  <c:v>787020865.17999995</c:v>
                </c:pt>
                <c:pt idx="3">
                  <c:v>905145735.52999997</c:v>
                </c:pt>
                <c:pt idx="4">
                  <c:v>1128937194.7399998</c:v>
                </c:pt>
                <c:pt idx="5">
                  <c:v>1354809029.5900002</c:v>
                </c:pt>
                <c:pt idx="6">
                  <c:v>1598791980.2700002</c:v>
                </c:pt>
                <c:pt idx="7">
                  <c:v>1839177727.5999999</c:v>
                </c:pt>
                <c:pt idx="8">
                  <c:v>2055053729.2299998</c:v>
                </c:pt>
                <c:pt idx="9">
                  <c:v>2278168828.7800002</c:v>
                </c:pt>
                <c:pt idx="10">
                  <c:v>2543371766.8299999</c:v>
                </c:pt>
                <c:pt idx="11">
                  <c:v>2879320929.98</c:v>
                </c:pt>
                <c:pt idx="12">
                  <c:v>3019328038.1900001</c:v>
                </c:pt>
              </c:numCache>
            </c:numRef>
          </c:val>
        </c:ser>
        <c:ser>
          <c:idx val="4"/>
          <c:order val="4"/>
          <c:tx>
            <c:strRef>
              <c:f>'IV.3.3.Pagos anuales x cuentas'!$A$8</c:f>
              <c:strCache>
                <c:ptCount val="1"/>
                <c:pt idx="0">
                  <c:v>Autoseguro IDSS</c:v>
                </c:pt>
              </c:strCache>
            </c:strRef>
          </c:tx>
          <c:invertIfNegative val="0"/>
          <c:dLbls>
            <c:dLbl>
              <c:idx val="3"/>
              <c:layout>
                <c:manualLayout>
                  <c:x val="-4.0415668275299951E-4"/>
                  <c:y val="1.3816915767729855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lang="en-US" sz="1100" b="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cuentas'!$B$3:$N$3</c:f>
              <c:strCache>
                <c:ptCount val="13"/>
                <c:pt idx="0">
                  <c:v>2003</c:v>
                </c:pt>
                <c:pt idx="1">
                  <c:v>2004</c:v>
                </c:pt>
                <c:pt idx="2">
                  <c:v>2005</c:v>
                </c:pt>
                <c:pt idx="3">
                  <c:v>2006</c:v>
                </c:pt>
                <c:pt idx="4">
                  <c:v>2007</c:v>
                </c:pt>
                <c:pt idx="5">
                  <c:v>2008</c:v>
                </c:pt>
                <c:pt idx="6">
                  <c:v>2009</c:v>
                </c:pt>
                <c:pt idx="7">
                  <c:v>2010</c:v>
                </c:pt>
                <c:pt idx="8">
                  <c:v> 2011</c:v>
                </c:pt>
                <c:pt idx="9">
                  <c:v>2012</c:v>
                </c:pt>
                <c:pt idx="10">
                  <c:v>2013</c:v>
                </c:pt>
                <c:pt idx="11">
                  <c:v>2014</c:v>
                </c:pt>
                <c:pt idx="12">
                  <c:v>Ene-Nov. 2015</c:v>
                </c:pt>
              </c:strCache>
            </c:strRef>
          </c:cat>
          <c:val>
            <c:numRef>
              <c:f>'IV.3.3.Pagos anuales x cuentas'!$C$8:$N$8</c:f>
              <c:numCache>
                <c:formatCode>_(* #,##0.00_);_(* \(#,##0.00\);_(* "-"??_);_(@_)</c:formatCode>
                <c:ptCount val="12"/>
                <c:pt idx="0">
                  <c:v>0</c:v>
                </c:pt>
                <c:pt idx="1">
                  <c:v>44554249.010000005</c:v>
                </c:pt>
                <c:pt idx="2">
                  <c:v>50116429.870000005</c:v>
                </c:pt>
                <c:pt idx="3">
                  <c:v>66693954.190000013</c:v>
                </c:pt>
                <c:pt idx="4">
                  <c:v>70260729.659999996</c:v>
                </c:pt>
                <c:pt idx="5">
                  <c:v>75325664.86999999</c:v>
                </c:pt>
                <c:pt idx="6">
                  <c:v>87578847.120000005</c:v>
                </c:pt>
                <c:pt idx="7">
                  <c:v>91807218.480000004</c:v>
                </c:pt>
                <c:pt idx="8">
                  <c:v>92110689.790000007</c:v>
                </c:pt>
                <c:pt idx="9">
                  <c:v>84379473.989999995</c:v>
                </c:pt>
                <c:pt idx="10">
                  <c:v>98680828.370000005</c:v>
                </c:pt>
                <c:pt idx="11">
                  <c:v>93384233.599999994</c:v>
                </c:pt>
              </c:numCache>
            </c:numRef>
          </c:val>
        </c:ser>
        <c:ser>
          <c:idx val="5"/>
          <c:order val="5"/>
          <c:tx>
            <c:strRef>
              <c:f>'IV.3.3.Pagos anuales x cuentas'!$A$9</c:f>
              <c:strCache>
                <c:ptCount val="1"/>
                <c:pt idx="0">
                  <c:v>Comision AFP</c:v>
                </c:pt>
              </c:strCache>
            </c:strRef>
          </c:tx>
          <c:invertIfNegative val="0"/>
          <c:dLbls>
            <c:spPr>
              <a:noFill/>
              <a:ln>
                <a:noFill/>
              </a:ln>
              <a:effectLst/>
            </c:spPr>
            <c:txPr>
              <a:bodyPr rot="-5400000" vert="horz"/>
              <a:lstStyle/>
              <a:p>
                <a:pPr>
                  <a:defRPr lang="en-US" sz="1100" b="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cuentas'!$B$3:$N$3</c:f>
              <c:strCache>
                <c:ptCount val="13"/>
                <c:pt idx="0">
                  <c:v>2003</c:v>
                </c:pt>
                <c:pt idx="1">
                  <c:v>2004</c:v>
                </c:pt>
                <c:pt idx="2">
                  <c:v>2005</c:v>
                </c:pt>
                <c:pt idx="3">
                  <c:v>2006</c:v>
                </c:pt>
                <c:pt idx="4">
                  <c:v>2007</c:v>
                </c:pt>
                <c:pt idx="5">
                  <c:v>2008</c:v>
                </c:pt>
                <c:pt idx="6">
                  <c:v>2009</c:v>
                </c:pt>
                <c:pt idx="7">
                  <c:v>2010</c:v>
                </c:pt>
                <c:pt idx="8">
                  <c:v> 2011</c:v>
                </c:pt>
                <c:pt idx="9">
                  <c:v>2012</c:v>
                </c:pt>
                <c:pt idx="10">
                  <c:v>2013</c:v>
                </c:pt>
                <c:pt idx="11">
                  <c:v>2014</c:v>
                </c:pt>
                <c:pt idx="12">
                  <c:v>Ene-Nov. 2015</c:v>
                </c:pt>
              </c:strCache>
            </c:strRef>
          </c:cat>
          <c:val>
            <c:numRef>
              <c:f>'IV.3.3.Pagos anuales x cuentas'!$B$9:$N$9</c:f>
              <c:numCache>
                <c:formatCode>_(* #,##0.00_);_(* \(#,##0.00\);_(* "-"??_);_(@_)</c:formatCode>
                <c:ptCount val="13"/>
                <c:pt idx="0">
                  <c:v>90685681.971000016</c:v>
                </c:pt>
                <c:pt idx="1">
                  <c:v>418581034.097597</c:v>
                </c:pt>
                <c:pt idx="2">
                  <c:v>499326061.26086009</c:v>
                </c:pt>
                <c:pt idx="3">
                  <c:v>539813903.23000002</c:v>
                </c:pt>
                <c:pt idx="4">
                  <c:v>653915330.37</c:v>
                </c:pt>
                <c:pt idx="5">
                  <c:v>775828907.30000007</c:v>
                </c:pt>
                <c:pt idx="6">
                  <c:v>933206115.5</c:v>
                </c:pt>
                <c:pt idx="7">
                  <c:v>1197840913.1600001</c:v>
                </c:pt>
                <c:pt idx="8">
                  <c:v>1153613834.1200001</c:v>
                </c:pt>
                <c:pt idx="9">
                  <c:v>1270496588.99</c:v>
                </c:pt>
                <c:pt idx="10">
                  <c:v>1415686748.8699999</c:v>
                </c:pt>
                <c:pt idx="11">
                  <c:v>1604198175.8299999</c:v>
                </c:pt>
                <c:pt idx="12">
                  <c:v>1640790713.26</c:v>
                </c:pt>
              </c:numCache>
            </c:numRef>
          </c:val>
        </c:ser>
        <c:ser>
          <c:idx val="6"/>
          <c:order val="6"/>
          <c:tx>
            <c:strRef>
              <c:f>'IV.3.3.Pagos anuales x cuentas'!$A$10</c:f>
              <c:strCache>
                <c:ptCount val="1"/>
                <c:pt idx="0">
                  <c:v>Comision SIPEN</c:v>
                </c:pt>
              </c:strCache>
            </c:strRef>
          </c:tx>
          <c:invertIfNegative val="0"/>
          <c:dLbls>
            <c:dLbl>
              <c:idx val="9"/>
              <c:layout>
                <c:manualLayout>
                  <c:x val="0"/>
                  <c:y val="-2.2721198018997784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lang="en-US" sz="1100" b="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cuentas'!$B$3:$N$3</c:f>
              <c:strCache>
                <c:ptCount val="13"/>
                <c:pt idx="0">
                  <c:v>2003</c:v>
                </c:pt>
                <c:pt idx="1">
                  <c:v>2004</c:v>
                </c:pt>
                <c:pt idx="2">
                  <c:v>2005</c:v>
                </c:pt>
                <c:pt idx="3">
                  <c:v>2006</c:v>
                </c:pt>
                <c:pt idx="4">
                  <c:v>2007</c:v>
                </c:pt>
                <c:pt idx="5">
                  <c:v>2008</c:v>
                </c:pt>
                <c:pt idx="6">
                  <c:v>2009</c:v>
                </c:pt>
                <c:pt idx="7">
                  <c:v>2010</c:v>
                </c:pt>
                <c:pt idx="8">
                  <c:v> 2011</c:v>
                </c:pt>
                <c:pt idx="9">
                  <c:v>2012</c:v>
                </c:pt>
                <c:pt idx="10">
                  <c:v>2013</c:v>
                </c:pt>
                <c:pt idx="11">
                  <c:v>2014</c:v>
                </c:pt>
                <c:pt idx="12">
                  <c:v>Ene-Nov. 2015</c:v>
                </c:pt>
              </c:strCache>
            </c:strRef>
          </c:cat>
          <c:val>
            <c:numRef>
              <c:f>'IV.3.3.Pagos anuales x cuentas'!$B$10:$N$10</c:f>
              <c:numCache>
                <c:formatCode>_(* #,##0.00_);_(* \(#,##0.00\);_(* "-"??_);_(@_)</c:formatCode>
                <c:ptCount val="13"/>
                <c:pt idx="0">
                  <c:v>18137136.394200001</c:v>
                </c:pt>
                <c:pt idx="1">
                  <c:v>82086304.309749991</c:v>
                </c:pt>
                <c:pt idx="2">
                  <c:v>99075487.134100005</c:v>
                </c:pt>
                <c:pt idx="3">
                  <c:v>109989360.61999997</c:v>
                </c:pt>
                <c:pt idx="4">
                  <c:v>130598212.33</c:v>
                </c:pt>
                <c:pt idx="5">
                  <c:v>140123264.7405</c:v>
                </c:pt>
                <c:pt idx="6">
                  <c:v>132002937.52000001</c:v>
                </c:pt>
                <c:pt idx="7">
                  <c:v>188169177.71000004</c:v>
                </c:pt>
                <c:pt idx="8">
                  <c:v>162448764.51999998</c:v>
                </c:pt>
                <c:pt idx="9">
                  <c:v>179079077.34999999</c:v>
                </c:pt>
                <c:pt idx="10">
                  <c:v>199265984.22999999</c:v>
                </c:pt>
                <c:pt idx="11">
                  <c:v>225520451.75999999</c:v>
                </c:pt>
                <c:pt idx="12">
                  <c:v>230893768.72999999</c:v>
                </c:pt>
              </c:numCache>
            </c:numRef>
          </c:val>
        </c:ser>
        <c:ser>
          <c:idx val="7"/>
          <c:order val="7"/>
          <c:tx>
            <c:strRef>
              <c:f>'IV.3.3.Pagos anuales x cuentas'!$A$11</c:f>
              <c:strCache>
                <c:ptCount val="1"/>
                <c:pt idx="0">
                  <c:v> FSS</c:v>
                </c:pt>
              </c:strCache>
            </c:strRef>
          </c:tx>
          <c:invertIfNegative val="0"/>
          <c:dLbls>
            <c:dLbl>
              <c:idx val="7"/>
              <c:spPr/>
              <c:txPr>
                <a:bodyPr rot="-5400000" vert="horz"/>
                <a:lstStyle/>
                <a:p>
                  <a:pPr>
                    <a:defRPr lang="en-US" sz="1100" b="0"/>
                  </a:pPr>
                  <a:endParaRPr lang="es-ES"/>
                </a:p>
              </c:txPr>
              <c:showLegendKey val="0"/>
              <c:showVal val="1"/>
              <c:showCatName val="0"/>
              <c:showSerName val="0"/>
              <c:showPercent val="0"/>
              <c:showBubbleSize val="0"/>
            </c:dLbl>
            <c:dLbl>
              <c:idx val="8"/>
              <c:spPr/>
              <c:txPr>
                <a:bodyPr rot="-5400000" vert="horz"/>
                <a:lstStyle/>
                <a:p>
                  <a:pPr>
                    <a:defRPr lang="en-US" sz="1100" b="0"/>
                  </a:pPr>
                  <a:endParaRPr lang="es-ES"/>
                </a:p>
              </c:txPr>
              <c:showLegendKey val="0"/>
              <c:showVal val="1"/>
              <c:showCatName val="0"/>
              <c:showSerName val="0"/>
              <c:showPercent val="0"/>
              <c:showBubbleSize val="0"/>
            </c:dLbl>
            <c:dLbl>
              <c:idx val="9"/>
              <c:spPr/>
              <c:txPr>
                <a:bodyPr rot="-5400000" vert="horz"/>
                <a:lstStyle/>
                <a:p>
                  <a:pPr>
                    <a:defRPr lang="en-US" sz="1100" b="0"/>
                  </a:pPr>
                  <a:endParaRPr lang="es-ES"/>
                </a:p>
              </c:txPr>
              <c:showLegendKey val="0"/>
              <c:showVal val="1"/>
              <c:showCatName val="0"/>
              <c:showSerName val="0"/>
              <c:showPercent val="0"/>
              <c:showBubbleSize val="0"/>
            </c:dLbl>
            <c:spPr>
              <a:noFill/>
              <a:ln>
                <a:noFill/>
              </a:ln>
              <a:effectLst/>
            </c:spPr>
            <c:txPr>
              <a:bodyPr rot="-5400000" vert="horz"/>
              <a:lstStyle/>
              <a:p>
                <a:pPr>
                  <a:defRPr lang="en-US" sz="11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cuentas'!$B$3:$N$3</c:f>
              <c:strCache>
                <c:ptCount val="13"/>
                <c:pt idx="0">
                  <c:v>2003</c:v>
                </c:pt>
                <c:pt idx="1">
                  <c:v>2004</c:v>
                </c:pt>
                <c:pt idx="2">
                  <c:v>2005</c:v>
                </c:pt>
                <c:pt idx="3">
                  <c:v>2006</c:v>
                </c:pt>
                <c:pt idx="4">
                  <c:v>2007</c:v>
                </c:pt>
                <c:pt idx="5">
                  <c:v>2008</c:v>
                </c:pt>
                <c:pt idx="6">
                  <c:v>2009</c:v>
                </c:pt>
                <c:pt idx="7">
                  <c:v>2010</c:v>
                </c:pt>
                <c:pt idx="8">
                  <c:v> 2011</c:v>
                </c:pt>
                <c:pt idx="9">
                  <c:v>2012</c:v>
                </c:pt>
                <c:pt idx="10">
                  <c:v>2013</c:v>
                </c:pt>
                <c:pt idx="11">
                  <c:v>2014</c:v>
                </c:pt>
                <c:pt idx="12">
                  <c:v>Ene-Nov. 2015</c:v>
                </c:pt>
              </c:strCache>
            </c:strRef>
          </c:cat>
          <c:val>
            <c:numRef>
              <c:f>'IV.3.3.Pagos anuales x cuentas'!$B$11:$N$11</c:f>
              <c:numCache>
                <c:formatCode>_(* #,##0.00_);_(* \(#,##0.00\);_(* "-"??_);_(@_)</c:formatCode>
                <c:ptCount val="13"/>
                <c:pt idx="0">
                  <c:v>72548545.576800004</c:v>
                </c:pt>
                <c:pt idx="1">
                  <c:v>331613866.00516498</c:v>
                </c:pt>
                <c:pt idx="2">
                  <c:v>400373294.9199999</c:v>
                </c:pt>
                <c:pt idx="3">
                  <c:v>439956624.98000002</c:v>
                </c:pt>
                <c:pt idx="4">
                  <c:v>522387059.45000005</c:v>
                </c:pt>
                <c:pt idx="5">
                  <c:v>623835085.87950003</c:v>
                </c:pt>
                <c:pt idx="6">
                  <c:v>751893113.57000005</c:v>
                </c:pt>
                <c:pt idx="7">
                  <c:v>830238495.24000001</c:v>
                </c:pt>
                <c:pt idx="8">
                  <c:v>931432716.68999994</c:v>
                </c:pt>
                <c:pt idx="9">
                  <c:v>1023346377.39</c:v>
                </c:pt>
                <c:pt idx="10">
                  <c:v>1141783196.8699999</c:v>
                </c:pt>
                <c:pt idx="11">
                  <c:v>1288685830.7</c:v>
                </c:pt>
                <c:pt idx="12">
                  <c:v>1326481555.6400001</c:v>
                </c:pt>
              </c:numCache>
            </c:numRef>
          </c:val>
        </c:ser>
        <c:dLbls>
          <c:showLegendKey val="0"/>
          <c:showVal val="0"/>
          <c:showCatName val="0"/>
          <c:showSerName val="0"/>
          <c:showPercent val="0"/>
          <c:showBubbleSize val="0"/>
        </c:dLbls>
        <c:gapWidth val="75"/>
        <c:shape val="cylinder"/>
        <c:axId val="366732408"/>
        <c:axId val="366730448"/>
        <c:axId val="0"/>
      </c:bar3DChart>
      <c:catAx>
        <c:axId val="366732408"/>
        <c:scaling>
          <c:orientation val="minMax"/>
        </c:scaling>
        <c:delete val="0"/>
        <c:axPos val="b"/>
        <c:numFmt formatCode="General" sourceLinked="1"/>
        <c:majorTickMark val="none"/>
        <c:minorTickMark val="none"/>
        <c:tickLblPos val="nextTo"/>
        <c:txPr>
          <a:bodyPr/>
          <a:lstStyle/>
          <a:p>
            <a:pPr>
              <a:defRPr lang="en-US" sz="1200"/>
            </a:pPr>
            <a:endParaRPr lang="es-ES"/>
          </a:p>
        </c:txPr>
        <c:crossAx val="366730448"/>
        <c:crosses val="autoZero"/>
        <c:auto val="1"/>
        <c:lblAlgn val="ctr"/>
        <c:lblOffset val="100"/>
        <c:noMultiLvlLbl val="0"/>
      </c:catAx>
      <c:valAx>
        <c:axId val="366730448"/>
        <c:scaling>
          <c:orientation val="minMax"/>
        </c:scaling>
        <c:delete val="0"/>
        <c:axPos val="l"/>
        <c:numFmt formatCode="_(* #,##0.00_);_(* \(#,##0.00\);_(* &quot;-&quot;??_);_(@_)" sourceLinked="1"/>
        <c:majorTickMark val="none"/>
        <c:minorTickMark val="none"/>
        <c:tickLblPos val="none"/>
        <c:txPr>
          <a:bodyPr/>
          <a:lstStyle/>
          <a:p>
            <a:pPr>
              <a:defRPr lang="en-US"/>
            </a:pPr>
            <a:endParaRPr lang="es-ES"/>
          </a:p>
        </c:txPr>
        <c:crossAx val="366732408"/>
        <c:crosses val="autoZero"/>
        <c:crossBetween val="between"/>
        <c:dispUnits>
          <c:builtInUnit val="millions"/>
          <c:dispUnitsLbl>
            <c:layout>
              <c:manualLayout>
                <c:xMode val="edge"/>
                <c:yMode val="edge"/>
                <c:x val="3.0740356524567025E-2"/>
                <c:y val="0.4428608163330689"/>
              </c:manualLayout>
            </c:layout>
            <c:txPr>
              <a:bodyPr/>
              <a:lstStyle/>
              <a:p>
                <a:pPr>
                  <a:defRPr lang="en-US" sz="1400" b="0"/>
                </a:pPr>
                <a:endParaRPr lang="es-ES"/>
              </a:p>
            </c:txPr>
          </c:dispUnitsLbl>
        </c:dispUnits>
      </c:valAx>
      <c:spPr>
        <a:noFill/>
        <a:ln w="25400">
          <a:noFill/>
        </a:ln>
      </c:spPr>
    </c:plotArea>
    <c:legend>
      <c:legendPos val="b"/>
      <c:layout>
        <c:manualLayout>
          <c:xMode val="edge"/>
          <c:yMode val="edge"/>
          <c:x val="6.6823710541402126E-2"/>
          <c:y val="8.1250711359579925E-2"/>
          <c:w val="0.85761725026012103"/>
          <c:h val="5.7293722583674857E-2"/>
        </c:manualLayout>
      </c:layout>
      <c:overlay val="0"/>
      <c:txPr>
        <a:bodyPr/>
        <a:lstStyle/>
        <a:p>
          <a:pPr>
            <a:defRPr lang="en-US" sz="1200"/>
          </a:pPr>
          <a:endParaRPr lang="es-E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5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1" i="0" u="none" strike="noStrike" kern="1200" spc="0" baseline="0">
                <a:solidFill>
                  <a:sysClr val="windowText" lastClr="000000"/>
                </a:solidFill>
                <a:latin typeface="+mn-lt"/>
                <a:ea typeface="+mn-ea"/>
                <a:cs typeface="+mn-cs"/>
              </a:defRPr>
            </a:pPr>
            <a:r>
              <a:rPr lang="es-DO" sz="2000" b="1">
                <a:effectLst/>
              </a:rPr>
              <a:t>Pagos a Entidades del Seguro de Vejez, Discapacidad y Sobrevivencia (SVDS)</a:t>
            </a:r>
            <a:endParaRPr lang="es-ES" sz="2000">
              <a:effectLst/>
            </a:endParaRPr>
          </a:p>
        </c:rich>
      </c:tx>
      <c:layout>
        <c:manualLayout>
          <c:xMode val="edge"/>
          <c:yMode val="edge"/>
          <c:x val="0.26256339428663272"/>
          <c:y val="4.0690003732161577E-2"/>
        </c:manualLayout>
      </c:layout>
      <c:overlay val="0"/>
      <c:spPr>
        <a:noFill/>
        <a:ln>
          <a:noFill/>
        </a:ln>
        <a:effectLst/>
      </c:spPr>
      <c:txPr>
        <a:bodyPr rot="0" spcFirstLastPara="1" vertOverflow="ellipsis" vert="horz" wrap="square" anchor="ctr" anchorCtr="1"/>
        <a:lstStyle/>
        <a:p>
          <a:pPr>
            <a:defRPr sz="2000" b="1" i="0" u="none" strike="noStrike" kern="1200" spc="0" baseline="0">
              <a:solidFill>
                <a:sysClr val="windowText" lastClr="000000"/>
              </a:solidFill>
              <a:latin typeface="+mn-lt"/>
              <a:ea typeface="+mn-ea"/>
              <a:cs typeface="+mn-cs"/>
            </a:defRPr>
          </a:pPr>
          <a:endParaRPr lang="es-ES"/>
        </a:p>
      </c:txPr>
    </c:title>
    <c:autoTitleDeleted val="0"/>
    <c:plotArea>
      <c:layout>
        <c:manualLayout>
          <c:layoutTarget val="inner"/>
          <c:xMode val="edge"/>
          <c:yMode val="edge"/>
          <c:x val="0.10661978844118147"/>
          <c:y val="0.10211711055625732"/>
          <c:w val="0.84319921227936312"/>
          <c:h val="0.72628538888637362"/>
        </c:manualLayout>
      </c:layout>
      <c:barChart>
        <c:barDir val="bar"/>
        <c:grouping val="clustered"/>
        <c:varyColors val="0"/>
        <c:ser>
          <c:idx val="0"/>
          <c:order val="0"/>
          <c:tx>
            <c:strRef>
              <c:f>'IV.3.4.Pago Entidades'!$K$3</c:f>
              <c:strCache>
                <c:ptCount val="1"/>
                <c:pt idx="0">
                  <c:v>Total</c:v>
                </c:pt>
              </c:strCache>
            </c:strRef>
          </c:tx>
          <c:spPr>
            <a:solidFill>
              <a:schemeClr val="accent1"/>
            </a:solidFill>
            <a:ln>
              <a:noFill/>
            </a:ln>
            <a:effectLst>
              <a:glow rad="139700">
                <a:schemeClr val="accent1">
                  <a:alpha val="49000"/>
                </a:schemeClr>
              </a:glow>
              <a:outerShdw sx="1000" sy="1000" algn="ctr" rotWithShape="0">
                <a:schemeClr val="bg1"/>
              </a:outerShdw>
              <a:softEdge rad="0"/>
            </a:effectLst>
          </c:spPr>
          <c:invertIfNegative val="0"/>
          <c:dPt>
            <c:idx val="11"/>
            <c:invertIfNegative val="0"/>
            <c:bubble3D val="0"/>
            <c:spPr>
              <a:solidFill>
                <a:schemeClr val="accent1"/>
              </a:solidFill>
              <a:ln>
                <a:noFill/>
              </a:ln>
              <a:effectLst>
                <a:glow rad="139700">
                  <a:schemeClr val="accent1">
                    <a:alpha val="49000"/>
                  </a:schemeClr>
                </a:glow>
                <a:outerShdw sx="1000" sy="1000" algn="ctr" rotWithShape="0">
                  <a:schemeClr val="bg1"/>
                </a:outerShdw>
                <a:softEdge rad="0"/>
              </a:effectLst>
            </c:spPr>
          </c:dPt>
          <c:dPt>
            <c:idx val="12"/>
            <c:invertIfNegative val="0"/>
            <c:bubble3D val="0"/>
            <c:spPr>
              <a:solidFill>
                <a:schemeClr val="accent1"/>
              </a:solidFill>
              <a:ln>
                <a:noFill/>
              </a:ln>
              <a:effectLst>
                <a:glow rad="139700">
                  <a:schemeClr val="accent1">
                    <a:alpha val="49000"/>
                  </a:schemeClr>
                </a:glow>
                <a:outerShdw sx="1000" sy="1000" algn="ctr" rotWithShape="0">
                  <a:schemeClr val="bg1"/>
                </a:outerShdw>
                <a:softEdge rad="0"/>
              </a:effectLst>
            </c:spPr>
          </c:dPt>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'IV.3.4.Pago Entidades'!$A$4:$A$16</c:f>
              <c:strCache>
                <c:ptCount val="13"/>
                <c:pt idx="0">
                  <c:v>AFP Popular </c:v>
                </c:pt>
                <c:pt idx="1">
                  <c:v>Scotia Crecer AFP</c:v>
                </c:pt>
                <c:pt idx="2">
                  <c:v>AFP Siembra</c:v>
                </c:pt>
                <c:pt idx="3">
                  <c:v>AFP Reservas</c:v>
                </c:pt>
                <c:pt idx="4">
                  <c:v>Fondo INABIMA</c:v>
                </c:pt>
                <c:pt idx="5">
                  <c:v>Sec. de Est. de Finanzas</c:v>
                </c:pt>
                <c:pt idx="6">
                  <c:v>AFP Romana</c:v>
                </c:pt>
                <c:pt idx="7">
                  <c:v>SIPEN</c:v>
                </c:pt>
                <c:pt idx="8">
                  <c:v>Fondo BR</c:v>
                </c:pt>
                <c:pt idx="9">
                  <c:v>Fondo BC</c:v>
                </c:pt>
                <c:pt idx="10">
                  <c:v>Autoseguro (IDSS)</c:v>
                </c:pt>
                <c:pt idx="11">
                  <c:v>AFP LEON</c:v>
                </c:pt>
                <c:pt idx="12">
                  <c:v>AFP CARIBALICO</c:v>
                </c:pt>
              </c:strCache>
            </c:strRef>
          </c:cat>
          <c:val>
            <c:numRef>
              <c:f>'IV.3.4.Pago Entidades'!$K$4:$K$16</c:f>
              <c:numCache>
                <c:formatCode>_(* #,##0.00_);_(* \(#,##0.00\);_(* "-"??_);_(@_)</c:formatCode>
                <c:ptCount val="13"/>
                <c:pt idx="0">
                  <c:v>61069428809.599998</c:v>
                </c:pt>
                <c:pt idx="1">
                  <c:v>45015124169.940002</c:v>
                </c:pt>
                <c:pt idx="2">
                  <c:v>36535884767.189995</c:v>
                </c:pt>
                <c:pt idx="3">
                  <c:v>35639480812.349998</c:v>
                </c:pt>
                <c:pt idx="4">
                  <c:v>26608160816.380001</c:v>
                </c:pt>
                <c:pt idx="5">
                  <c:v>9101900196.9400005</c:v>
                </c:pt>
                <c:pt idx="6">
                  <c:v>1656740923.0199995</c:v>
                </c:pt>
                <c:pt idx="7">
                  <c:v>1588098541.569999</c:v>
                </c:pt>
                <c:pt idx="8">
                  <c:v>1555100620.1299989</c:v>
                </c:pt>
                <c:pt idx="9">
                  <c:v>1380908986.7799995</c:v>
                </c:pt>
                <c:pt idx="10">
                  <c:v>760224191.2699995</c:v>
                </c:pt>
                <c:pt idx="11">
                  <c:v>116692988.65000001</c:v>
                </c:pt>
                <c:pt idx="12">
                  <c:v>63617457.140000001</c:v>
                </c:pt>
              </c:numCache>
            </c:numRef>
          </c:val>
        </c:ser>
        <c:dLbls>
          <c:showLegendKey val="0"/>
          <c:showVal val="0"/>
          <c:showCatName val="0"/>
          <c:showSerName val="0"/>
          <c:showPercent val="0"/>
          <c:showBubbleSize val="0"/>
        </c:dLbls>
        <c:gapWidth val="68"/>
        <c:overlap val="1"/>
        <c:axId val="366735936"/>
        <c:axId val="366732016"/>
      </c:barChart>
      <c:catAx>
        <c:axId val="36673593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1050" b="0" i="0" u="none" strike="noStrike" kern="1200" baseline="0">
                <a:solidFill>
                  <a:sysClr val="windowText" lastClr="000000"/>
                </a:solidFill>
                <a:latin typeface="+mn-lt"/>
                <a:ea typeface="+mn-ea"/>
                <a:cs typeface="+mn-cs"/>
              </a:defRPr>
            </a:pPr>
            <a:endParaRPr lang="es-ES"/>
          </a:p>
        </c:txPr>
        <c:crossAx val="366732016"/>
        <c:crosses val="autoZero"/>
        <c:auto val="1"/>
        <c:lblAlgn val="ctr"/>
        <c:lblOffset val="100"/>
        <c:noMultiLvlLbl val="0"/>
      </c:catAx>
      <c:valAx>
        <c:axId val="366732016"/>
        <c:scaling>
          <c:orientation val="minMax"/>
        </c:scaling>
        <c:delete val="0"/>
        <c:axPos val="b"/>
        <c:numFmt formatCode="_(* #,##0.00_);_(* \(#,##0.00\);_(* &quot;-&quot;??_);_(@_)" sourceLinked="1"/>
        <c:majorTickMark val="none"/>
        <c:minorTickMark val="none"/>
        <c:tickLblPos val="nextTo"/>
        <c:spPr>
          <a:noFill/>
          <a:ln>
            <a:noFill/>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66735936"/>
        <c:crosses val="autoZero"/>
        <c:crossBetween val="between"/>
        <c:dispUnits>
          <c:builtInUnit val="millions"/>
          <c:dispUnitsLbl>
            <c:layout>
              <c:manualLayout>
                <c:xMode val="edge"/>
                <c:yMode val="edge"/>
                <c:x val="0.53829665115370573"/>
                <c:y val="0.93307171420682411"/>
              </c:manualLayout>
            </c:layout>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ES"/>
              </a:p>
            </c:txPr>
          </c:dispUnitsLbl>
        </c:dispUnits>
      </c:valAx>
      <c:spPr>
        <a:noFill/>
        <a:ln>
          <a:noFill/>
        </a:ln>
        <a:effectLst/>
      </c:spPr>
    </c:plotArea>
    <c:plotVisOnly val="1"/>
    <c:dispBlanksAs val="gap"/>
    <c:showDLblsOverMax val="0"/>
  </c:chart>
  <c:spPr>
    <a:solidFill>
      <a:schemeClr val="bg1"/>
    </a:solidFill>
    <a:ln w="9525" cap="flat" cmpd="sng" algn="ctr">
      <a:gradFill>
        <a:gsLst>
          <a:gs pos="0">
            <a:schemeClr val="accent1">
              <a:lumMod val="5000"/>
              <a:lumOff val="95000"/>
            </a:schemeClr>
          </a:gs>
          <a:gs pos="59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round/>
    </a:ln>
    <a:effectLst/>
  </c:spPr>
  <c:txPr>
    <a:bodyPr/>
    <a:lstStyle/>
    <a:p>
      <a:pPr>
        <a:defRPr/>
      </a:pPr>
      <a:endParaRPr lang="es-E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400"/>
            </a:pPr>
            <a:r>
              <a:rPr lang="en-US" sz="2400"/>
              <a:t>Afiliación  al Seguro Familiar de Salud por Regímenes de Financiamiento</a:t>
            </a:r>
          </a:p>
        </c:rich>
      </c:tx>
      <c:layout>
        <c:manualLayout>
          <c:xMode val="edge"/>
          <c:yMode val="edge"/>
          <c:x val="0.264807379751681"/>
          <c:y val="2.6011256534220446E-2"/>
        </c:manualLayout>
      </c:layout>
      <c:overlay val="0"/>
    </c:title>
    <c:autoTitleDeleted val="0"/>
    <c:plotArea>
      <c:layout>
        <c:manualLayout>
          <c:layoutTarget val="inner"/>
          <c:xMode val="edge"/>
          <c:yMode val="edge"/>
          <c:x val="4.2117674058895833E-2"/>
          <c:y val="0.14273685428410901"/>
          <c:w val="0.91493130178679483"/>
          <c:h val="0.7221749155952053"/>
        </c:manualLayout>
      </c:layout>
      <c:barChart>
        <c:barDir val="col"/>
        <c:grouping val="clustered"/>
        <c:varyColors val="0"/>
        <c:ser>
          <c:idx val="0"/>
          <c:order val="0"/>
          <c:tx>
            <c:strRef>
              <c:f>'III.1.4.Afil. SFS'!$B$3</c:f>
              <c:strCache>
                <c:ptCount val="1"/>
                <c:pt idx="0">
                  <c:v>Afiliación  RC</c:v>
                </c:pt>
              </c:strCache>
            </c:strRef>
          </c:tx>
          <c:spPr>
            <a:solidFill>
              <a:schemeClr val="accent1">
                <a:lumMod val="75000"/>
              </a:schemeClr>
            </a:solidFill>
          </c:spPr>
          <c:invertIfNegative val="0"/>
          <c:dLbls>
            <c:dLbl>
              <c:idx val="4"/>
              <c:layout>
                <c:manualLayout>
                  <c:x val="0"/>
                  <c:y val="6.5278016502282573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'III.1.4.Afil. SFS'!$A$4:$A$14</c:f>
              <c:strCache>
                <c:ptCount val="11"/>
                <c:pt idx="0">
                  <c:v>Dic. 2005</c:v>
                </c:pt>
                <c:pt idx="1">
                  <c:v>Dic. 2006</c:v>
                </c:pt>
                <c:pt idx="2">
                  <c:v>Dic. 2007</c:v>
                </c:pt>
                <c:pt idx="3">
                  <c:v>Dic. 2008</c:v>
                </c:pt>
                <c:pt idx="4">
                  <c:v>Dic. 2009</c:v>
                </c:pt>
                <c:pt idx="5">
                  <c:v>Dic. 2010</c:v>
                </c:pt>
                <c:pt idx="6">
                  <c:v>Dic. 2011</c:v>
                </c:pt>
                <c:pt idx="7">
                  <c:v>Dic. 2012</c:v>
                </c:pt>
                <c:pt idx="8">
                  <c:v>Dic. 2013</c:v>
                </c:pt>
                <c:pt idx="9">
                  <c:v>Dic. 2014</c:v>
                </c:pt>
                <c:pt idx="10">
                  <c:v>Nov. 2015</c:v>
                </c:pt>
              </c:strCache>
            </c:strRef>
          </c:cat>
          <c:val>
            <c:numRef>
              <c:f>'III.1.4.Afil. SFS'!$B$4:$B$14</c:f>
              <c:numCache>
                <c:formatCode>_(* #,##0_);_(* \(#,##0\);_(* "-"_);_(@_)</c:formatCode>
                <c:ptCount val="11"/>
                <c:pt idx="0">
                  <c:v>0</c:v>
                </c:pt>
                <c:pt idx="1">
                  <c:v>0</c:v>
                </c:pt>
                <c:pt idx="2" formatCode="#,##0">
                  <c:v>1477181</c:v>
                </c:pt>
                <c:pt idx="3" formatCode="#,##0">
                  <c:v>1692259</c:v>
                </c:pt>
                <c:pt idx="4" formatCode="#,##0">
                  <c:v>2088299</c:v>
                </c:pt>
                <c:pt idx="5" formatCode="#,##0">
                  <c:v>2364083</c:v>
                </c:pt>
                <c:pt idx="6" formatCode="#,##0">
                  <c:v>2517423</c:v>
                </c:pt>
                <c:pt idx="7" formatCode="#,##0">
                  <c:v>2688411</c:v>
                </c:pt>
                <c:pt idx="8" formatCode="#,##0">
                  <c:v>2859306</c:v>
                </c:pt>
                <c:pt idx="9" formatCode="#,##0">
                  <c:v>3141599</c:v>
                </c:pt>
                <c:pt idx="10" formatCode="#,##0">
                  <c:v>3352699</c:v>
                </c:pt>
              </c:numCache>
            </c:numRef>
          </c:val>
        </c:ser>
        <c:ser>
          <c:idx val="1"/>
          <c:order val="1"/>
          <c:tx>
            <c:strRef>
              <c:f>'III.1.4.Afil. SFS'!$C$3</c:f>
              <c:strCache>
                <c:ptCount val="1"/>
                <c:pt idx="0">
                  <c:v>Afiliación RS</c:v>
                </c:pt>
              </c:strCache>
            </c:strRef>
          </c:tx>
          <c:spPr>
            <a:solidFill>
              <a:schemeClr val="accent3">
                <a:lumMod val="50000"/>
              </a:schemeClr>
            </a:solidFill>
          </c:spPr>
          <c:invertIfNegative val="0"/>
          <c:dLbls>
            <c:dLbl>
              <c:idx val="0"/>
              <c:layout>
                <c:manualLayout>
                  <c:x val="-6.3879209344391581E-4"/>
                  <c:y val="6.527801650228257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2.3422106185440905E-17"/>
                  <c:y val="5.22224132018260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0"/>
                  <c:y val="5.2222413201827014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6.3879209344396264E-4"/>
                  <c:y val="7.8333619802739094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0"/>
                  <c:y val="1.0444482640365212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'III.1.4.Afil. SFS'!$A$4:$A$14</c:f>
              <c:strCache>
                <c:ptCount val="11"/>
                <c:pt idx="0">
                  <c:v>Dic. 2005</c:v>
                </c:pt>
                <c:pt idx="1">
                  <c:v>Dic. 2006</c:v>
                </c:pt>
                <c:pt idx="2">
                  <c:v>Dic. 2007</c:v>
                </c:pt>
                <c:pt idx="3">
                  <c:v>Dic. 2008</c:v>
                </c:pt>
                <c:pt idx="4">
                  <c:v>Dic. 2009</c:v>
                </c:pt>
                <c:pt idx="5">
                  <c:v>Dic. 2010</c:v>
                </c:pt>
                <c:pt idx="6">
                  <c:v>Dic. 2011</c:v>
                </c:pt>
                <c:pt idx="7">
                  <c:v>Dic. 2012</c:v>
                </c:pt>
                <c:pt idx="8">
                  <c:v>Dic. 2013</c:v>
                </c:pt>
                <c:pt idx="9">
                  <c:v>Dic. 2014</c:v>
                </c:pt>
                <c:pt idx="10">
                  <c:v>Nov. 2015</c:v>
                </c:pt>
              </c:strCache>
            </c:strRef>
          </c:cat>
          <c:val>
            <c:numRef>
              <c:f>'III.1.4.Afil. SFS'!$C$4:$C$14</c:f>
              <c:numCache>
                <c:formatCode>#,##0</c:formatCode>
                <c:ptCount val="11"/>
                <c:pt idx="0">
                  <c:v>253374</c:v>
                </c:pt>
                <c:pt idx="1">
                  <c:v>514040</c:v>
                </c:pt>
                <c:pt idx="2">
                  <c:v>1081936</c:v>
                </c:pt>
                <c:pt idx="3">
                  <c:v>1224898</c:v>
                </c:pt>
                <c:pt idx="4">
                  <c:v>1404225</c:v>
                </c:pt>
                <c:pt idx="5">
                  <c:v>2013786</c:v>
                </c:pt>
                <c:pt idx="6">
                  <c:v>2003427</c:v>
                </c:pt>
                <c:pt idx="7">
                  <c:v>2303351</c:v>
                </c:pt>
                <c:pt idx="8">
                  <c:v>2751753</c:v>
                </c:pt>
                <c:pt idx="9">
                  <c:v>3015646</c:v>
                </c:pt>
                <c:pt idx="10">
                  <c:v>3107676</c:v>
                </c:pt>
              </c:numCache>
            </c:numRef>
          </c:val>
        </c:ser>
        <c:ser>
          <c:idx val="2"/>
          <c:order val="2"/>
          <c:tx>
            <c:strRef>
              <c:f>'III.1.4.Afil. SFS'!$D$3</c:f>
              <c:strCache>
                <c:ptCount val="1"/>
                <c:pt idx="0">
                  <c:v>Afiliación   RET</c:v>
                </c:pt>
              </c:strCache>
            </c:strRef>
          </c:tx>
          <c:spPr>
            <a:solidFill>
              <a:srgbClr val="00B050"/>
            </a:solidFill>
          </c:spPr>
          <c:invertIfNegative val="0"/>
          <c:dLbls>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'III.1.4.Afil. SFS'!$A$4:$A$14</c:f>
              <c:strCache>
                <c:ptCount val="11"/>
                <c:pt idx="0">
                  <c:v>Dic. 2005</c:v>
                </c:pt>
                <c:pt idx="1">
                  <c:v>Dic. 2006</c:v>
                </c:pt>
                <c:pt idx="2">
                  <c:v>Dic. 2007</c:v>
                </c:pt>
                <c:pt idx="3">
                  <c:v>Dic. 2008</c:v>
                </c:pt>
                <c:pt idx="4">
                  <c:v>Dic. 2009</c:v>
                </c:pt>
                <c:pt idx="5">
                  <c:v>Dic. 2010</c:v>
                </c:pt>
                <c:pt idx="6">
                  <c:v>Dic. 2011</c:v>
                </c:pt>
                <c:pt idx="7">
                  <c:v>Dic. 2012</c:v>
                </c:pt>
                <c:pt idx="8">
                  <c:v>Dic. 2013</c:v>
                </c:pt>
                <c:pt idx="9">
                  <c:v>Dic. 2014</c:v>
                </c:pt>
                <c:pt idx="10">
                  <c:v>Nov. 2015</c:v>
                </c:pt>
              </c:strCache>
            </c:strRef>
          </c:cat>
          <c:val>
            <c:numRef>
              <c:f>'III.1.4.Afil. SFS'!$D$4:$D$14</c:f>
              <c:numCache>
                <c:formatCode>_(* #,##0.00_);_(* \(#,##0.00\);_(* "-"??_);_(@_)</c:formatCode>
                <c:ptCount val="11"/>
                <c:pt idx="0">
                  <c:v>0</c:v>
                </c:pt>
                <c:pt idx="1">
                  <c:v>0</c:v>
                </c:pt>
                <c:pt idx="2">
                  <c:v>0</c:v>
                </c:pt>
                <c:pt idx="3">
                  <c:v>0</c:v>
                </c:pt>
                <c:pt idx="4" formatCode="#,##0">
                  <c:v>21982</c:v>
                </c:pt>
                <c:pt idx="5" formatCode="#,##0">
                  <c:v>27105</c:v>
                </c:pt>
                <c:pt idx="6" formatCode="#,##0">
                  <c:v>29726</c:v>
                </c:pt>
                <c:pt idx="7" formatCode="#,##0">
                  <c:v>30703</c:v>
                </c:pt>
                <c:pt idx="8" formatCode="#,##0">
                  <c:v>27273</c:v>
                </c:pt>
                <c:pt idx="9" formatCode="#,##0">
                  <c:v>30370</c:v>
                </c:pt>
                <c:pt idx="10" formatCode="#,##0">
                  <c:v>30479</c:v>
                </c:pt>
              </c:numCache>
            </c:numRef>
          </c:val>
        </c:ser>
        <c:dLbls>
          <c:showLegendKey val="0"/>
          <c:showVal val="0"/>
          <c:showCatName val="0"/>
          <c:showSerName val="0"/>
          <c:showPercent val="0"/>
          <c:showBubbleSize val="0"/>
        </c:dLbls>
        <c:gapWidth val="7"/>
        <c:overlap val="1"/>
        <c:axId val="380002584"/>
        <c:axId val="380010424"/>
      </c:barChart>
      <c:lineChart>
        <c:grouping val="standard"/>
        <c:varyColors val="0"/>
        <c:ser>
          <c:idx val="3"/>
          <c:order val="3"/>
          <c:tx>
            <c:strRef>
              <c:f>'III.1.4.Afil. SFS'!$F$3</c:f>
              <c:strCache>
                <c:ptCount val="1"/>
                <c:pt idx="0">
                  <c:v>%  RC </c:v>
                </c:pt>
              </c:strCache>
            </c:strRef>
          </c:tx>
          <c:spPr>
            <a:ln w="66675">
              <a:noFill/>
            </a:ln>
            <a:effectLst>
              <a:glow rad="228600">
                <a:schemeClr val="accent5">
                  <a:satMod val="175000"/>
                  <a:alpha val="40000"/>
                </a:schemeClr>
              </a:glow>
            </a:effectLst>
          </c:spPr>
          <c:marker>
            <c:symbol val="triangle"/>
            <c:size val="12"/>
            <c:spPr>
              <a:solidFill>
                <a:srgbClr val="00B0F0"/>
              </a:solidFill>
              <a:effectLst>
                <a:glow rad="228600">
                  <a:schemeClr val="accent5">
                    <a:satMod val="175000"/>
                    <a:alpha val="40000"/>
                  </a:schemeClr>
                </a:glow>
              </a:effectLst>
            </c:spPr>
          </c:marker>
          <c:dLbls>
            <c:dLbl>
              <c:idx val="4"/>
              <c:layout>
                <c:manualLayout>
                  <c:x val="-1.9802554896761391E-2"/>
                  <c:y val="2.611120660091293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1.9802554896761391E-2"/>
                  <c:y val="-2.480565910184689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2.2996515363980969E-2"/>
                  <c:y val="-2.770659909473007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7247386522985728E-2"/>
                  <c:y val="-2.350008594082172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1.9802554896761391E-2"/>
                  <c:y val="-2.480574907089326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1.5969802336097894E-2"/>
                  <c:y val="-2.74167669309586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6.4327489527028845E-4"/>
                  <c:y val="-1.6266174383635902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800" b="1"/>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'III.1.4.Afil. SFS'!$A$4:$A$14</c:f>
              <c:strCache>
                <c:ptCount val="11"/>
                <c:pt idx="0">
                  <c:v>Dic. 2005</c:v>
                </c:pt>
                <c:pt idx="1">
                  <c:v>Dic. 2006</c:v>
                </c:pt>
                <c:pt idx="2">
                  <c:v>Dic. 2007</c:v>
                </c:pt>
                <c:pt idx="3">
                  <c:v>Dic. 2008</c:v>
                </c:pt>
                <c:pt idx="4">
                  <c:v>Dic. 2009</c:v>
                </c:pt>
                <c:pt idx="5">
                  <c:v>Dic. 2010</c:v>
                </c:pt>
                <c:pt idx="6">
                  <c:v>Dic. 2011</c:v>
                </c:pt>
                <c:pt idx="7">
                  <c:v>Dic. 2012</c:v>
                </c:pt>
                <c:pt idx="8">
                  <c:v>Dic. 2013</c:v>
                </c:pt>
                <c:pt idx="9">
                  <c:v>Dic. 2014</c:v>
                </c:pt>
                <c:pt idx="10">
                  <c:v>Nov. 2015</c:v>
                </c:pt>
              </c:strCache>
            </c:strRef>
          </c:cat>
          <c:val>
            <c:numRef>
              <c:f>'III.1.4.Afil. SFS'!$F$4:$F$14</c:f>
              <c:numCache>
                <c:formatCode>_(* #,##0.00_);_(* \(#,##0.00\);_(* "-"??_);_(@_)</c:formatCode>
                <c:ptCount val="11"/>
                <c:pt idx="0">
                  <c:v>0</c:v>
                </c:pt>
                <c:pt idx="1">
                  <c:v>0</c:v>
                </c:pt>
                <c:pt idx="2" formatCode="0.0%">
                  <c:v>0.57722292493856275</c:v>
                </c:pt>
                <c:pt idx="3" formatCode="0.0%">
                  <c:v>0.58010556168214467</c:v>
                </c:pt>
                <c:pt idx="4" formatCode="0.0%">
                  <c:v>0.59419417693411247</c:v>
                </c:pt>
                <c:pt idx="5" formatCode="0.0%">
                  <c:v>0.53668489303228573</c:v>
                </c:pt>
                <c:pt idx="6" formatCode="0.0%">
                  <c:v>0.55320974751328178</c:v>
                </c:pt>
                <c:pt idx="7" formatCode="0.0%">
                  <c:v>0.53527719954245578</c:v>
                </c:pt>
                <c:pt idx="8" formatCode="0.0%">
                  <c:v>0.50711912672045567</c:v>
                </c:pt>
                <c:pt idx="9" formatCode="0.0%">
                  <c:v>0.50772373523562797</c:v>
                </c:pt>
                <c:pt idx="10" formatCode="0.0%">
                  <c:v>0.51652663886755112</c:v>
                </c:pt>
              </c:numCache>
            </c:numRef>
          </c:val>
          <c:smooth val="0"/>
        </c:ser>
        <c:ser>
          <c:idx val="4"/>
          <c:order val="4"/>
          <c:tx>
            <c:strRef>
              <c:f>'III.1.4.Afil. SFS'!$G$3</c:f>
              <c:strCache>
                <c:ptCount val="1"/>
                <c:pt idx="0">
                  <c:v>%   RS </c:v>
                </c:pt>
              </c:strCache>
            </c:strRef>
          </c:tx>
          <c:spPr>
            <a:ln w="66675">
              <a:noFill/>
            </a:ln>
            <a:effectLst>
              <a:glow rad="228600">
                <a:srgbClr val="FF0000">
                  <a:alpha val="40000"/>
                </a:srgbClr>
              </a:glow>
            </a:effectLst>
          </c:spPr>
          <c:marker>
            <c:symbol val="square"/>
            <c:size val="13"/>
            <c:spPr>
              <a:solidFill>
                <a:schemeClr val="tx1"/>
              </a:solidFill>
              <a:effectLst>
                <a:glow rad="228600">
                  <a:srgbClr val="FF0000">
                    <a:alpha val="40000"/>
                  </a:srgbClr>
                </a:glow>
              </a:effectLst>
            </c:spPr>
          </c:marker>
          <c:dLbls>
            <c:dLbl>
              <c:idx val="0"/>
              <c:layout>
                <c:manualLayout>
                  <c:x val="-2.1080139083649221E-2"/>
                  <c:y val="-3.133344792109563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9771785801496203E-2"/>
                  <c:y val="2.0176140041088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2.2357723270537054E-2"/>
                  <c:y val="-3.133344792109563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7886178616429643E-2"/>
                  <c:y val="-3.525012891123258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1.5969802336097894E-2"/>
                  <c:y val="2.678470189432761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1.9163762803317472E-2"/>
                  <c:y val="2.398036789549869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9163762803317472E-2"/>
                  <c:y val="1.987047289130920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8524970709873557E-2"/>
                  <c:y val="3.287639986225641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2.1718981475683265E-2"/>
                  <c:y val="2.649488391216527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2.0441346990205306E-2"/>
                  <c:y val="2.828336448094603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0"/>
                  <c:y val="1.7621688915605453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800" b="1"/>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'III.1.4.Afil. SFS'!$A$4:$A$14</c:f>
              <c:strCache>
                <c:ptCount val="11"/>
                <c:pt idx="0">
                  <c:v>Dic. 2005</c:v>
                </c:pt>
                <c:pt idx="1">
                  <c:v>Dic. 2006</c:v>
                </c:pt>
                <c:pt idx="2">
                  <c:v>Dic. 2007</c:v>
                </c:pt>
                <c:pt idx="3">
                  <c:v>Dic. 2008</c:v>
                </c:pt>
                <c:pt idx="4">
                  <c:v>Dic. 2009</c:v>
                </c:pt>
                <c:pt idx="5">
                  <c:v>Dic. 2010</c:v>
                </c:pt>
                <c:pt idx="6">
                  <c:v>Dic. 2011</c:v>
                </c:pt>
                <c:pt idx="7">
                  <c:v>Dic. 2012</c:v>
                </c:pt>
                <c:pt idx="8">
                  <c:v>Dic. 2013</c:v>
                </c:pt>
                <c:pt idx="9">
                  <c:v>Dic. 2014</c:v>
                </c:pt>
                <c:pt idx="10">
                  <c:v>Nov. 2015</c:v>
                </c:pt>
              </c:strCache>
            </c:strRef>
          </c:cat>
          <c:val>
            <c:numRef>
              <c:f>'III.1.4.Afil. SFS'!$G$4:$G$14</c:f>
              <c:numCache>
                <c:formatCode>0.0%</c:formatCode>
                <c:ptCount val="11"/>
                <c:pt idx="0">
                  <c:v>1</c:v>
                </c:pt>
                <c:pt idx="1">
                  <c:v>1</c:v>
                </c:pt>
                <c:pt idx="2">
                  <c:v>0.42277707506143719</c:v>
                </c:pt>
                <c:pt idx="3">
                  <c:v>0.41989443831785539</c:v>
                </c:pt>
                <c:pt idx="4">
                  <c:v>0.39955117447516092</c:v>
                </c:pt>
                <c:pt idx="5">
                  <c:v>0.45716183568847396</c:v>
                </c:pt>
                <c:pt idx="6">
                  <c:v>0.44025789262721904</c:v>
                </c:pt>
                <c:pt idx="7">
                  <c:v>0.45860966676721493</c:v>
                </c:pt>
                <c:pt idx="8">
                  <c:v>0.48804380444429307</c:v>
                </c:pt>
                <c:pt idx="9">
                  <c:v>0.48736807315904429</c:v>
                </c:pt>
                <c:pt idx="10">
                  <c:v>0.47877767702062007</c:v>
                </c:pt>
              </c:numCache>
            </c:numRef>
          </c:val>
          <c:smooth val="0"/>
        </c:ser>
        <c:ser>
          <c:idx val="5"/>
          <c:order val="5"/>
          <c:tx>
            <c:strRef>
              <c:f>'III.1.4.Afil. SFS'!$H$3</c:f>
              <c:strCache>
                <c:ptCount val="1"/>
                <c:pt idx="0">
                  <c:v>%  RET</c:v>
                </c:pt>
              </c:strCache>
            </c:strRef>
          </c:tx>
          <c:spPr>
            <a:ln w="66675">
              <a:noFill/>
            </a:ln>
            <a:effectLst>
              <a:glow rad="228600">
                <a:schemeClr val="accent3">
                  <a:satMod val="175000"/>
                  <a:alpha val="40000"/>
                </a:schemeClr>
              </a:glow>
            </a:effectLst>
          </c:spPr>
          <c:marker>
            <c:spPr>
              <a:solidFill>
                <a:srgbClr val="FF6600"/>
              </a:solidFill>
              <a:effectLst>
                <a:glow rad="228600">
                  <a:schemeClr val="accent3">
                    <a:satMod val="175000"/>
                    <a:alpha val="40000"/>
                  </a:schemeClr>
                </a:glow>
              </a:effectLst>
            </c:spPr>
          </c:marker>
          <c:dLbls>
            <c:dLbl>
              <c:idx val="6"/>
              <c:layout>
                <c:manualLayout>
                  <c:x val="-1.4692218149210063E-2"/>
                  <c:y val="-2.480564627086737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5969802336097894E-2"/>
                  <c:y val="-2.872232726100433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1.9802554896761391E-2"/>
                  <c:y val="-3.002788759104998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1.5331010242653979E-2"/>
                  <c:y val="-3.5250128911232588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400" b="1"/>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'III.1.4.Afil. SFS'!$A$4:$A$14</c:f>
              <c:strCache>
                <c:ptCount val="11"/>
                <c:pt idx="0">
                  <c:v>Dic. 2005</c:v>
                </c:pt>
                <c:pt idx="1">
                  <c:v>Dic. 2006</c:v>
                </c:pt>
                <c:pt idx="2">
                  <c:v>Dic. 2007</c:v>
                </c:pt>
                <c:pt idx="3">
                  <c:v>Dic. 2008</c:v>
                </c:pt>
                <c:pt idx="4">
                  <c:v>Dic. 2009</c:v>
                </c:pt>
                <c:pt idx="5">
                  <c:v>Dic. 2010</c:v>
                </c:pt>
                <c:pt idx="6">
                  <c:v>Dic. 2011</c:v>
                </c:pt>
                <c:pt idx="7">
                  <c:v>Dic. 2012</c:v>
                </c:pt>
                <c:pt idx="8">
                  <c:v>Dic. 2013</c:v>
                </c:pt>
                <c:pt idx="9">
                  <c:v>Dic. 2014</c:v>
                </c:pt>
                <c:pt idx="10">
                  <c:v>Nov. 2015</c:v>
                </c:pt>
              </c:strCache>
            </c:strRef>
          </c:cat>
          <c:val>
            <c:numRef>
              <c:f>'III.1.4.Afil. SFS'!$H$4:$H$14</c:f>
              <c:numCache>
                <c:formatCode>_(* #,##0.00_);_(* \(#,##0.00\);_(* "-"??_);_(@_)</c:formatCode>
                <c:ptCount val="11"/>
                <c:pt idx="0">
                  <c:v>0</c:v>
                </c:pt>
                <c:pt idx="1">
                  <c:v>0</c:v>
                </c:pt>
                <c:pt idx="2">
                  <c:v>0</c:v>
                </c:pt>
                <c:pt idx="3">
                  <c:v>0</c:v>
                </c:pt>
                <c:pt idx="4" formatCode="0.0%">
                  <c:v>6.2546485907265491E-3</c:v>
                </c:pt>
                <c:pt idx="5" formatCode="0.0%">
                  <c:v>6.1532712792402404E-3</c:v>
                </c:pt>
                <c:pt idx="6" formatCode="0.0%">
                  <c:v>6.5323598594991053E-3</c:v>
                </c:pt>
                <c:pt idx="7" formatCode="0.0%">
                  <c:v>6.1131336903293499E-3</c:v>
                </c:pt>
                <c:pt idx="8" formatCode="0.0%">
                  <c:v>4.8370688352512761E-3</c:v>
                </c:pt>
                <c:pt idx="9" formatCode="0.0%">
                  <c:v>4.9081916053277394E-3</c:v>
                </c:pt>
                <c:pt idx="10" formatCode="0.0%">
                  <c:v>4.6956841118287358E-3</c:v>
                </c:pt>
              </c:numCache>
            </c:numRef>
          </c:val>
          <c:smooth val="0"/>
        </c:ser>
        <c:dLbls>
          <c:showLegendKey val="0"/>
          <c:showVal val="0"/>
          <c:showCatName val="0"/>
          <c:showSerName val="0"/>
          <c:showPercent val="0"/>
          <c:showBubbleSize val="0"/>
        </c:dLbls>
        <c:marker val="1"/>
        <c:smooth val="0"/>
        <c:axId val="380011600"/>
        <c:axId val="380008856"/>
      </c:lineChart>
      <c:catAx>
        <c:axId val="380002584"/>
        <c:scaling>
          <c:orientation val="minMax"/>
        </c:scaling>
        <c:delete val="0"/>
        <c:axPos val="b"/>
        <c:numFmt formatCode="General" sourceLinked="0"/>
        <c:majorTickMark val="none"/>
        <c:minorTickMark val="none"/>
        <c:tickLblPos val="nextTo"/>
        <c:txPr>
          <a:bodyPr/>
          <a:lstStyle/>
          <a:p>
            <a:pPr>
              <a:defRPr sz="1800"/>
            </a:pPr>
            <a:endParaRPr lang="es-ES"/>
          </a:p>
        </c:txPr>
        <c:crossAx val="380010424"/>
        <c:crosses val="autoZero"/>
        <c:auto val="1"/>
        <c:lblAlgn val="ctr"/>
        <c:lblOffset val="100"/>
        <c:noMultiLvlLbl val="0"/>
      </c:catAx>
      <c:valAx>
        <c:axId val="380010424"/>
        <c:scaling>
          <c:orientation val="minMax"/>
        </c:scaling>
        <c:delete val="0"/>
        <c:axPos val="l"/>
        <c:numFmt formatCode="_(* #,##0_);_(* \(#,##0\);_(* &quot;-&quot;_);_(@_)" sourceLinked="1"/>
        <c:majorTickMark val="none"/>
        <c:minorTickMark val="none"/>
        <c:tickLblPos val="nextTo"/>
        <c:txPr>
          <a:bodyPr/>
          <a:lstStyle/>
          <a:p>
            <a:pPr>
              <a:defRPr sz="1200"/>
            </a:pPr>
            <a:endParaRPr lang="es-ES"/>
          </a:p>
        </c:txPr>
        <c:crossAx val="380002584"/>
        <c:crosses val="autoZero"/>
        <c:crossBetween val="between"/>
        <c:dispUnits>
          <c:builtInUnit val="thousands"/>
          <c:dispUnitsLbl>
            <c:layout/>
          </c:dispUnitsLbl>
        </c:dispUnits>
      </c:valAx>
      <c:valAx>
        <c:axId val="380008856"/>
        <c:scaling>
          <c:orientation val="minMax"/>
          <c:max val="2"/>
        </c:scaling>
        <c:delete val="0"/>
        <c:axPos val="r"/>
        <c:numFmt formatCode="_(* #,##0.00_);_(* \(#,##0.00\);_(* &quot;-&quot;??_);_(@_)" sourceLinked="1"/>
        <c:majorTickMark val="out"/>
        <c:minorTickMark val="none"/>
        <c:tickLblPos val="nextTo"/>
        <c:crossAx val="380011600"/>
        <c:crosses val="max"/>
        <c:crossBetween val="between"/>
      </c:valAx>
      <c:catAx>
        <c:axId val="380011600"/>
        <c:scaling>
          <c:orientation val="minMax"/>
        </c:scaling>
        <c:delete val="1"/>
        <c:axPos val="b"/>
        <c:numFmt formatCode="General" sourceLinked="1"/>
        <c:majorTickMark val="out"/>
        <c:minorTickMark val="none"/>
        <c:tickLblPos val="nextTo"/>
        <c:crossAx val="380008856"/>
        <c:crosses val="autoZero"/>
        <c:auto val="1"/>
        <c:lblAlgn val="ctr"/>
        <c:lblOffset val="100"/>
        <c:noMultiLvlLbl val="0"/>
      </c:catAx>
    </c:plotArea>
    <c:legend>
      <c:legendPos val="t"/>
      <c:layout>
        <c:manualLayout>
          <c:xMode val="edge"/>
          <c:yMode val="edge"/>
          <c:x val="0.18105442986951242"/>
          <c:y val="7.5240342332526716E-2"/>
          <c:w val="0.65110020774233512"/>
          <c:h val="3.7622568652801211E-2"/>
        </c:manualLayout>
      </c:layout>
      <c:overlay val="0"/>
      <c:txPr>
        <a:bodyPr/>
        <a:lstStyle/>
        <a:p>
          <a:pPr>
            <a:defRPr sz="18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000"/>
            </a:pPr>
            <a:r>
              <a:rPr lang="es-ES" sz="2000"/>
              <a:t>Patrimonio de los Fondos de Pensiones por Año</a:t>
            </a:r>
          </a:p>
          <a:p>
            <a:pPr>
              <a:defRPr sz="2000"/>
            </a:pPr>
            <a:r>
              <a:rPr lang="es-ES" sz="1600"/>
              <a:t>(Millones </a:t>
            </a:r>
            <a:r>
              <a:rPr lang="es-ES" sz="1600" baseline="0"/>
              <a:t>RD$)</a:t>
            </a:r>
            <a:endParaRPr lang="es-ES" sz="1600"/>
          </a:p>
        </c:rich>
      </c:tx>
      <c:layout>
        <c:manualLayout>
          <c:xMode val="edge"/>
          <c:yMode val="edge"/>
          <c:x val="0.32473050560290939"/>
          <c:y val="2.2388392697928385E-2"/>
        </c:manualLayout>
      </c:layout>
      <c:overlay val="0"/>
    </c:title>
    <c:autoTitleDeleted val="0"/>
    <c:plotArea>
      <c:layout>
        <c:manualLayout>
          <c:layoutTarget val="inner"/>
          <c:xMode val="edge"/>
          <c:yMode val="edge"/>
          <c:x val="9.6232866244933962E-2"/>
          <c:y val="0.16851670853310777"/>
          <c:w val="0.81911755603302161"/>
          <c:h val="0.69129532407779648"/>
        </c:manualLayout>
      </c:layout>
      <c:lineChart>
        <c:grouping val="standard"/>
        <c:varyColors val="0"/>
        <c:ser>
          <c:idx val="0"/>
          <c:order val="0"/>
          <c:tx>
            <c:strRef>
              <c:f>'IV.3.5.Patrim. fp anual'!$B$3</c:f>
              <c:strCache>
                <c:ptCount val="1"/>
                <c:pt idx="0">
                  <c:v>Patrimonio Fondos de Pensiones  (RD$ Millones)</c:v>
                </c:pt>
              </c:strCache>
            </c:strRef>
          </c:tx>
          <c:spPr>
            <a:ln w="31750" cmpd="sng">
              <a:solidFill>
                <a:schemeClr val="accent1"/>
              </a:solidFill>
            </a:ln>
          </c:spPr>
          <c:marker>
            <c:spPr>
              <a:gradFill>
                <a:gsLst>
                  <a:gs pos="0">
                    <a:srgbClr val="000000"/>
                  </a:gs>
                  <a:gs pos="39999">
                    <a:srgbClr val="0A128C"/>
                  </a:gs>
                  <a:gs pos="70000">
                    <a:srgbClr val="181CC7"/>
                  </a:gs>
                  <a:gs pos="88000">
                    <a:srgbClr val="7005D4"/>
                  </a:gs>
                  <a:gs pos="100000">
                    <a:srgbClr val="8C3D91"/>
                  </a:gs>
                </a:gsLst>
                <a:lin ang="5400000" scaled="0"/>
              </a:gradFill>
              <a:ln w="38100"/>
            </c:spPr>
          </c:marker>
          <c:dLbls>
            <c:dLbl>
              <c:idx val="0"/>
              <c:layout>
                <c:manualLayout>
                  <c:x val="-6.4687824792092783E-3"/>
                  <c:y val="1.4870587831214629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9.7031737188139101E-3"/>
                  <c:y val="3.4698038272833916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9406347437627827E-2"/>
                  <c:y val="3.7176469578036248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2.3718869090433987E-2"/>
                  <c:y val="3.4698038272833825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3.0187651569643276E-2"/>
                  <c:y val="3.9654900883238781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2.5875129916837096E-2"/>
                  <c:y val="4.2133332188441418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2.0484477850829491E-2"/>
                  <c:y val="4.2133332188441418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2.2640738677232482E-2"/>
                  <c:y val="4.4611763493643791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2.5189398687679838E-2"/>
                  <c:y val="4.0199338796248596E-2"/>
                </c:manualLayout>
              </c:layout>
              <c:spPr/>
              <c:txPr>
                <a:bodyPr/>
                <a:lstStyle/>
                <a:p>
                  <a:pPr>
                    <a:defRPr sz="1400" b="0"/>
                  </a:pPr>
                  <a:endParaRPr lang="es-ES"/>
                </a:p>
              </c:txPr>
              <c:dLblPos val="r"/>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2.4918887203032199E-2"/>
                  <c:y val="4.0330005195544867E-2"/>
                </c:manualLayout>
              </c:layout>
              <c:spPr/>
              <c:txPr>
                <a:bodyPr/>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4.348187029167308E-2"/>
                  <c:y val="3.8662331268341801E-2"/>
                </c:manualLayout>
              </c:layout>
              <c:spPr/>
              <c:txPr>
                <a:bodyPr/>
                <a:lstStyle/>
                <a:p>
                  <a:pPr>
                    <a:defRPr sz="1400" b="1"/>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'IV.3.5.Patrim. fp anual'!$A$4:$A$16</c:f>
              <c:strCache>
                <c:ptCount val="11"/>
                <c:pt idx="0">
                  <c:v>2005</c:v>
                </c:pt>
                <c:pt idx="1">
                  <c:v>2006</c:v>
                </c:pt>
                <c:pt idx="2">
                  <c:v>2007</c:v>
                </c:pt>
                <c:pt idx="3">
                  <c:v>2008</c:v>
                </c:pt>
                <c:pt idx="4">
                  <c:v>2009</c:v>
                </c:pt>
                <c:pt idx="5">
                  <c:v>2010</c:v>
                </c:pt>
                <c:pt idx="6">
                  <c:v>2011</c:v>
                </c:pt>
                <c:pt idx="7">
                  <c:v>2012</c:v>
                </c:pt>
                <c:pt idx="8">
                  <c:v>2013</c:v>
                </c:pt>
                <c:pt idx="9">
                  <c:v>2014</c:v>
                </c:pt>
                <c:pt idx="10">
                  <c:v>Ene-Nov. 2015*</c:v>
                </c:pt>
              </c:strCache>
            </c:strRef>
          </c:cat>
          <c:val>
            <c:numRef>
              <c:f>'IV.3.5.Patrim. fp anual'!$B$4:$B$16</c:f>
              <c:numCache>
                <c:formatCode>_(* #,##0.00_);_(* \(#,##0.00\);_(* "-"??_);_(@_)</c:formatCode>
                <c:ptCount val="11"/>
                <c:pt idx="0">
                  <c:v>23031.69</c:v>
                </c:pt>
                <c:pt idx="1">
                  <c:v>33521.17</c:v>
                </c:pt>
                <c:pt idx="2">
                  <c:v>48918.54</c:v>
                </c:pt>
                <c:pt idx="3">
                  <c:v>68371.91</c:v>
                </c:pt>
                <c:pt idx="4">
                  <c:v>94318.74</c:v>
                </c:pt>
                <c:pt idx="5">
                  <c:v>120339.19</c:v>
                </c:pt>
                <c:pt idx="6">
                  <c:v>154672.16</c:v>
                </c:pt>
                <c:pt idx="7">
                  <c:v>198249.65</c:v>
                </c:pt>
                <c:pt idx="8">
                  <c:v>248516.38566900001</c:v>
                </c:pt>
                <c:pt idx="9">
                  <c:v>305297.32352799998</c:v>
                </c:pt>
                <c:pt idx="10">
                  <c:v>362499.41309699998</c:v>
                </c:pt>
              </c:numCache>
            </c:numRef>
          </c:val>
          <c:smooth val="0"/>
        </c:ser>
        <c:dLbls>
          <c:showLegendKey val="0"/>
          <c:showVal val="0"/>
          <c:showCatName val="0"/>
          <c:showSerName val="0"/>
          <c:showPercent val="0"/>
          <c:showBubbleSize val="0"/>
        </c:dLbls>
        <c:marker val="1"/>
        <c:smooth val="0"/>
        <c:axId val="366736720"/>
        <c:axId val="366737112"/>
      </c:lineChart>
      <c:lineChart>
        <c:grouping val="standard"/>
        <c:varyColors val="0"/>
        <c:ser>
          <c:idx val="1"/>
          <c:order val="1"/>
          <c:tx>
            <c:strRef>
              <c:f>'IV.3.5.Patrim. fp anual'!$E$3</c:f>
              <c:strCache>
                <c:ptCount val="1"/>
                <c:pt idx="0">
                  <c:v>% Patrimonio/ PIB</c:v>
                </c:pt>
              </c:strCache>
            </c:strRef>
          </c:tx>
          <c:spPr>
            <a:ln w="31750">
              <a:solidFill>
                <a:srgbClr val="00B050"/>
              </a:solidFill>
            </a:ln>
          </c:spPr>
          <c:marker>
            <c:symbol val="circle"/>
            <c:size val="9"/>
            <c:spPr>
              <a:gradFill>
                <a:gsLst>
                  <a:gs pos="0">
                    <a:srgbClr val="FFF200"/>
                  </a:gs>
                  <a:gs pos="45000">
                    <a:srgbClr val="FF7A00"/>
                  </a:gs>
                  <a:gs pos="70000">
                    <a:srgbClr val="FF0300"/>
                  </a:gs>
                  <a:gs pos="100000">
                    <a:srgbClr val="4D0808"/>
                  </a:gs>
                </a:gsLst>
                <a:lin ang="5400000" scaled="0"/>
              </a:gradFill>
              <a:ln w="38100">
                <a:solidFill>
                  <a:srgbClr val="FFC000"/>
                </a:solidFill>
              </a:ln>
            </c:spPr>
          </c:marker>
          <c:dLbls>
            <c:dLbl>
              <c:idx val="0"/>
              <c:layout>
                <c:manualLayout>
                  <c:x val="-4.1294517129582195E-2"/>
                  <c:y val="-3.9986854556478865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3.3528900433398616E-2"/>
                  <c:y val="-3.7674462459180248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3.3327921844399866E-2"/>
                  <c:y val="-3.9502706905388471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3.6232781703961416E-2"/>
                  <c:y val="-4.283921573566167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3.7995885898413337E-2"/>
                  <c:y val="-3.6041586471422013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3.2698928730690746E-2"/>
                  <c:y val="-3.8505316955082323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3.8864244922619133E-2"/>
                  <c:y val="-3.5569984577656977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3.9262256508685596E-2"/>
                  <c:y val="-4.0916021224405116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3.832813761895857E-2"/>
                  <c:y val="-4.3225644272646913E-2"/>
                </c:manualLayout>
              </c:layout>
              <c:spPr/>
              <c:txPr>
                <a:bodyPr/>
                <a:lstStyle/>
                <a:p>
                  <a:pPr>
                    <a:defRPr sz="1400" b="0"/>
                  </a:pPr>
                  <a:endParaRPr lang="es-ES"/>
                </a:p>
              </c:txPr>
              <c:dLblPos val="r"/>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4.0184326383773825E-2"/>
                  <c:y val="-4.276590926117687E-2"/>
                </c:manualLayout>
              </c:layout>
              <c:spPr/>
              <c:txPr>
                <a:bodyPr/>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3.4865244688857835E-2"/>
                  <c:y val="-4.0825064557545712E-2"/>
                </c:manualLayout>
              </c:layout>
              <c:spPr/>
              <c:txPr>
                <a:bodyPr/>
                <a:lstStyle/>
                <a:p>
                  <a:pPr>
                    <a:defRPr sz="1400" b="1"/>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'IV.3.5.Patrim. fp anual'!$A$4:$A$16</c:f>
              <c:strCache>
                <c:ptCount val="11"/>
                <c:pt idx="0">
                  <c:v>2005</c:v>
                </c:pt>
                <c:pt idx="1">
                  <c:v>2006</c:v>
                </c:pt>
                <c:pt idx="2">
                  <c:v>2007</c:v>
                </c:pt>
                <c:pt idx="3">
                  <c:v>2008</c:v>
                </c:pt>
                <c:pt idx="4">
                  <c:v>2009</c:v>
                </c:pt>
                <c:pt idx="5">
                  <c:v>2010</c:v>
                </c:pt>
                <c:pt idx="6">
                  <c:v>2011</c:v>
                </c:pt>
                <c:pt idx="7">
                  <c:v>2012</c:v>
                </c:pt>
                <c:pt idx="8">
                  <c:v>2013</c:v>
                </c:pt>
                <c:pt idx="9">
                  <c:v>2014</c:v>
                </c:pt>
                <c:pt idx="10">
                  <c:v>Ene-Nov. 2015*</c:v>
                </c:pt>
              </c:strCache>
            </c:strRef>
          </c:cat>
          <c:val>
            <c:numRef>
              <c:f>'IV.3.5.Patrim. fp anual'!$E$4:$E$16</c:f>
              <c:numCache>
                <c:formatCode>0.00%</c:formatCode>
                <c:ptCount val="11"/>
                <c:pt idx="0">
                  <c:v>2.2580043960698116E-2</c:v>
                </c:pt>
                <c:pt idx="1">
                  <c:v>2.817374051932511E-2</c:v>
                </c:pt>
                <c:pt idx="2">
                  <c:v>3.5858503633933857E-2</c:v>
                </c:pt>
                <c:pt idx="3">
                  <c:v>4.3378710625577514E-2</c:v>
                </c:pt>
                <c:pt idx="4">
                  <c:v>5.6183488957878856E-2</c:v>
                </c:pt>
                <c:pt idx="5">
                  <c:v>6.3273252432689955E-2</c:v>
                </c:pt>
                <c:pt idx="6">
                  <c:v>7.2982602100370983E-2</c:v>
                </c:pt>
                <c:pt idx="7">
                  <c:v>8.5571065611347308E-2</c:v>
                </c:pt>
                <c:pt idx="8">
                  <c:v>9.8070140691973604E-2</c:v>
                </c:pt>
                <c:pt idx="9">
                  <c:v>0.10957363748990527</c:v>
                </c:pt>
                <c:pt idx="10">
                  <c:v>0.13010392255060663</c:v>
                </c:pt>
              </c:numCache>
            </c:numRef>
          </c:val>
          <c:smooth val="0"/>
        </c:ser>
        <c:dLbls>
          <c:showLegendKey val="0"/>
          <c:showVal val="0"/>
          <c:showCatName val="0"/>
          <c:showSerName val="0"/>
          <c:showPercent val="0"/>
          <c:showBubbleSize val="0"/>
        </c:dLbls>
        <c:marker val="1"/>
        <c:smooth val="0"/>
        <c:axId val="366737504"/>
        <c:axId val="366737896"/>
      </c:lineChart>
      <c:catAx>
        <c:axId val="366736720"/>
        <c:scaling>
          <c:orientation val="minMax"/>
        </c:scaling>
        <c:delete val="0"/>
        <c:axPos val="b"/>
        <c:numFmt formatCode="General" sourceLinked="1"/>
        <c:majorTickMark val="none"/>
        <c:minorTickMark val="none"/>
        <c:tickLblPos val="nextTo"/>
        <c:txPr>
          <a:bodyPr/>
          <a:lstStyle/>
          <a:p>
            <a:pPr>
              <a:defRPr sz="1200"/>
            </a:pPr>
            <a:endParaRPr lang="es-ES"/>
          </a:p>
        </c:txPr>
        <c:crossAx val="366737112"/>
        <c:crosses val="autoZero"/>
        <c:auto val="1"/>
        <c:lblAlgn val="ctr"/>
        <c:lblOffset val="100"/>
        <c:noMultiLvlLbl val="0"/>
      </c:catAx>
      <c:valAx>
        <c:axId val="366737112"/>
        <c:scaling>
          <c:orientation val="minMax"/>
        </c:scaling>
        <c:delete val="0"/>
        <c:axPos val="l"/>
        <c:numFmt formatCode="_(* #,##0.00_);_(* \(#,##0.00\);_(* &quot;-&quot;??_);_(@_)" sourceLinked="1"/>
        <c:majorTickMark val="none"/>
        <c:minorTickMark val="none"/>
        <c:tickLblPos val="nextTo"/>
        <c:crossAx val="366736720"/>
        <c:crosses val="autoZero"/>
        <c:crossBetween val="between"/>
      </c:valAx>
      <c:catAx>
        <c:axId val="366737504"/>
        <c:scaling>
          <c:orientation val="minMax"/>
        </c:scaling>
        <c:delete val="1"/>
        <c:axPos val="b"/>
        <c:numFmt formatCode="General" sourceLinked="1"/>
        <c:majorTickMark val="out"/>
        <c:minorTickMark val="none"/>
        <c:tickLblPos val="nextTo"/>
        <c:crossAx val="366737896"/>
        <c:crosses val="autoZero"/>
        <c:auto val="1"/>
        <c:lblAlgn val="ctr"/>
        <c:lblOffset val="100"/>
        <c:noMultiLvlLbl val="0"/>
      </c:catAx>
      <c:valAx>
        <c:axId val="366737896"/>
        <c:scaling>
          <c:orientation val="minMax"/>
        </c:scaling>
        <c:delete val="0"/>
        <c:axPos val="r"/>
        <c:numFmt formatCode="0.00%" sourceLinked="1"/>
        <c:majorTickMark val="out"/>
        <c:minorTickMark val="none"/>
        <c:tickLblPos val="nextTo"/>
        <c:crossAx val="366737504"/>
        <c:crosses val="max"/>
        <c:crossBetween val="between"/>
      </c:valAx>
    </c:plotArea>
    <c:legend>
      <c:legendPos val="b"/>
      <c:layout>
        <c:manualLayout>
          <c:xMode val="edge"/>
          <c:yMode val="edge"/>
          <c:x val="0.31075381637906557"/>
          <c:y val="9.9131483096716641E-2"/>
          <c:w val="0.38759137942148497"/>
          <c:h val="5.2609036038083694E-2"/>
        </c:manualLayout>
      </c:layout>
      <c:overlay val="0"/>
      <c:txPr>
        <a:bodyPr/>
        <a:lstStyle/>
        <a:p>
          <a:pPr rtl="0">
            <a:defRPr sz="1200"/>
          </a:pPr>
          <a:endParaRPr lang="es-E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landscape"/>
  </c:printSettings>
  <c:userShapes r:id="rId1"/>
</c:chartSpace>
</file>

<file path=xl/charts/chart6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baseline="0">
                <a:solidFill>
                  <a:schemeClr val="tx1">
                    <a:lumMod val="65000"/>
                    <a:lumOff val="35000"/>
                  </a:schemeClr>
                </a:solidFill>
                <a:latin typeface="+mn-lt"/>
                <a:ea typeface="+mn-ea"/>
                <a:cs typeface="+mn-cs"/>
              </a:defRPr>
            </a:pPr>
            <a:r>
              <a:rPr lang="es-DO"/>
              <a:t>Composición de la Cartera Total de Inversión de los Fondos de Pensiones por Tipo de Emisor</a:t>
            </a:r>
            <a:endParaRPr lang="es-ES"/>
          </a:p>
        </c:rich>
      </c:tx>
      <c:layout>
        <c:manualLayout>
          <c:xMode val="edge"/>
          <c:yMode val="edge"/>
          <c:x val="0.14714273664795566"/>
          <c:y val="2.6037176828901477E-2"/>
        </c:manualLayout>
      </c:layout>
      <c:overlay val="0"/>
      <c:spPr>
        <a:noFill/>
        <a:ln>
          <a:noFill/>
        </a:ln>
        <a:effectLst/>
      </c:spPr>
      <c:txPr>
        <a:bodyPr rot="0" spcFirstLastPara="1" vertOverflow="ellipsis" vert="horz" wrap="square" anchor="ctr" anchorCtr="1"/>
        <a:lstStyle/>
        <a:p>
          <a:pPr>
            <a:defRPr sz="1600" b="1" i="0" u="none" strike="noStrike" kern="1200" cap="all" baseline="0">
              <a:solidFill>
                <a:schemeClr val="tx1">
                  <a:lumMod val="65000"/>
                  <a:lumOff val="35000"/>
                </a:schemeClr>
              </a:solidFill>
              <a:latin typeface="+mn-lt"/>
              <a:ea typeface="+mn-ea"/>
              <a:cs typeface="+mn-cs"/>
            </a:defRPr>
          </a:pPr>
          <a:endParaRPr lang="es-ES"/>
        </a:p>
      </c:txPr>
    </c:title>
    <c:autoTitleDeleted val="0"/>
    <c:view3D>
      <c:rotX val="60"/>
      <c:rotY val="0"/>
      <c:depthPercent val="10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8945562309137845"/>
          <c:y val="0.2752988224108095"/>
          <c:w val="0.57116093341496887"/>
          <c:h val="0.52723826858766187"/>
        </c:manualLayout>
      </c:layout>
      <c:pie3DChart>
        <c:varyColors val="1"/>
        <c:ser>
          <c:idx val="0"/>
          <c:order val="0"/>
          <c:tx>
            <c:strRef>
              <c:f>'IV.3.6.Cartera de inv fp'!$B$3</c:f>
              <c:strCache>
                <c:ptCount val="1"/>
                <c:pt idx="0">
                  <c:v>Inversión </c:v>
                </c:pt>
              </c:strCache>
            </c:strRef>
          </c:tx>
          <c:explosion val="10"/>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4"/>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5"/>
            <c:bubble3D val="0"/>
            <c:spPr>
              <a:solidFill>
                <a:schemeClr val="accent6"/>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6"/>
            <c:bubble3D val="0"/>
            <c:spPr>
              <a:solidFill>
                <a:schemeClr val="accent1">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7"/>
            <c:bubble3D val="0"/>
            <c:spPr>
              <a:solidFill>
                <a:schemeClr val="accent2">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Lbls>
            <c:dLbl>
              <c:idx val="0"/>
              <c:layout>
                <c:manualLayout>
                  <c:x val="2.4928774369545409E-2"/>
                  <c:y val="3.3155715294743912E-3"/>
                </c:manualLayout>
              </c:layout>
              <c:numFmt formatCode="0.0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ext>
              </c:extLst>
            </c:dLbl>
            <c:dLbl>
              <c:idx val="1"/>
              <c:layout>
                <c:manualLayout>
                  <c:x val="-2.9914529243454491E-3"/>
                  <c:y val="4.9733572942116902E-2"/>
                </c:manualLayout>
              </c:layout>
              <c:tx>
                <c:rich>
                  <a:bodyPr rot="0" spcFirstLastPara="1" vertOverflow="ellipsis" vert="horz" wrap="square" lIns="38100" tIns="19050" rIns="38100" bIns="19050" anchor="ctr" anchorCtr="1">
                    <a:spAutoFit/>
                  </a:bodyPr>
                  <a:lstStyle/>
                  <a:p>
                    <a:pPr>
                      <a:defRPr sz="1400" b="1" i="0" u="none" strike="noStrike" kern="1200" spc="0" baseline="0">
                        <a:solidFill>
                          <a:sysClr val="windowText" lastClr="000000"/>
                        </a:solidFill>
                        <a:latin typeface="+mn-lt"/>
                        <a:ea typeface="+mn-ea"/>
                        <a:cs typeface="+mn-cs"/>
                      </a:defRPr>
                    </a:pPr>
                    <a:fld id="{E2B11A5E-4418-4A84-A41F-F988E1A3CDE3}" type="CATEGORYNAME">
                      <a:rPr lang="en-US" sz="1400">
                        <a:solidFill>
                          <a:sysClr val="windowText" lastClr="000000"/>
                        </a:solidFill>
                      </a:rPr>
                      <a:pPr>
                        <a:defRPr sz="1400">
                          <a:solidFill>
                            <a:sysClr val="windowText" lastClr="000000"/>
                          </a:solidFill>
                        </a:defRPr>
                      </a:pPr>
                      <a:t>[NOMBRE DE CATEGORÍA]</a:t>
                    </a:fld>
                    <a:r>
                      <a:rPr lang="en-US" sz="1400">
                        <a:solidFill>
                          <a:sysClr val="windowText" lastClr="000000"/>
                        </a:solidFill>
                      </a:rPr>
                      <a:t> </a:t>
                    </a:r>
                    <a:fld id="{2935BDA7-A14A-48F3-9B18-83837AF4B5C3}" type="VALUE">
                      <a:rPr lang="en-US" sz="1400">
                        <a:solidFill>
                          <a:sysClr val="windowText" lastClr="000000"/>
                        </a:solidFill>
                      </a:rPr>
                      <a:pPr>
                        <a:defRPr sz="1400">
                          <a:solidFill>
                            <a:sysClr val="windowText" lastClr="000000"/>
                          </a:solidFill>
                        </a:defRPr>
                      </a:pPr>
                      <a:t>[VALOR]</a:t>
                    </a:fld>
                    <a:r>
                      <a:rPr lang="en-US" sz="1400">
                        <a:solidFill>
                          <a:sysClr val="windowText" lastClr="000000"/>
                        </a:solidFill>
                      </a:rPr>
                      <a:t> </a:t>
                    </a:r>
                  </a:p>
                  <a:p>
                    <a:pPr>
                      <a:defRPr sz="1400">
                        <a:solidFill>
                          <a:sysClr val="windowText" lastClr="000000"/>
                        </a:solidFill>
                      </a:defRPr>
                    </a:pPr>
                    <a:fld id="{A107B953-DC03-4019-9FC7-1DF32EC9630D}" type="PERCENTAGE">
                      <a:rPr lang="en-US" sz="1400">
                        <a:solidFill>
                          <a:sysClr val="windowText" lastClr="000000"/>
                        </a:solidFill>
                      </a:rPr>
                      <a:pPr>
                        <a:defRPr sz="1400">
                          <a:solidFill>
                            <a:sysClr val="windowText" lastClr="000000"/>
                          </a:solidFill>
                        </a:defRPr>
                      </a:pPr>
                      <a:t>[PORCENTAJE]</a:t>
                    </a:fld>
                    <a:endParaRPr lang="es-E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2"/>
              <c:layout/>
              <c:numFmt formatCode="0.0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ysClr val="windowText" lastClr="000000"/>
                      </a:solidFill>
                      <a:latin typeface="+mn-lt"/>
                      <a:ea typeface="+mn-ea"/>
                      <a:cs typeface="+mn-cs"/>
                    </a:defRPr>
                  </a:pPr>
                  <a:endParaRPr lang="es-ES"/>
                </a:p>
              </c:txPr>
              <c:dLblPos val="outEnd"/>
              <c:showLegendKey val="1"/>
              <c:showVal val="1"/>
              <c:showCatName val="1"/>
              <c:showSerName val="0"/>
              <c:showPercent val="1"/>
              <c:showBubbleSize val="0"/>
              <c:extLst>
                <c:ext xmlns:c15="http://schemas.microsoft.com/office/drawing/2012/chart" uri="{CE6537A1-D6FC-4f65-9D91-7224C49458BB}">
                  <c15:layout/>
                </c:ext>
              </c:extLst>
            </c:dLbl>
            <c:dLbl>
              <c:idx val="3"/>
              <c:layout>
                <c:manualLayout>
                  <c:x val="-2.0940170470418143E-2"/>
                  <c:y val="0.10775607470791974"/>
                </c:manualLayout>
              </c:layout>
              <c:tx>
                <c:rich>
                  <a:bodyPr rot="0" spcFirstLastPara="1" vertOverflow="ellipsis" vert="horz" wrap="square" lIns="38100" tIns="19050" rIns="38100" bIns="19050" anchor="ctr" anchorCtr="1">
                    <a:spAutoFit/>
                  </a:bodyPr>
                  <a:lstStyle/>
                  <a:p>
                    <a:pPr>
                      <a:defRPr sz="1400" b="1" i="0" u="none" strike="noStrike" kern="1200" spc="0" baseline="0">
                        <a:solidFill>
                          <a:sysClr val="windowText" lastClr="000000"/>
                        </a:solidFill>
                        <a:latin typeface="+mn-lt"/>
                        <a:ea typeface="+mn-ea"/>
                        <a:cs typeface="+mn-cs"/>
                      </a:defRPr>
                    </a:pPr>
                    <a:fld id="{5E6A1D61-2EA5-46AA-86C7-22E09D88A8D5}" type="CATEGORYNAME">
                      <a:rPr lang="en-US" sz="1400">
                        <a:solidFill>
                          <a:sysClr val="windowText" lastClr="000000"/>
                        </a:solidFill>
                      </a:rPr>
                      <a:pPr>
                        <a:defRPr sz="1400">
                          <a:solidFill>
                            <a:sysClr val="windowText" lastClr="000000"/>
                          </a:solidFill>
                        </a:defRPr>
                      </a:pPr>
                      <a:t>[NOMBRE DE CATEGORÍA]</a:t>
                    </a:fld>
                    <a:r>
                      <a:rPr lang="en-US" sz="1400">
                        <a:solidFill>
                          <a:sysClr val="windowText" lastClr="000000"/>
                        </a:solidFill>
                      </a:rPr>
                      <a:t> </a:t>
                    </a:r>
                    <a:fld id="{6E19EFAC-3097-496F-A2DF-4DC2DF577998}" type="VALUE">
                      <a:rPr lang="en-US" sz="1400">
                        <a:solidFill>
                          <a:sysClr val="windowText" lastClr="000000"/>
                        </a:solidFill>
                      </a:rPr>
                      <a:pPr>
                        <a:defRPr sz="1400">
                          <a:solidFill>
                            <a:sysClr val="windowText" lastClr="000000"/>
                          </a:solidFill>
                        </a:defRPr>
                      </a:pPr>
                      <a:t>[VALOR]</a:t>
                    </a:fld>
                    <a:endParaRPr lang="en-US" sz="1400">
                      <a:solidFill>
                        <a:sysClr val="windowText" lastClr="000000"/>
                      </a:solidFill>
                    </a:endParaRPr>
                  </a:p>
                  <a:p>
                    <a:pPr>
                      <a:defRPr sz="1400">
                        <a:solidFill>
                          <a:sysClr val="windowText" lastClr="000000"/>
                        </a:solidFill>
                      </a:defRPr>
                    </a:pPr>
                    <a:r>
                      <a:rPr lang="en-US" sz="1400">
                        <a:solidFill>
                          <a:sysClr val="windowText" lastClr="000000"/>
                        </a:solidFill>
                      </a:rPr>
                      <a:t> </a:t>
                    </a:r>
                    <a:fld id="{CB3F7AF1-1D6C-4BA6-AEAD-40035D3B1DB4}" type="PERCENTAGE">
                      <a:rPr lang="en-US" sz="1400">
                        <a:solidFill>
                          <a:sysClr val="windowText" lastClr="000000"/>
                        </a:solidFill>
                      </a:rPr>
                      <a:pPr>
                        <a:defRPr sz="1400">
                          <a:solidFill>
                            <a:sysClr val="windowText" lastClr="000000"/>
                          </a:solidFill>
                        </a:defRPr>
                      </a:pPr>
                      <a:t>[PORCENTAJE]</a:t>
                    </a:fld>
                    <a:endParaRPr lang="en-US" sz="140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4"/>
              <c:layout>
                <c:manualLayout>
                  <c:x val="-4.6866095814745386E-2"/>
                  <c:y val="1.6577857647371652E-3"/>
                </c:manualLayout>
              </c:layout>
              <c:tx>
                <c:rich>
                  <a:bodyPr rot="0" spcFirstLastPara="1" vertOverflow="ellipsis" vert="horz" wrap="square" lIns="38100" tIns="19050" rIns="38100" bIns="19050" anchor="ctr" anchorCtr="1">
                    <a:spAutoFit/>
                  </a:bodyPr>
                  <a:lstStyle/>
                  <a:p>
                    <a:pPr>
                      <a:defRPr sz="1400" b="1" i="0" u="none" strike="noStrike" kern="1200" spc="0" baseline="0">
                        <a:solidFill>
                          <a:sysClr val="windowText" lastClr="000000"/>
                        </a:solidFill>
                        <a:latin typeface="+mn-lt"/>
                        <a:ea typeface="+mn-ea"/>
                        <a:cs typeface="+mn-cs"/>
                      </a:defRPr>
                    </a:pPr>
                    <a:fld id="{7B754A0E-EFF1-43AE-B194-DC2AFA0E67B3}" type="CATEGORYNAME">
                      <a:rPr lang="en-US" sz="1400">
                        <a:solidFill>
                          <a:sysClr val="windowText" lastClr="000000"/>
                        </a:solidFill>
                      </a:rPr>
                      <a:pPr>
                        <a:defRPr sz="1400">
                          <a:solidFill>
                            <a:sysClr val="windowText" lastClr="000000"/>
                          </a:solidFill>
                        </a:defRPr>
                      </a:pPr>
                      <a:t>[NOMBRE DE CATEGORÍA]</a:t>
                    </a:fld>
                    <a:r>
                      <a:rPr lang="en-US" sz="1400">
                        <a:solidFill>
                          <a:sysClr val="windowText" lastClr="000000"/>
                        </a:solidFill>
                      </a:rPr>
                      <a:t> </a:t>
                    </a:r>
                    <a:fld id="{1A8C6AD5-165E-4D98-A767-E3039DAEA382}" type="VALUE">
                      <a:rPr lang="en-US" sz="1400">
                        <a:solidFill>
                          <a:sysClr val="windowText" lastClr="000000"/>
                        </a:solidFill>
                      </a:rPr>
                      <a:pPr>
                        <a:defRPr sz="1400">
                          <a:solidFill>
                            <a:sysClr val="windowText" lastClr="000000"/>
                          </a:solidFill>
                        </a:defRPr>
                      </a:pPr>
                      <a:t>[VALOR]</a:t>
                    </a:fld>
                    <a:endParaRPr lang="en-US" sz="1400">
                      <a:solidFill>
                        <a:sysClr val="windowText" lastClr="000000"/>
                      </a:solidFill>
                    </a:endParaRPr>
                  </a:p>
                  <a:p>
                    <a:pPr>
                      <a:defRPr sz="1400">
                        <a:solidFill>
                          <a:sysClr val="windowText" lastClr="000000"/>
                        </a:solidFill>
                      </a:defRPr>
                    </a:pPr>
                    <a:r>
                      <a:rPr lang="en-US" sz="1400">
                        <a:solidFill>
                          <a:sysClr val="windowText" lastClr="000000"/>
                        </a:solidFill>
                      </a:rPr>
                      <a:t> </a:t>
                    </a:r>
                    <a:fld id="{52B35206-6507-46DF-AC9A-2E06D7074CA0}" type="PERCENTAGE">
                      <a:rPr lang="en-US" sz="1400">
                        <a:solidFill>
                          <a:sysClr val="windowText" lastClr="000000"/>
                        </a:solidFill>
                      </a:rPr>
                      <a:pPr>
                        <a:defRPr sz="1400">
                          <a:solidFill>
                            <a:sysClr val="windowText" lastClr="000000"/>
                          </a:solidFill>
                        </a:defRPr>
                      </a:pPr>
                      <a:t>[PORCENTAJE]</a:t>
                    </a:fld>
                    <a:endParaRPr lang="en-US" sz="140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5"/>
              <c:layout>
                <c:manualLayout>
                  <c:x val="-2.5925925344327243E-2"/>
                  <c:y val="-8.4547074001598582E-2"/>
                </c:manualLayout>
              </c:layout>
              <c:tx>
                <c:rich>
                  <a:bodyPr rot="0" spcFirstLastPara="1" vertOverflow="ellipsis" vert="horz" wrap="square" lIns="38100" tIns="19050" rIns="38100" bIns="19050" anchor="ctr" anchorCtr="1">
                    <a:spAutoFit/>
                  </a:bodyPr>
                  <a:lstStyle/>
                  <a:p>
                    <a:pPr>
                      <a:defRPr sz="1400" b="1" i="0" u="none" strike="noStrike" kern="1200" spc="0" baseline="0">
                        <a:solidFill>
                          <a:sysClr val="windowText" lastClr="000000"/>
                        </a:solidFill>
                        <a:latin typeface="+mn-lt"/>
                        <a:ea typeface="+mn-ea"/>
                        <a:cs typeface="+mn-cs"/>
                      </a:defRPr>
                    </a:pPr>
                    <a:fld id="{8002AC98-33CF-4AE9-8A5C-F9DCBAA3248E}" type="CATEGORYNAME">
                      <a:rPr lang="en-US" sz="1400">
                        <a:solidFill>
                          <a:sysClr val="windowText" lastClr="000000"/>
                        </a:solidFill>
                      </a:rPr>
                      <a:pPr>
                        <a:defRPr sz="1400">
                          <a:solidFill>
                            <a:sysClr val="windowText" lastClr="000000"/>
                          </a:solidFill>
                        </a:defRPr>
                      </a:pPr>
                      <a:t>[NOMBRE DE CATEGORÍA]</a:t>
                    </a:fld>
                    <a:r>
                      <a:rPr lang="en-US" sz="1400">
                        <a:solidFill>
                          <a:sysClr val="windowText" lastClr="000000"/>
                        </a:solidFill>
                      </a:rPr>
                      <a:t> </a:t>
                    </a:r>
                    <a:fld id="{F15A1B03-C4B5-4A8E-884E-63C90A2839F1}" type="VALUE">
                      <a:rPr lang="en-US" sz="1400">
                        <a:solidFill>
                          <a:sysClr val="windowText" lastClr="000000"/>
                        </a:solidFill>
                      </a:rPr>
                      <a:pPr>
                        <a:defRPr sz="1400">
                          <a:solidFill>
                            <a:sysClr val="windowText" lastClr="000000"/>
                          </a:solidFill>
                        </a:defRPr>
                      </a:pPr>
                      <a:t>[VALOR]</a:t>
                    </a:fld>
                    <a:endParaRPr lang="en-US" sz="1400">
                      <a:solidFill>
                        <a:sysClr val="windowText" lastClr="000000"/>
                      </a:solidFill>
                    </a:endParaRPr>
                  </a:p>
                  <a:p>
                    <a:pPr>
                      <a:defRPr sz="1400">
                        <a:solidFill>
                          <a:sysClr val="windowText" lastClr="000000"/>
                        </a:solidFill>
                      </a:defRPr>
                    </a:pPr>
                    <a:r>
                      <a:rPr lang="en-US" sz="1400">
                        <a:solidFill>
                          <a:sysClr val="windowText" lastClr="000000"/>
                        </a:solidFill>
                      </a:rPr>
                      <a:t> </a:t>
                    </a:r>
                    <a:fld id="{6392D63D-6366-4F04-AF20-DBDDA5F76D5A}" type="PERCENTAGE">
                      <a:rPr lang="en-US" sz="1400">
                        <a:solidFill>
                          <a:sysClr val="windowText" lastClr="000000"/>
                        </a:solidFill>
                      </a:rPr>
                      <a:pPr>
                        <a:defRPr sz="1400">
                          <a:solidFill>
                            <a:sysClr val="windowText" lastClr="000000"/>
                          </a:solidFill>
                        </a:defRPr>
                      </a:pPr>
                      <a:t>[PORCENTAJE]</a:t>
                    </a:fld>
                    <a:endParaRPr lang="en-US" sz="140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6"/>
              <c:layout>
                <c:manualLayout>
                  <c:x val="-4.9857548739090816E-3"/>
                  <c:y val="-3.6471286824218969E-2"/>
                </c:manualLayout>
              </c:layout>
              <c:numFmt formatCode="0.0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ext>
              </c:extLst>
            </c:dLbl>
            <c:dLbl>
              <c:idx val="7"/>
              <c:layout>
                <c:manualLayout>
                  <c:x val="2.5925925344327225E-2"/>
                  <c:y val="-3.6471286824218969E-2"/>
                </c:manualLayout>
              </c:layout>
              <c:tx>
                <c:rich>
                  <a:bodyPr rot="0" spcFirstLastPara="1" vertOverflow="ellipsis" vert="horz" wrap="square" lIns="38100" tIns="19050" rIns="38100" bIns="19050" anchor="ctr" anchorCtr="1">
                    <a:spAutoFit/>
                  </a:bodyPr>
                  <a:lstStyle/>
                  <a:p>
                    <a:pPr>
                      <a:defRPr sz="1400" b="1" i="0" u="none" strike="noStrike" kern="1200" spc="0" baseline="0">
                        <a:solidFill>
                          <a:sysClr val="windowText" lastClr="000000"/>
                        </a:solidFill>
                        <a:latin typeface="+mn-lt"/>
                        <a:ea typeface="+mn-ea"/>
                        <a:cs typeface="+mn-cs"/>
                      </a:defRPr>
                    </a:pPr>
                    <a:fld id="{0F125280-4673-4C86-8891-33DA9B931270}" type="CATEGORYNAME">
                      <a:rPr lang="en-US" sz="1400">
                        <a:solidFill>
                          <a:sysClr val="windowText" lastClr="000000"/>
                        </a:solidFill>
                      </a:rPr>
                      <a:pPr>
                        <a:defRPr sz="1400">
                          <a:solidFill>
                            <a:sysClr val="windowText" lastClr="000000"/>
                          </a:solidFill>
                        </a:defRPr>
                      </a:pPr>
                      <a:t>[NOMBRE DE CATEGORÍA]</a:t>
                    </a:fld>
                    <a:r>
                      <a:rPr lang="en-US" sz="1400">
                        <a:solidFill>
                          <a:sysClr val="windowText" lastClr="000000"/>
                        </a:solidFill>
                      </a:rPr>
                      <a:t> </a:t>
                    </a:r>
                    <a:fld id="{E559E465-A6B8-49BC-A348-F981B5C458D2}" type="VALUE">
                      <a:rPr lang="en-US" sz="1400">
                        <a:solidFill>
                          <a:sysClr val="windowText" lastClr="000000"/>
                        </a:solidFill>
                      </a:rPr>
                      <a:pPr>
                        <a:defRPr sz="1400">
                          <a:solidFill>
                            <a:sysClr val="windowText" lastClr="000000"/>
                          </a:solidFill>
                        </a:defRPr>
                      </a:pPr>
                      <a:t>[VALOR]</a:t>
                    </a:fld>
                    <a:r>
                      <a:rPr lang="en-US" sz="1400">
                        <a:solidFill>
                          <a:sysClr val="windowText" lastClr="000000"/>
                        </a:solidFill>
                      </a:rPr>
                      <a:t> </a:t>
                    </a:r>
                  </a:p>
                  <a:p>
                    <a:pPr>
                      <a:defRPr sz="1400">
                        <a:solidFill>
                          <a:sysClr val="windowText" lastClr="000000"/>
                        </a:solidFill>
                      </a:defRPr>
                    </a:pPr>
                    <a:fld id="{4C2B2944-2465-4231-87CF-54647B3339A8}" type="PERCENTAGE">
                      <a:rPr lang="en-US" sz="1400">
                        <a:solidFill>
                          <a:sysClr val="windowText" lastClr="000000"/>
                        </a:solidFill>
                      </a:rPr>
                      <a:pPr>
                        <a:defRPr sz="1400">
                          <a:solidFill>
                            <a:sysClr val="windowText" lastClr="000000"/>
                          </a:solidFill>
                        </a:defRPr>
                      </a:pPr>
                      <a:t>[PORCENTAJE]</a:t>
                    </a:fld>
                    <a:endParaRPr lang="es-E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ysClr val="windowText" lastClr="000000"/>
                    </a:solidFill>
                    <a:latin typeface="+mn-lt"/>
                    <a:ea typeface="+mn-ea"/>
                    <a:cs typeface="+mn-cs"/>
                  </a:defRPr>
                </a:pPr>
                <a:endParaRPr lang="es-ES"/>
              </a:p>
            </c:txPr>
            <c:dLblPos val="outEnd"/>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'IV.3.6.Cartera de inv fp'!$A$4:$A$11</c:f>
              <c:strCache>
                <c:ptCount val="8"/>
                <c:pt idx="0">
                  <c:v>Banco Central de la República Dominicana</c:v>
                </c:pt>
                <c:pt idx="1">
                  <c:v>Asociación de Ahorros y Préstamos</c:v>
                </c:pt>
                <c:pt idx="2">
                  <c:v>Bancos Múltiples</c:v>
                </c:pt>
                <c:pt idx="3">
                  <c:v>Bancos de Ahorro y Crédito</c:v>
                </c:pt>
                <c:pt idx="4">
                  <c:v>Banco Nacional de la Vivienda (BNV)</c:v>
                </c:pt>
                <c:pt idx="5">
                  <c:v>Empresas Privadas</c:v>
                </c:pt>
                <c:pt idx="6">
                  <c:v>Cartera Ministerio de Hacienda</c:v>
                </c:pt>
                <c:pt idx="7">
                  <c:v>Organismos Multilarerales</c:v>
                </c:pt>
              </c:strCache>
            </c:strRef>
          </c:cat>
          <c:val>
            <c:numRef>
              <c:f>'IV.3.6.Cartera de inv fp'!$B$4:$B$11</c:f>
              <c:numCache>
                <c:formatCode>"RD$"#,##0.00</c:formatCode>
                <c:ptCount val="8"/>
                <c:pt idx="0">
                  <c:v>152908089081.37</c:v>
                </c:pt>
                <c:pt idx="1">
                  <c:v>7670517446.6999998</c:v>
                </c:pt>
                <c:pt idx="2">
                  <c:v>85770435643.720001</c:v>
                </c:pt>
                <c:pt idx="3">
                  <c:v>1249624558.1199999</c:v>
                </c:pt>
                <c:pt idx="4">
                  <c:v>881135790.21000004</c:v>
                </c:pt>
                <c:pt idx="5">
                  <c:v>7933652064.9300003</c:v>
                </c:pt>
                <c:pt idx="6">
                  <c:v>66922877807.489998</c:v>
                </c:pt>
                <c:pt idx="7">
                  <c:v>352088693.19999999</c:v>
                </c:pt>
              </c:numCache>
            </c:numRef>
          </c:val>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baseline="0">
                <a:solidFill>
                  <a:schemeClr val="tx1">
                    <a:lumMod val="65000"/>
                    <a:lumOff val="35000"/>
                  </a:schemeClr>
                </a:solidFill>
                <a:latin typeface="+mn-lt"/>
                <a:ea typeface="+mn-ea"/>
                <a:cs typeface="+mn-cs"/>
              </a:defRPr>
            </a:pPr>
            <a:r>
              <a:rPr lang="es-DO"/>
              <a:t>Composición de la Cartera Total de Inversiones de los Fondos de Pensiones por Instrumentos</a:t>
            </a:r>
            <a:endParaRPr lang="es-ES"/>
          </a:p>
        </c:rich>
      </c:tx>
      <c:layout>
        <c:manualLayout>
          <c:xMode val="edge"/>
          <c:yMode val="edge"/>
          <c:x val="9.0169738671388208E-2"/>
          <c:y val="2.3615877786105761E-2"/>
        </c:manualLayout>
      </c:layout>
      <c:overlay val="0"/>
      <c:spPr>
        <a:noFill/>
        <a:ln>
          <a:noFill/>
        </a:ln>
        <a:effectLst/>
      </c:spPr>
      <c:txPr>
        <a:bodyPr rot="0" spcFirstLastPara="1" vertOverflow="ellipsis" vert="horz" wrap="square" anchor="ctr" anchorCtr="1"/>
        <a:lstStyle/>
        <a:p>
          <a:pPr>
            <a:defRPr sz="1600" b="1" i="0" u="none" strike="noStrike" kern="1200" cap="all" baseline="0">
              <a:solidFill>
                <a:schemeClr val="tx1">
                  <a:lumMod val="65000"/>
                  <a:lumOff val="35000"/>
                </a:schemeClr>
              </a:solidFill>
              <a:latin typeface="+mn-lt"/>
              <a:ea typeface="+mn-ea"/>
              <a:cs typeface="+mn-cs"/>
            </a:defRPr>
          </a:pPr>
          <a:endParaRPr lang="es-ES"/>
        </a:p>
      </c:txPr>
    </c:title>
    <c:autoTitleDeleted val="0"/>
    <c:view3D>
      <c:rotX val="4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23105865529469288"/>
          <c:y val="0.3535421757927158"/>
          <c:w val="0.4818322714802174"/>
          <c:h val="0.43691870971238167"/>
        </c:manualLayout>
      </c:layout>
      <c:pie3DChart>
        <c:varyColors val="1"/>
        <c:ser>
          <c:idx val="0"/>
          <c:order val="0"/>
          <c:tx>
            <c:strRef>
              <c:f>'IV.3.7. Comp. Cartera'!$B$3</c:f>
              <c:strCache>
                <c:ptCount val="1"/>
                <c:pt idx="0">
                  <c:v>Inversión </c:v>
                </c:pt>
              </c:strCache>
            </c:strRef>
          </c:tx>
          <c:explosion val="13"/>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4"/>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5"/>
            <c:bubble3D val="0"/>
            <c:spPr>
              <a:solidFill>
                <a:schemeClr val="accent6"/>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6"/>
            <c:bubble3D val="0"/>
            <c:spPr>
              <a:solidFill>
                <a:schemeClr val="accent1">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7"/>
            <c:bubble3D val="0"/>
            <c:spPr>
              <a:solidFill>
                <a:schemeClr val="accent2">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8"/>
            <c:bubble3D val="0"/>
            <c:spPr>
              <a:solidFill>
                <a:schemeClr val="accent3">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Lbls>
            <c:dLbl>
              <c:idx val="0"/>
              <c:layout>
                <c:manualLayout>
                  <c:x val="8.2232003190212469E-3"/>
                  <c:y val="1.5181635719639418E-2"/>
                </c:manualLayout>
              </c:layout>
              <c:tx>
                <c:rich>
                  <a:bodyPr rot="0" spcFirstLastPara="1" vertOverflow="ellipsis" vert="horz" wrap="square" lIns="38100" tIns="19050" rIns="38100" bIns="19050" anchor="ctr" anchorCtr="1">
                    <a:spAutoFit/>
                  </a:bodyPr>
                  <a:lstStyle/>
                  <a:p>
                    <a:pPr>
                      <a:defRPr sz="1400" b="1" i="0" u="none" strike="noStrike" kern="1200" spc="0" baseline="0">
                        <a:solidFill>
                          <a:sysClr val="windowText" lastClr="000000"/>
                        </a:solidFill>
                        <a:latin typeface="+mn-lt"/>
                        <a:ea typeface="+mn-ea"/>
                        <a:cs typeface="+mn-cs"/>
                      </a:defRPr>
                    </a:pPr>
                    <a:fld id="{2C5F8580-5695-49E1-8CAE-B98ABF2BD588}" type="CATEGORYNAME">
                      <a:rPr lang="en-US" sz="1400">
                        <a:solidFill>
                          <a:sysClr val="windowText" lastClr="000000"/>
                        </a:solidFill>
                      </a:rPr>
                      <a:pPr>
                        <a:defRPr sz="1400">
                          <a:solidFill>
                            <a:sysClr val="windowText" lastClr="000000"/>
                          </a:solidFill>
                        </a:defRPr>
                      </a:pPr>
                      <a:t>[NOMBRE DE CATEGORÍA]</a:t>
                    </a:fld>
                    <a:r>
                      <a:rPr lang="en-US" sz="1400" baseline="0">
                        <a:solidFill>
                          <a:sysClr val="windowText" lastClr="000000"/>
                        </a:solidFill>
                      </a:rPr>
                      <a:t> </a:t>
                    </a:r>
                    <a:fld id="{2766819D-5483-4D53-B698-89027853653A}" type="VALUE">
                      <a:rPr lang="en-US" sz="1400" baseline="0">
                        <a:solidFill>
                          <a:sysClr val="windowText" lastClr="000000"/>
                        </a:solidFill>
                      </a:rPr>
                      <a:pPr>
                        <a:defRPr sz="1400">
                          <a:solidFill>
                            <a:sysClr val="windowText" lastClr="000000"/>
                          </a:solidFill>
                        </a:defRPr>
                      </a:pPr>
                      <a:t>[VALOR]</a:t>
                    </a:fld>
                    <a:endParaRPr lang="en-US" sz="1400" baseline="0">
                      <a:solidFill>
                        <a:sysClr val="windowText" lastClr="000000"/>
                      </a:solidFill>
                    </a:endParaRPr>
                  </a:p>
                  <a:p>
                    <a:pPr>
                      <a:defRPr sz="1400">
                        <a:solidFill>
                          <a:sysClr val="windowText" lastClr="000000"/>
                        </a:solidFill>
                      </a:defRPr>
                    </a:pPr>
                    <a:r>
                      <a:rPr lang="en-US" sz="1400" baseline="0">
                        <a:solidFill>
                          <a:sysClr val="windowText" lastClr="000000"/>
                        </a:solidFill>
                      </a:rPr>
                      <a:t> </a:t>
                    </a:r>
                    <a:fld id="{716A03FD-FED4-4DA4-8823-EB789EFE7CF9}" type="PERCENTAGE">
                      <a:rPr lang="en-US" sz="1400" baseline="0">
                        <a:solidFill>
                          <a:sysClr val="windowText" lastClr="000000"/>
                        </a:solidFill>
                      </a:rPr>
                      <a:pPr>
                        <a:defRPr sz="1400">
                          <a:solidFill>
                            <a:sysClr val="windowText" lastClr="000000"/>
                          </a:solidFill>
                        </a:defRPr>
                      </a:pPr>
                      <a:t>[PORCENTAJE]</a:t>
                    </a:fld>
                    <a:endParaRPr lang="en-US" sz="1400" baseline="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1"/>
              <c:layout>
                <c:manualLayout>
                  <c:x val="3.3920701315962878E-2"/>
                  <c:y val="-3.0363271439278836E-2"/>
                </c:manualLayout>
              </c:layout>
              <c:tx>
                <c:rich>
                  <a:bodyPr rot="0" spcFirstLastPara="1" vertOverflow="ellipsis" vert="horz" wrap="square" lIns="38100" tIns="19050" rIns="38100" bIns="19050" anchor="ctr" anchorCtr="1">
                    <a:spAutoFit/>
                  </a:bodyPr>
                  <a:lstStyle/>
                  <a:p>
                    <a:pPr>
                      <a:defRPr sz="1400" b="1" i="0" u="none" strike="noStrike" kern="1200" spc="0" baseline="0">
                        <a:solidFill>
                          <a:sysClr val="windowText" lastClr="000000"/>
                        </a:solidFill>
                        <a:latin typeface="+mn-lt"/>
                        <a:ea typeface="+mn-ea"/>
                        <a:cs typeface="+mn-cs"/>
                      </a:defRPr>
                    </a:pPr>
                    <a:fld id="{C1AE6568-C7BE-40C9-B375-AEC6CB7CCE9A}" type="CATEGORYNAME">
                      <a:rPr lang="en-US" sz="1400">
                        <a:solidFill>
                          <a:sysClr val="windowText" lastClr="000000"/>
                        </a:solidFill>
                      </a:rPr>
                      <a:pPr>
                        <a:defRPr sz="1400">
                          <a:solidFill>
                            <a:sysClr val="windowText" lastClr="000000"/>
                          </a:solidFill>
                        </a:defRPr>
                      </a:pPr>
                      <a:t>[NOMBRE DE CATEGORÍA]</a:t>
                    </a:fld>
                    <a:r>
                      <a:rPr lang="en-US" sz="1400" baseline="0">
                        <a:solidFill>
                          <a:sysClr val="windowText" lastClr="000000"/>
                        </a:solidFill>
                      </a:rPr>
                      <a:t> </a:t>
                    </a:r>
                    <a:fld id="{D5773589-3AEB-40AE-A430-8730700BC3BB}" type="VALUE">
                      <a:rPr lang="en-US" sz="1400" baseline="0">
                        <a:solidFill>
                          <a:sysClr val="windowText" lastClr="000000"/>
                        </a:solidFill>
                      </a:rPr>
                      <a:pPr>
                        <a:defRPr sz="1400">
                          <a:solidFill>
                            <a:sysClr val="windowText" lastClr="000000"/>
                          </a:solidFill>
                        </a:defRPr>
                      </a:pPr>
                      <a:t>[VALOR]</a:t>
                    </a:fld>
                    <a:endParaRPr lang="en-US" sz="1400" baseline="0">
                      <a:solidFill>
                        <a:sysClr val="windowText" lastClr="000000"/>
                      </a:solidFill>
                    </a:endParaRPr>
                  </a:p>
                  <a:p>
                    <a:pPr>
                      <a:defRPr sz="1400">
                        <a:solidFill>
                          <a:sysClr val="windowText" lastClr="000000"/>
                        </a:solidFill>
                      </a:defRPr>
                    </a:pPr>
                    <a:r>
                      <a:rPr lang="en-US" sz="1400" baseline="0">
                        <a:solidFill>
                          <a:sysClr val="windowText" lastClr="000000"/>
                        </a:solidFill>
                      </a:rPr>
                      <a:t> </a:t>
                    </a:r>
                    <a:fld id="{AEDD9811-1EF2-4CCF-9682-8842CC094233}" type="PERCENTAGE">
                      <a:rPr lang="en-US" sz="1400" baseline="0">
                        <a:solidFill>
                          <a:sysClr val="windowText" lastClr="000000"/>
                        </a:solidFill>
                      </a:rPr>
                      <a:pPr>
                        <a:defRPr sz="1400">
                          <a:solidFill>
                            <a:sysClr val="windowText" lastClr="000000"/>
                          </a:solidFill>
                        </a:defRPr>
                      </a:pPr>
                      <a:t>[PORCENTAJE]</a:t>
                    </a:fld>
                    <a:endParaRPr lang="en-US" sz="1400" baseline="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2"/>
              <c:layout>
                <c:manualLayout>
                  <c:x val="2.4669600957063966E-2"/>
                  <c:y val="5.9039694465264407E-2"/>
                </c:manualLayout>
              </c:layout>
              <c:tx>
                <c:rich>
                  <a:bodyPr rot="0" spcFirstLastPara="1" vertOverflow="ellipsis" vert="horz" wrap="square" lIns="38100" tIns="19050" rIns="38100" bIns="19050" anchor="ctr" anchorCtr="1">
                    <a:spAutoFit/>
                  </a:bodyPr>
                  <a:lstStyle/>
                  <a:p>
                    <a:pPr>
                      <a:defRPr sz="1400" b="1" i="0" u="none" strike="noStrike" kern="1200" spc="0" baseline="0">
                        <a:solidFill>
                          <a:sysClr val="windowText" lastClr="000000"/>
                        </a:solidFill>
                        <a:latin typeface="+mn-lt"/>
                        <a:ea typeface="+mn-ea"/>
                        <a:cs typeface="+mn-cs"/>
                      </a:defRPr>
                    </a:pPr>
                    <a:fld id="{C1E48311-297E-4399-B114-4C6A8314584B}" type="CATEGORYNAME">
                      <a:rPr lang="en-US" sz="1400">
                        <a:solidFill>
                          <a:sysClr val="windowText" lastClr="000000"/>
                        </a:solidFill>
                      </a:rPr>
                      <a:pPr>
                        <a:defRPr sz="1400">
                          <a:solidFill>
                            <a:sysClr val="windowText" lastClr="000000"/>
                          </a:solidFill>
                        </a:defRPr>
                      </a:pPr>
                      <a:t>[NOMBRE DE CATEGORÍA]</a:t>
                    </a:fld>
                    <a:r>
                      <a:rPr lang="en-US" sz="1400" baseline="0">
                        <a:solidFill>
                          <a:sysClr val="windowText" lastClr="000000"/>
                        </a:solidFill>
                      </a:rPr>
                      <a:t> </a:t>
                    </a:r>
                    <a:fld id="{DDBD0C40-8F26-424B-B622-0E79229951D3}" type="VALUE">
                      <a:rPr lang="en-US" sz="1400" baseline="0">
                        <a:solidFill>
                          <a:sysClr val="windowText" lastClr="000000"/>
                        </a:solidFill>
                      </a:rPr>
                      <a:pPr>
                        <a:defRPr sz="1400">
                          <a:solidFill>
                            <a:sysClr val="windowText" lastClr="000000"/>
                          </a:solidFill>
                        </a:defRPr>
                      </a:pPr>
                      <a:t>[VALOR]</a:t>
                    </a:fld>
                    <a:endParaRPr lang="en-US" sz="1400" baseline="0">
                      <a:solidFill>
                        <a:sysClr val="windowText" lastClr="000000"/>
                      </a:solidFill>
                    </a:endParaRPr>
                  </a:p>
                  <a:p>
                    <a:pPr>
                      <a:defRPr sz="1400">
                        <a:solidFill>
                          <a:sysClr val="windowText" lastClr="000000"/>
                        </a:solidFill>
                      </a:defRPr>
                    </a:pPr>
                    <a:r>
                      <a:rPr lang="en-US" sz="1400" baseline="0">
                        <a:solidFill>
                          <a:sysClr val="windowText" lastClr="000000"/>
                        </a:solidFill>
                      </a:rPr>
                      <a:t> </a:t>
                    </a:r>
                    <a:fld id="{AE53AE85-6D73-4AC4-BEF7-BC46785E81EE}" type="PERCENTAGE">
                      <a:rPr lang="en-US" sz="1400" baseline="0">
                        <a:solidFill>
                          <a:sysClr val="windowText" lastClr="000000"/>
                        </a:solidFill>
                      </a:rPr>
                      <a:pPr>
                        <a:defRPr sz="1400">
                          <a:solidFill>
                            <a:sysClr val="windowText" lastClr="000000"/>
                          </a:solidFill>
                        </a:defRPr>
                      </a:pPr>
                      <a:t>[PORCENTAJE]</a:t>
                    </a:fld>
                    <a:endParaRPr lang="en-US" sz="1400" baseline="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3"/>
              <c:layout>
                <c:manualLayout>
                  <c:x val="-6.1674002392659915E-3"/>
                  <c:y val="3.5423816679158518E-2"/>
                </c:manualLayout>
              </c:layout>
              <c:tx>
                <c:rich>
                  <a:bodyPr rot="0" spcFirstLastPara="1" vertOverflow="ellipsis" vert="horz" wrap="square" lIns="38100" tIns="19050" rIns="38100" bIns="19050" anchor="ctr" anchorCtr="1">
                    <a:spAutoFit/>
                  </a:bodyPr>
                  <a:lstStyle/>
                  <a:p>
                    <a:pPr>
                      <a:defRPr sz="1400" b="1" i="0" u="none" strike="noStrike" kern="1200" spc="0" baseline="0">
                        <a:solidFill>
                          <a:sysClr val="windowText" lastClr="000000"/>
                        </a:solidFill>
                        <a:latin typeface="+mn-lt"/>
                        <a:ea typeface="+mn-ea"/>
                        <a:cs typeface="+mn-cs"/>
                      </a:defRPr>
                    </a:pPr>
                    <a:fld id="{15DC9855-B0F7-45E4-87C9-6CBDBF5897DC}" type="CATEGORYNAME">
                      <a:rPr lang="en-US" sz="1400">
                        <a:solidFill>
                          <a:sysClr val="windowText" lastClr="000000"/>
                        </a:solidFill>
                      </a:rPr>
                      <a:pPr>
                        <a:defRPr sz="1400">
                          <a:solidFill>
                            <a:sysClr val="windowText" lastClr="000000"/>
                          </a:solidFill>
                        </a:defRPr>
                      </a:pPr>
                      <a:t>[NOMBRE DE CATEGORÍA]</a:t>
                    </a:fld>
                    <a:r>
                      <a:rPr lang="en-US" sz="1400" baseline="0">
                        <a:solidFill>
                          <a:sysClr val="windowText" lastClr="000000"/>
                        </a:solidFill>
                      </a:rPr>
                      <a:t> </a:t>
                    </a:r>
                    <a:fld id="{97318881-96CA-40E5-B8A7-70FA7E6E3B44}" type="VALUE">
                      <a:rPr lang="en-US" sz="1400" baseline="0">
                        <a:solidFill>
                          <a:sysClr val="windowText" lastClr="000000"/>
                        </a:solidFill>
                      </a:rPr>
                      <a:pPr>
                        <a:defRPr sz="1400">
                          <a:solidFill>
                            <a:sysClr val="windowText" lastClr="000000"/>
                          </a:solidFill>
                        </a:defRPr>
                      </a:pPr>
                      <a:t>[VALOR]</a:t>
                    </a:fld>
                    <a:endParaRPr lang="en-US" sz="1400" baseline="0">
                      <a:solidFill>
                        <a:sysClr val="windowText" lastClr="000000"/>
                      </a:solidFill>
                    </a:endParaRPr>
                  </a:p>
                  <a:p>
                    <a:pPr>
                      <a:defRPr sz="1400">
                        <a:solidFill>
                          <a:sysClr val="windowText" lastClr="000000"/>
                        </a:solidFill>
                      </a:defRPr>
                    </a:pPr>
                    <a:r>
                      <a:rPr lang="en-US" sz="1400" baseline="0">
                        <a:solidFill>
                          <a:sysClr val="windowText" lastClr="000000"/>
                        </a:solidFill>
                      </a:rPr>
                      <a:t> </a:t>
                    </a:r>
                    <a:fld id="{6A2C07A7-347A-4519-8E2A-1E9694370CF2}" type="PERCENTAGE">
                      <a:rPr lang="en-US" sz="1400" baseline="0">
                        <a:solidFill>
                          <a:sysClr val="windowText" lastClr="000000"/>
                        </a:solidFill>
                      </a:rPr>
                      <a:pPr>
                        <a:defRPr sz="1400">
                          <a:solidFill>
                            <a:sysClr val="windowText" lastClr="000000"/>
                          </a:solidFill>
                        </a:defRPr>
                      </a:pPr>
                      <a:t>[PORCENTAJE]</a:t>
                    </a:fld>
                    <a:endParaRPr lang="en-US" sz="1400" baseline="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4"/>
              <c:layout>
                <c:manualLayout>
                  <c:x val="-1.5418500598164979E-2"/>
                  <c:y val="2.0242180959519223E-2"/>
                </c:manualLayout>
              </c:layout>
              <c:tx>
                <c:rich>
                  <a:bodyPr rot="0" spcFirstLastPara="1" vertOverflow="ellipsis" vert="horz" wrap="square" lIns="38100" tIns="19050" rIns="38100" bIns="19050" anchor="ctr" anchorCtr="1">
                    <a:spAutoFit/>
                  </a:bodyPr>
                  <a:lstStyle/>
                  <a:p>
                    <a:pPr>
                      <a:defRPr sz="1400" b="1" i="0" u="none" strike="noStrike" kern="1200" spc="0" baseline="0">
                        <a:solidFill>
                          <a:sysClr val="windowText" lastClr="000000"/>
                        </a:solidFill>
                        <a:latin typeface="+mn-lt"/>
                        <a:ea typeface="+mn-ea"/>
                        <a:cs typeface="+mn-cs"/>
                      </a:defRPr>
                    </a:pPr>
                    <a:fld id="{DC321B10-7537-4070-A354-37B53A06A7F2}" type="CATEGORYNAME">
                      <a:rPr lang="en-US" sz="1400">
                        <a:solidFill>
                          <a:sysClr val="windowText" lastClr="000000"/>
                        </a:solidFill>
                      </a:rPr>
                      <a:pPr>
                        <a:defRPr sz="1400">
                          <a:solidFill>
                            <a:sysClr val="windowText" lastClr="000000"/>
                          </a:solidFill>
                        </a:defRPr>
                      </a:pPr>
                      <a:t>[NOMBRE DE CATEGORÍA]</a:t>
                    </a:fld>
                    <a:r>
                      <a:rPr lang="en-US" sz="1400" baseline="0">
                        <a:solidFill>
                          <a:sysClr val="windowText" lastClr="000000"/>
                        </a:solidFill>
                      </a:rPr>
                      <a:t> </a:t>
                    </a:r>
                    <a:fld id="{717F9BE8-0420-4556-AB2A-E4957F68AD9E}" type="VALUE">
                      <a:rPr lang="en-US" sz="1400" baseline="0">
                        <a:solidFill>
                          <a:sysClr val="windowText" lastClr="000000"/>
                        </a:solidFill>
                      </a:rPr>
                      <a:pPr>
                        <a:defRPr sz="1400">
                          <a:solidFill>
                            <a:sysClr val="windowText" lastClr="000000"/>
                          </a:solidFill>
                        </a:defRPr>
                      </a:pPr>
                      <a:t>[VALOR]</a:t>
                    </a:fld>
                    <a:r>
                      <a:rPr lang="en-US" sz="1400" baseline="0">
                        <a:solidFill>
                          <a:sysClr val="windowText" lastClr="000000"/>
                        </a:solidFill>
                      </a:rPr>
                      <a:t> </a:t>
                    </a:r>
                  </a:p>
                  <a:p>
                    <a:pPr>
                      <a:defRPr sz="1400">
                        <a:solidFill>
                          <a:sysClr val="windowText" lastClr="000000"/>
                        </a:solidFill>
                      </a:defRPr>
                    </a:pPr>
                    <a:fld id="{CF5F5803-2D4D-43BC-8354-4FB7537557A0}" type="PERCENTAGE">
                      <a:rPr lang="en-US" sz="1400" baseline="0">
                        <a:solidFill>
                          <a:sysClr val="windowText" lastClr="000000"/>
                        </a:solidFill>
                      </a:rPr>
                      <a:pPr>
                        <a:defRPr sz="1400">
                          <a:solidFill>
                            <a:sysClr val="windowText" lastClr="000000"/>
                          </a:solidFill>
                        </a:defRPr>
                      </a:pPr>
                      <a:t>[PORCENTAJE]</a:t>
                    </a:fld>
                    <a:endParaRPr lang="es-E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5"/>
              <c:layout>
                <c:manualLayout>
                  <c:x val="-6.9897202711681261E-2"/>
                  <c:y val="2.8676423025985505E-2"/>
                </c:manualLayout>
              </c:layout>
              <c:tx>
                <c:rich>
                  <a:bodyPr rot="0" spcFirstLastPara="1" vertOverflow="ellipsis" vert="horz" wrap="square" lIns="38100" tIns="19050" rIns="38100" bIns="19050" anchor="ctr" anchorCtr="1">
                    <a:spAutoFit/>
                  </a:bodyPr>
                  <a:lstStyle/>
                  <a:p>
                    <a:pPr>
                      <a:defRPr sz="1400" b="1" i="0" u="none" strike="noStrike" kern="1200" spc="0" baseline="0">
                        <a:solidFill>
                          <a:sysClr val="windowText" lastClr="000000"/>
                        </a:solidFill>
                        <a:latin typeface="+mn-lt"/>
                        <a:ea typeface="+mn-ea"/>
                        <a:cs typeface="+mn-cs"/>
                      </a:defRPr>
                    </a:pPr>
                    <a:fld id="{5E5E0E24-C44D-4F78-B3B3-3D361251B035}" type="CATEGORYNAME">
                      <a:rPr lang="en-US" sz="1400">
                        <a:solidFill>
                          <a:sysClr val="windowText" lastClr="000000"/>
                        </a:solidFill>
                      </a:rPr>
                      <a:pPr>
                        <a:defRPr sz="1400">
                          <a:solidFill>
                            <a:sysClr val="windowText" lastClr="000000"/>
                          </a:solidFill>
                        </a:defRPr>
                      </a:pPr>
                      <a:t>[NOMBRE DE CATEGORÍA]</a:t>
                    </a:fld>
                    <a:r>
                      <a:rPr lang="en-US" sz="1400" baseline="0">
                        <a:solidFill>
                          <a:sysClr val="windowText" lastClr="000000"/>
                        </a:solidFill>
                      </a:rPr>
                      <a:t> </a:t>
                    </a:r>
                    <a:fld id="{1C397019-F64D-4EAF-8501-9BB6B35CB89A}" type="VALUE">
                      <a:rPr lang="en-US" sz="1400" baseline="0">
                        <a:solidFill>
                          <a:sysClr val="windowText" lastClr="000000"/>
                        </a:solidFill>
                      </a:rPr>
                      <a:pPr>
                        <a:defRPr sz="1400">
                          <a:solidFill>
                            <a:sysClr val="windowText" lastClr="000000"/>
                          </a:solidFill>
                        </a:defRPr>
                      </a:pPr>
                      <a:t>[VALOR]</a:t>
                    </a:fld>
                    <a:r>
                      <a:rPr lang="en-US" sz="1400" baseline="0">
                        <a:solidFill>
                          <a:sysClr val="windowText" lastClr="000000"/>
                        </a:solidFill>
                      </a:rPr>
                      <a:t> </a:t>
                    </a:r>
                  </a:p>
                  <a:p>
                    <a:pPr>
                      <a:defRPr sz="1400">
                        <a:solidFill>
                          <a:sysClr val="windowText" lastClr="000000"/>
                        </a:solidFill>
                      </a:defRPr>
                    </a:pPr>
                    <a:fld id="{99570B61-3A84-40DE-A585-05218AC2B225}" type="PERCENTAGE">
                      <a:rPr lang="en-US" sz="1400" baseline="0">
                        <a:solidFill>
                          <a:sysClr val="windowText" lastClr="000000"/>
                        </a:solidFill>
                      </a:rPr>
                      <a:pPr>
                        <a:defRPr sz="1400">
                          <a:solidFill>
                            <a:sysClr val="windowText" lastClr="000000"/>
                          </a:solidFill>
                        </a:defRPr>
                      </a:pPr>
                      <a:t>[PORCENTAJE]</a:t>
                    </a:fld>
                    <a:endParaRPr lang="es-E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6"/>
              <c:layout>
                <c:manualLayout>
                  <c:x val="-6.2701902432537621E-2"/>
                  <c:y val="-7.5908178598197096E-2"/>
                </c:manualLayout>
              </c:layout>
              <c:tx>
                <c:rich>
                  <a:bodyPr rot="0" spcFirstLastPara="1" vertOverflow="ellipsis" vert="horz" wrap="square" lIns="38100" tIns="19050" rIns="38100" bIns="19050" anchor="ctr" anchorCtr="1">
                    <a:spAutoFit/>
                  </a:bodyPr>
                  <a:lstStyle/>
                  <a:p>
                    <a:pPr>
                      <a:defRPr sz="1400" b="1" i="0" u="none" strike="noStrike" kern="1200" spc="0" baseline="0">
                        <a:solidFill>
                          <a:sysClr val="windowText" lastClr="000000"/>
                        </a:solidFill>
                        <a:latin typeface="+mn-lt"/>
                        <a:ea typeface="+mn-ea"/>
                        <a:cs typeface="+mn-cs"/>
                      </a:defRPr>
                    </a:pPr>
                    <a:fld id="{1899783F-A8CE-4701-B47D-758BC26E58C1}" type="CATEGORYNAME">
                      <a:rPr lang="en-US" sz="1400">
                        <a:solidFill>
                          <a:sysClr val="windowText" lastClr="000000"/>
                        </a:solidFill>
                      </a:rPr>
                      <a:pPr>
                        <a:defRPr sz="1400">
                          <a:solidFill>
                            <a:sysClr val="windowText" lastClr="000000"/>
                          </a:solidFill>
                        </a:defRPr>
                      </a:pPr>
                      <a:t>[NOMBRE DE CATEGORÍA]</a:t>
                    </a:fld>
                    <a:r>
                      <a:rPr lang="en-US" sz="1400" baseline="0">
                        <a:solidFill>
                          <a:sysClr val="windowText" lastClr="000000"/>
                        </a:solidFill>
                      </a:rPr>
                      <a:t> </a:t>
                    </a:r>
                    <a:fld id="{3C7D423C-11E7-439A-AABF-DB497DA79F85}" type="VALUE">
                      <a:rPr lang="en-US" sz="1400" baseline="0">
                        <a:solidFill>
                          <a:sysClr val="windowText" lastClr="000000"/>
                        </a:solidFill>
                      </a:rPr>
                      <a:pPr>
                        <a:defRPr sz="1400">
                          <a:solidFill>
                            <a:sysClr val="windowText" lastClr="000000"/>
                          </a:solidFill>
                        </a:defRPr>
                      </a:pPr>
                      <a:t>[VALOR]</a:t>
                    </a:fld>
                    <a:endParaRPr lang="en-US" sz="1400" baseline="0">
                      <a:solidFill>
                        <a:sysClr val="windowText" lastClr="000000"/>
                      </a:solidFill>
                    </a:endParaRPr>
                  </a:p>
                  <a:p>
                    <a:pPr>
                      <a:defRPr sz="1400">
                        <a:solidFill>
                          <a:sysClr val="windowText" lastClr="000000"/>
                        </a:solidFill>
                      </a:defRPr>
                    </a:pPr>
                    <a:r>
                      <a:rPr lang="en-US" sz="1400" baseline="0">
                        <a:solidFill>
                          <a:sysClr val="windowText" lastClr="000000"/>
                        </a:solidFill>
                      </a:rPr>
                      <a:t> </a:t>
                    </a:r>
                    <a:fld id="{E3458BB1-9DB8-43EC-AD91-9CD166C2503E}" type="PERCENTAGE">
                      <a:rPr lang="en-US" sz="1400" baseline="0">
                        <a:solidFill>
                          <a:sysClr val="windowText" lastClr="000000"/>
                        </a:solidFill>
                      </a:rPr>
                      <a:pPr>
                        <a:defRPr sz="1400">
                          <a:solidFill>
                            <a:sysClr val="windowText" lastClr="000000"/>
                          </a:solidFill>
                        </a:defRPr>
                      </a:pPr>
                      <a:t>[PORCENTAJE]</a:t>
                    </a:fld>
                    <a:endParaRPr lang="en-US" sz="1400" baseline="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7"/>
              <c:layout>
                <c:manualLayout>
                  <c:x val="6.6813502592048241E-2"/>
                  <c:y val="-0.11639254051723553"/>
                </c:manualLayout>
              </c:layout>
              <c:tx>
                <c:rich>
                  <a:bodyPr rot="0" spcFirstLastPara="1" vertOverflow="ellipsis" vert="horz" wrap="square" lIns="38100" tIns="19050" rIns="38100" bIns="19050" anchor="ctr" anchorCtr="1">
                    <a:spAutoFit/>
                  </a:bodyPr>
                  <a:lstStyle/>
                  <a:p>
                    <a:pPr>
                      <a:defRPr sz="1400" b="1" i="0" u="none" strike="noStrike" kern="1200" spc="0" baseline="0">
                        <a:solidFill>
                          <a:sysClr val="windowText" lastClr="000000"/>
                        </a:solidFill>
                        <a:latin typeface="+mn-lt"/>
                        <a:ea typeface="+mn-ea"/>
                        <a:cs typeface="+mn-cs"/>
                      </a:defRPr>
                    </a:pPr>
                    <a:fld id="{5BAE4747-6995-4ABD-B2D2-5620D25ECDB9}" type="CATEGORYNAME">
                      <a:rPr lang="en-US" sz="1400">
                        <a:solidFill>
                          <a:sysClr val="windowText" lastClr="000000"/>
                        </a:solidFill>
                      </a:rPr>
                      <a:pPr>
                        <a:defRPr sz="1400">
                          <a:solidFill>
                            <a:sysClr val="windowText" lastClr="000000"/>
                          </a:solidFill>
                        </a:defRPr>
                      </a:pPr>
                      <a:t>[NOMBRE DE CATEGORÍA]</a:t>
                    </a:fld>
                    <a:r>
                      <a:rPr lang="en-US" sz="1400" baseline="0">
                        <a:solidFill>
                          <a:sysClr val="windowText" lastClr="000000"/>
                        </a:solidFill>
                      </a:rPr>
                      <a:t> </a:t>
                    </a:r>
                    <a:fld id="{937483AC-568F-4E53-9C63-B118988C8697}" type="VALUE">
                      <a:rPr lang="en-US" sz="1400" baseline="0">
                        <a:solidFill>
                          <a:sysClr val="windowText" lastClr="000000"/>
                        </a:solidFill>
                      </a:rPr>
                      <a:pPr>
                        <a:defRPr sz="1400">
                          <a:solidFill>
                            <a:sysClr val="windowText" lastClr="000000"/>
                          </a:solidFill>
                        </a:defRPr>
                      </a:pPr>
                      <a:t>[VALOR]</a:t>
                    </a:fld>
                    <a:endParaRPr lang="en-US" sz="1400" baseline="0">
                      <a:solidFill>
                        <a:sysClr val="windowText" lastClr="000000"/>
                      </a:solidFill>
                    </a:endParaRPr>
                  </a:p>
                  <a:p>
                    <a:pPr>
                      <a:defRPr sz="1400">
                        <a:solidFill>
                          <a:sysClr val="windowText" lastClr="000000"/>
                        </a:solidFill>
                      </a:defRPr>
                    </a:pPr>
                    <a:r>
                      <a:rPr lang="en-US" sz="1400" baseline="0">
                        <a:solidFill>
                          <a:sysClr val="windowText" lastClr="000000"/>
                        </a:solidFill>
                      </a:rPr>
                      <a:t> </a:t>
                    </a:r>
                    <a:fld id="{66FD5FB2-022C-414F-80C0-77289E0592E7}" type="PERCENTAGE">
                      <a:rPr lang="en-US" sz="1400" baseline="0">
                        <a:solidFill>
                          <a:sysClr val="windowText" lastClr="000000"/>
                        </a:solidFill>
                      </a:rPr>
                      <a:pPr>
                        <a:defRPr sz="1400">
                          <a:solidFill>
                            <a:sysClr val="windowText" lastClr="000000"/>
                          </a:solidFill>
                        </a:defRPr>
                      </a:pPr>
                      <a:t>[PORCENTAJE]</a:t>
                    </a:fld>
                    <a:endParaRPr lang="en-US" sz="1400" baseline="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8"/>
              <c:layout>
                <c:manualLayout>
                  <c:x val="0.15007340582213907"/>
                  <c:y val="-7.9281875424783627E-2"/>
                </c:manualLayout>
              </c:layout>
              <c:tx>
                <c:rich>
                  <a:bodyPr rot="0" spcFirstLastPara="1" vertOverflow="ellipsis" vert="horz" wrap="square" lIns="38100" tIns="19050" rIns="38100" bIns="19050" anchor="ctr" anchorCtr="1">
                    <a:spAutoFit/>
                  </a:bodyPr>
                  <a:lstStyle/>
                  <a:p>
                    <a:pPr>
                      <a:defRPr sz="1400" b="1" i="0" u="none" strike="noStrike" kern="1200" spc="0" baseline="0">
                        <a:solidFill>
                          <a:sysClr val="windowText" lastClr="000000"/>
                        </a:solidFill>
                        <a:latin typeface="+mn-lt"/>
                        <a:ea typeface="+mn-ea"/>
                        <a:cs typeface="+mn-cs"/>
                      </a:defRPr>
                    </a:pPr>
                    <a:fld id="{A969348D-D9BE-4209-82BE-DBF97890758B}" type="CATEGORYNAME">
                      <a:rPr lang="en-US" sz="1400">
                        <a:solidFill>
                          <a:sysClr val="windowText" lastClr="000000"/>
                        </a:solidFill>
                      </a:rPr>
                      <a:pPr>
                        <a:defRPr sz="1400">
                          <a:solidFill>
                            <a:sysClr val="windowText" lastClr="000000"/>
                          </a:solidFill>
                        </a:defRPr>
                      </a:pPr>
                      <a:t>[NOMBRE DE CATEGORÍA]</a:t>
                    </a:fld>
                    <a:r>
                      <a:rPr lang="en-US" sz="1400" baseline="0">
                        <a:solidFill>
                          <a:sysClr val="windowText" lastClr="000000"/>
                        </a:solidFill>
                      </a:rPr>
                      <a:t> </a:t>
                    </a:r>
                    <a:fld id="{7576F30D-56DC-4DBC-A565-7DA3C054F768}" type="VALUE">
                      <a:rPr lang="en-US" sz="1400" baseline="0">
                        <a:solidFill>
                          <a:sysClr val="windowText" lastClr="000000"/>
                        </a:solidFill>
                      </a:rPr>
                      <a:pPr>
                        <a:defRPr sz="1400">
                          <a:solidFill>
                            <a:sysClr val="windowText" lastClr="000000"/>
                          </a:solidFill>
                        </a:defRPr>
                      </a:pPr>
                      <a:t>[VALOR]</a:t>
                    </a:fld>
                    <a:r>
                      <a:rPr lang="en-US" sz="1400" baseline="0">
                        <a:solidFill>
                          <a:sysClr val="windowText" lastClr="000000"/>
                        </a:solidFill>
                      </a:rPr>
                      <a:t> </a:t>
                    </a:r>
                  </a:p>
                  <a:p>
                    <a:pPr>
                      <a:defRPr sz="1400">
                        <a:solidFill>
                          <a:sysClr val="windowText" lastClr="000000"/>
                        </a:solidFill>
                      </a:defRPr>
                    </a:pPr>
                    <a:fld id="{A7F2FD1D-E454-443E-BB38-CA53344AECE6}" type="PERCENTAGE">
                      <a:rPr lang="en-US" sz="1400" baseline="0">
                        <a:solidFill>
                          <a:sysClr val="windowText" lastClr="000000"/>
                        </a:solidFill>
                      </a:rPr>
                      <a:pPr>
                        <a:defRPr sz="1400">
                          <a:solidFill>
                            <a:sysClr val="windowText" lastClr="000000"/>
                          </a:solidFill>
                        </a:defRPr>
                      </a:pPr>
                      <a:t>[PORCENTAJE]</a:t>
                    </a:fld>
                    <a:endParaRPr lang="es-E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ysClr val="windowText" lastClr="000000"/>
                    </a:solidFill>
                    <a:latin typeface="+mn-lt"/>
                    <a:ea typeface="+mn-ea"/>
                    <a:cs typeface="+mn-cs"/>
                  </a:defRPr>
                </a:pPr>
                <a:endParaRPr lang="es-ES"/>
              </a:p>
            </c:txPr>
            <c:dLblPos val="outEnd"/>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'IV.3.7. Comp. Cartera'!$A$4:$A$12</c:f>
              <c:strCache>
                <c:ptCount val="9"/>
                <c:pt idx="0">
                  <c:v>Bonos del Gobierno Central</c:v>
                </c:pt>
                <c:pt idx="1">
                  <c:v>Nota de Renta Fija </c:v>
                </c:pt>
                <c:pt idx="2">
                  <c:v>Letras hipotecarias</c:v>
                </c:pt>
                <c:pt idx="3">
                  <c:v>Certificados de Ventanillas </c:v>
                </c:pt>
                <c:pt idx="4">
                  <c:v>Certificados de Depósitos</c:v>
                </c:pt>
                <c:pt idx="5">
                  <c:v>Bonos Subordinados</c:v>
                </c:pt>
                <c:pt idx="6">
                  <c:v>Bonos Corporativos</c:v>
                </c:pt>
                <c:pt idx="7">
                  <c:v>Bonos Ordinarios</c:v>
                </c:pt>
                <c:pt idx="8">
                  <c:v>Otras Inversiones</c:v>
                </c:pt>
              </c:strCache>
            </c:strRef>
          </c:cat>
          <c:val>
            <c:numRef>
              <c:f>'IV.3.7. Comp. Cartera'!$B$4:$B$12</c:f>
              <c:numCache>
                <c:formatCode>_(* #,##0.00_);_(* \(#,##0.00\);_(* "-"??_);_(@_)</c:formatCode>
                <c:ptCount val="9"/>
                <c:pt idx="0">
                  <c:v>66922877807.489998</c:v>
                </c:pt>
                <c:pt idx="1">
                  <c:v>38607585473.470001</c:v>
                </c:pt>
                <c:pt idx="2">
                  <c:v>881135790.21000004</c:v>
                </c:pt>
                <c:pt idx="3">
                  <c:v>114300503607.89999</c:v>
                </c:pt>
                <c:pt idx="4">
                  <c:v>71748837891.639999</c:v>
                </c:pt>
                <c:pt idx="5">
                  <c:v>11048963116.690001</c:v>
                </c:pt>
                <c:pt idx="6">
                  <c:v>7898855287.96</c:v>
                </c:pt>
                <c:pt idx="7">
                  <c:v>352088693.19999999</c:v>
                </c:pt>
                <c:pt idx="8">
                  <c:v>11927573417.18</c:v>
                </c:pt>
              </c:numCache>
            </c:numRef>
          </c:val>
        </c:ser>
        <c:dLbls>
          <c:showLegendKey val="0"/>
          <c:showVal val="0"/>
          <c:showCatName val="0"/>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a:t>Seguro de Vejez, Discapacidad y Sobrevivencia (SVDS)</a:t>
            </a:r>
          </a:p>
          <a:p>
            <a:pPr>
              <a:defRPr/>
            </a:pPr>
            <a:r>
              <a:rPr lang="es-DO"/>
              <a:t>Rentabilidad Nominal Promedio  de los Fondos de Pensiones </a:t>
            </a:r>
          </a:p>
        </c:rich>
      </c:tx>
      <c:layout/>
      <c:overlay val="1"/>
    </c:title>
    <c:autoTitleDeleted val="0"/>
    <c:plotArea>
      <c:layout>
        <c:manualLayout>
          <c:layoutTarget val="inner"/>
          <c:xMode val="edge"/>
          <c:yMode val="edge"/>
          <c:x val="3.6002591620779886E-2"/>
          <c:y val="0.21733079880290498"/>
          <c:w val="0.92405682164141945"/>
          <c:h val="0.58753391235198626"/>
        </c:manualLayout>
      </c:layout>
      <c:lineChart>
        <c:grouping val="standard"/>
        <c:varyColors val="0"/>
        <c:ser>
          <c:idx val="0"/>
          <c:order val="0"/>
          <c:tx>
            <c:strRef>
              <c:f>'IV.3.8. Rent. nom. de los FP'!$B$4</c:f>
              <c:strCache>
                <c:ptCount val="1"/>
                <c:pt idx="0">
                  <c:v>Promedio CCI</c:v>
                </c:pt>
              </c:strCache>
            </c:strRef>
          </c:tx>
          <c:dLbls>
            <c:dLbl>
              <c:idx val="24"/>
              <c:layout>
                <c:manualLayout>
                  <c:x val="-1.8820404801829827E-2"/>
                  <c:y val="4.5569142760460618E-2"/>
                </c:manualLayout>
              </c:layout>
              <c:dLblPos val="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vert="horz"/>
              <a:lstStyle/>
              <a:p>
                <a:pPr>
                  <a:defRPr sz="1600">
                    <a:solidFill>
                      <a:srgbClr val="002060"/>
                    </a:solidFill>
                  </a:defRPr>
                </a:pPr>
                <a:endParaRPr lang="es-ES"/>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extLst>
                <c:ext xmlns:c15="http://schemas.microsoft.com/office/drawing/2012/chart" uri="{02D57815-91ED-43cb-92C2-25804820EDAC}">
                  <c15:fullRef>
                    <c15:sqref>'IV.3.8. Rent. nom. de los FP'!$A$5:$A$63</c15:sqref>
                  </c15:fullRef>
                </c:ext>
              </c:extLst>
              <c:f>('IV.3.8. Rent. nom. de los FP'!$A$5:$A$58,'IV.3.8. Rent. nom. de los FP'!$A$60:$A$63)</c:f>
              <c:numCache>
                <c:formatCode>mmm\-yy</c:formatCode>
                <c:ptCount val="22"/>
                <c:pt idx="0">
                  <c:v>38504</c:v>
                </c:pt>
                <c:pt idx="1">
                  <c:v>38687</c:v>
                </c:pt>
                <c:pt idx="2">
                  <c:v>38869</c:v>
                </c:pt>
                <c:pt idx="3">
                  <c:v>39052</c:v>
                </c:pt>
                <c:pt idx="4">
                  <c:v>39783</c:v>
                </c:pt>
                <c:pt idx="5">
                  <c:v>39965</c:v>
                </c:pt>
                <c:pt idx="6">
                  <c:v>40148</c:v>
                </c:pt>
                <c:pt idx="7">
                  <c:v>40513</c:v>
                </c:pt>
                <c:pt idx="8">
                  <c:v>40695</c:v>
                </c:pt>
                <c:pt idx="9">
                  <c:v>40878</c:v>
                </c:pt>
                <c:pt idx="10">
                  <c:v>41061</c:v>
                </c:pt>
                <c:pt idx="11">
                  <c:v>41244</c:v>
                </c:pt>
                <c:pt idx="12">
                  <c:v>41426</c:v>
                </c:pt>
                <c:pt idx="13">
                  <c:v>41609</c:v>
                </c:pt>
                <c:pt idx="14">
                  <c:v>41791</c:v>
                </c:pt>
                <c:pt idx="15">
                  <c:v>41821</c:v>
                </c:pt>
                <c:pt idx="16">
                  <c:v>41852</c:v>
                </c:pt>
                <c:pt idx="17">
                  <c:v>41944</c:v>
                </c:pt>
                <c:pt idx="18">
                  <c:v>41974</c:v>
                </c:pt>
                <c:pt idx="19">
                  <c:v>42263</c:v>
                </c:pt>
                <c:pt idx="20">
                  <c:v>42293</c:v>
                </c:pt>
                <c:pt idx="21">
                  <c:v>42324</c:v>
                </c:pt>
              </c:numCache>
            </c:numRef>
          </c:cat>
          <c:val>
            <c:numRef>
              <c:extLst>
                <c:ext xmlns:c15="http://schemas.microsoft.com/office/drawing/2012/chart" uri="{02D57815-91ED-43cb-92C2-25804820EDAC}">
                  <c15:fullRef>
                    <c15:sqref>'IV.3.8. Rent. nom. de los FP'!$B$5:$B$63</c15:sqref>
                  </c15:fullRef>
                </c:ext>
              </c:extLst>
              <c:f>('IV.3.8. Rent. nom. de los FP'!$B$5:$B$58,'IV.3.8. Rent. nom. de los FP'!$B$60:$B$63)</c:f>
              <c:numCache>
                <c:formatCode>0.00%</c:formatCode>
                <c:ptCount val="22"/>
                <c:pt idx="0">
                  <c:v>0.19919999999999999</c:v>
                </c:pt>
                <c:pt idx="1">
                  <c:v>0.1709</c:v>
                </c:pt>
                <c:pt idx="2">
                  <c:v>0.13300000000000001</c:v>
                </c:pt>
                <c:pt idx="3">
                  <c:v>0.1147</c:v>
                </c:pt>
                <c:pt idx="4">
                  <c:v>0.1208</c:v>
                </c:pt>
                <c:pt idx="5">
                  <c:v>0.15529999999999999</c:v>
                </c:pt>
                <c:pt idx="6">
                  <c:v>0.1404</c:v>
                </c:pt>
                <c:pt idx="7">
                  <c:v>0.108409960162953</c:v>
                </c:pt>
                <c:pt idx="8">
                  <c:v>0.113957126516463</c:v>
                </c:pt>
                <c:pt idx="9">
                  <c:v>0.12479999999999999</c:v>
                </c:pt>
                <c:pt idx="10">
                  <c:v>0.13100000000000001</c:v>
                </c:pt>
                <c:pt idx="11">
                  <c:v>0.14269999999999999</c:v>
                </c:pt>
                <c:pt idx="12">
                  <c:v>0.15329999999999999</c:v>
                </c:pt>
                <c:pt idx="13">
                  <c:v>0.132289709655253</c:v>
                </c:pt>
                <c:pt idx="14">
                  <c:v>0.116663916655663</c:v>
                </c:pt>
                <c:pt idx="15">
                  <c:v>0.116796791263615</c:v>
                </c:pt>
                <c:pt idx="16">
                  <c:v>0.1173</c:v>
                </c:pt>
                <c:pt idx="17">
                  <c:v>0.1196</c:v>
                </c:pt>
                <c:pt idx="18">
                  <c:v>0.1202</c:v>
                </c:pt>
                <c:pt idx="19">
                  <c:v>0.11169999999999999</c:v>
                </c:pt>
                <c:pt idx="20">
                  <c:v>0.1103</c:v>
                </c:pt>
                <c:pt idx="21">
                  <c:v>0.1091</c:v>
                </c:pt>
              </c:numCache>
            </c:numRef>
          </c:val>
          <c:smooth val="0"/>
        </c:ser>
        <c:ser>
          <c:idx val="1"/>
          <c:order val="1"/>
          <c:tx>
            <c:strRef>
              <c:f>'IV.3.8. Rent. nom. de los FP'!$C$4</c:f>
              <c:strCache>
                <c:ptCount val="1"/>
                <c:pt idx="0">
                  <c:v>Promedio Sistema</c:v>
                </c:pt>
              </c:strCache>
            </c:strRef>
          </c:tx>
          <c:spPr>
            <a:ln>
              <a:solidFill>
                <a:srgbClr val="FF0000"/>
              </a:solidFill>
            </a:ln>
          </c:spPr>
          <c:marker>
            <c:symbol val="circle"/>
            <c:size val="5"/>
          </c:marker>
          <c:dLbls>
            <c:spPr>
              <a:noFill/>
              <a:ln>
                <a:noFill/>
              </a:ln>
              <a:effectLst/>
            </c:spPr>
            <c:txPr>
              <a:bodyPr rot="-5400000" vert="horz"/>
              <a:lstStyle/>
              <a:p>
                <a:pPr>
                  <a:defRPr sz="1600">
                    <a:solidFill>
                      <a:srgbClr val="C00000"/>
                    </a:solidFill>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extLst>
                <c:ext xmlns:c15="http://schemas.microsoft.com/office/drawing/2012/chart" uri="{02D57815-91ED-43cb-92C2-25804820EDAC}">
                  <c15:fullRef>
                    <c15:sqref>'IV.3.8. Rent. nom. de los FP'!$A$5:$A$63</c15:sqref>
                  </c15:fullRef>
                </c:ext>
              </c:extLst>
              <c:f>('IV.3.8. Rent. nom. de los FP'!$A$5:$A$58,'IV.3.8. Rent. nom. de los FP'!$A$60:$A$63)</c:f>
              <c:numCache>
                <c:formatCode>mmm\-yy</c:formatCode>
                <c:ptCount val="22"/>
                <c:pt idx="0">
                  <c:v>38504</c:v>
                </c:pt>
                <c:pt idx="1">
                  <c:v>38687</c:v>
                </c:pt>
                <c:pt idx="2">
                  <c:v>38869</c:v>
                </c:pt>
                <c:pt idx="3">
                  <c:v>39052</c:v>
                </c:pt>
                <c:pt idx="4">
                  <c:v>39783</c:v>
                </c:pt>
                <c:pt idx="5">
                  <c:v>39965</c:v>
                </c:pt>
                <c:pt idx="6">
                  <c:v>40148</c:v>
                </c:pt>
                <c:pt idx="7">
                  <c:v>40513</c:v>
                </c:pt>
                <c:pt idx="8">
                  <c:v>40695</c:v>
                </c:pt>
                <c:pt idx="9">
                  <c:v>40878</c:v>
                </c:pt>
                <c:pt idx="10">
                  <c:v>41061</c:v>
                </c:pt>
                <c:pt idx="11">
                  <c:v>41244</c:v>
                </c:pt>
                <c:pt idx="12">
                  <c:v>41426</c:v>
                </c:pt>
                <c:pt idx="13">
                  <c:v>41609</c:v>
                </c:pt>
                <c:pt idx="14">
                  <c:v>41791</c:v>
                </c:pt>
                <c:pt idx="15">
                  <c:v>41821</c:v>
                </c:pt>
                <c:pt idx="16">
                  <c:v>41852</c:v>
                </c:pt>
                <c:pt idx="17">
                  <c:v>41944</c:v>
                </c:pt>
                <c:pt idx="18">
                  <c:v>41974</c:v>
                </c:pt>
                <c:pt idx="19">
                  <c:v>42263</c:v>
                </c:pt>
                <c:pt idx="20">
                  <c:v>42293</c:v>
                </c:pt>
                <c:pt idx="21">
                  <c:v>42324</c:v>
                </c:pt>
              </c:numCache>
            </c:numRef>
          </c:cat>
          <c:val>
            <c:numRef>
              <c:extLst>
                <c:ext xmlns:c15="http://schemas.microsoft.com/office/drawing/2012/chart" uri="{02D57815-91ED-43cb-92C2-25804820EDAC}">
                  <c15:fullRef>
                    <c15:sqref>'IV.3.8. Rent. nom. de los FP'!$C$5:$C$63</c15:sqref>
                  </c15:fullRef>
                </c:ext>
              </c:extLst>
              <c:f>('IV.3.8. Rent. nom. de los FP'!$C$5:$C$58,'IV.3.8. Rent. nom. de los FP'!$C$60:$C$63)</c:f>
              <c:numCache>
                <c:formatCode>0.00%</c:formatCode>
                <c:ptCount val="22"/>
                <c:pt idx="0">
                  <c:v>0.2041</c:v>
                </c:pt>
                <c:pt idx="1">
                  <c:v>0.1696</c:v>
                </c:pt>
                <c:pt idx="2">
                  <c:v>0.13469999999999999</c:v>
                </c:pt>
                <c:pt idx="3">
                  <c:v>0.1148</c:v>
                </c:pt>
                <c:pt idx="4">
                  <c:v>0.13009999999999999</c:v>
                </c:pt>
                <c:pt idx="5">
                  <c:v>0.161</c:v>
                </c:pt>
                <c:pt idx="6">
                  <c:v>0.14330000000000001</c:v>
                </c:pt>
                <c:pt idx="7">
                  <c:v>0.11057333531076501</c:v>
                </c:pt>
                <c:pt idx="8">
                  <c:v>0.115288967128472</c:v>
                </c:pt>
                <c:pt idx="9">
                  <c:v>0.12659999999999999</c:v>
                </c:pt>
                <c:pt idx="10">
                  <c:v>0.1343</c:v>
                </c:pt>
                <c:pt idx="11">
                  <c:v>0.1454</c:v>
                </c:pt>
                <c:pt idx="12">
                  <c:v>0.15759999999999999</c:v>
                </c:pt>
                <c:pt idx="13">
                  <c:v>0.133732017269869</c:v>
                </c:pt>
                <c:pt idx="14">
                  <c:v>0.117645839774349</c:v>
                </c:pt>
                <c:pt idx="15">
                  <c:v>0.118568283938031</c:v>
                </c:pt>
                <c:pt idx="16">
                  <c:v>0.1198</c:v>
                </c:pt>
                <c:pt idx="17">
                  <c:v>0.12239999999999999</c:v>
                </c:pt>
                <c:pt idx="18">
                  <c:v>0.12479999999999999</c:v>
                </c:pt>
                <c:pt idx="19">
                  <c:v>0.1154</c:v>
                </c:pt>
                <c:pt idx="20">
                  <c:v>0.11409999999999999</c:v>
                </c:pt>
                <c:pt idx="21">
                  <c:v>0.11260000000000001</c:v>
                </c:pt>
              </c:numCache>
            </c:numRef>
          </c:val>
          <c:smooth val="0"/>
        </c:ser>
        <c:dLbls>
          <c:showLegendKey val="0"/>
          <c:showVal val="0"/>
          <c:showCatName val="0"/>
          <c:showSerName val="0"/>
          <c:showPercent val="0"/>
          <c:showBubbleSize val="0"/>
        </c:dLbls>
        <c:marker val="1"/>
        <c:smooth val="0"/>
        <c:axId val="366739464"/>
        <c:axId val="366739856"/>
      </c:lineChart>
      <c:catAx>
        <c:axId val="366739464"/>
        <c:scaling>
          <c:orientation val="minMax"/>
        </c:scaling>
        <c:delete val="0"/>
        <c:axPos val="b"/>
        <c:numFmt formatCode="mmm\-yy" sourceLinked="1"/>
        <c:majorTickMark val="none"/>
        <c:minorTickMark val="none"/>
        <c:tickLblPos val="nextTo"/>
        <c:txPr>
          <a:bodyPr rot="-2700000" vert="horz"/>
          <a:lstStyle/>
          <a:p>
            <a:pPr>
              <a:defRPr lang="en-US" sz="1600"/>
            </a:pPr>
            <a:endParaRPr lang="es-ES"/>
          </a:p>
        </c:txPr>
        <c:crossAx val="366739856"/>
        <c:crosses val="autoZero"/>
        <c:auto val="0"/>
        <c:lblAlgn val="ctr"/>
        <c:lblOffset val="100"/>
        <c:noMultiLvlLbl val="0"/>
      </c:catAx>
      <c:valAx>
        <c:axId val="366739856"/>
        <c:scaling>
          <c:orientation val="minMax"/>
        </c:scaling>
        <c:delete val="1"/>
        <c:axPos val="l"/>
        <c:numFmt formatCode="0.00%" sourceLinked="1"/>
        <c:majorTickMark val="out"/>
        <c:minorTickMark val="none"/>
        <c:tickLblPos val="nextTo"/>
        <c:crossAx val="366739464"/>
        <c:crosses val="autoZero"/>
        <c:crossBetween val="between"/>
      </c:valAx>
    </c:plotArea>
    <c:legend>
      <c:legendPos val="b"/>
      <c:layout>
        <c:manualLayout>
          <c:xMode val="edge"/>
          <c:yMode val="edge"/>
          <c:x val="0.20835938293435474"/>
          <c:y val="0.11158943443290446"/>
          <c:w val="0.60357750153025747"/>
          <c:h val="5.3818178830932512E-2"/>
        </c:manualLayout>
      </c:layout>
      <c:overlay val="0"/>
      <c:txPr>
        <a:bodyPr/>
        <a:lstStyle/>
        <a:p>
          <a:pPr>
            <a:defRPr lang="en-US" sz="1600"/>
          </a:pPr>
          <a:endParaRPr lang="es-ES"/>
        </a:p>
      </c:txPr>
    </c:legend>
    <c:plotVisOnly val="1"/>
    <c:dispBlanksAs val="gap"/>
    <c:showDLblsOverMax val="0"/>
  </c:chart>
  <c:spPr>
    <a:ln>
      <a:noFill/>
    </a:ln>
  </c:spPr>
  <c:printSettings>
    <c:headerFooter/>
    <c:pageMargins b="0.75000000000001565" l="0.70000000000000095" r="0.70000000000000095" t="0.75000000000001565" header="0.30000000000000032" footer="0.30000000000000032"/>
    <c:pageSetup orientation="landscape"/>
  </c:printSettings>
  <c:userShapes r:id="rId1"/>
</c:chartSpace>
</file>

<file path=xl/charts/chart6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a:t>Seguro de Vejez, Discapacidad y Sobrevivencia (SVDS)</a:t>
            </a:r>
          </a:p>
          <a:p>
            <a:pPr>
              <a:defRPr/>
            </a:pPr>
            <a:r>
              <a:rPr lang="es-DO"/>
              <a:t>Rentabilidad Promedio  de los Fondos de Pensiones</a:t>
            </a:r>
          </a:p>
        </c:rich>
      </c:tx>
      <c:layout>
        <c:manualLayout>
          <c:xMode val="edge"/>
          <c:yMode val="edge"/>
          <c:x val="0.33287392365703933"/>
          <c:y val="2.3006124234470692E-2"/>
        </c:manualLayout>
      </c:layout>
      <c:overlay val="1"/>
    </c:title>
    <c:autoTitleDeleted val="0"/>
    <c:plotArea>
      <c:layout>
        <c:manualLayout>
          <c:layoutTarget val="inner"/>
          <c:xMode val="edge"/>
          <c:yMode val="edge"/>
          <c:x val="3.8926601821831101E-2"/>
          <c:y val="0.17884828787128951"/>
          <c:w val="0.93956597190057123"/>
          <c:h val="0.73002834080936529"/>
        </c:manualLayout>
      </c:layout>
      <c:lineChart>
        <c:grouping val="standard"/>
        <c:varyColors val="0"/>
        <c:ser>
          <c:idx val="1"/>
          <c:order val="0"/>
          <c:tx>
            <c:strRef>
              <c:f>'IV.3.9.Rentab.Real'!$B$4</c:f>
              <c:strCache>
                <c:ptCount val="1"/>
                <c:pt idx="0">
                  <c:v>Rentabilidad Nominal</c:v>
                </c:pt>
              </c:strCache>
            </c:strRef>
          </c:tx>
          <c:spPr>
            <a:ln>
              <a:solidFill>
                <a:srgbClr val="0070C0"/>
              </a:solidFill>
            </a:ln>
          </c:spPr>
          <c:marker>
            <c:spPr>
              <a:solidFill>
                <a:srgbClr val="0070C0"/>
              </a:solidFill>
              <a:ln>
                <a:solidFill>
                  <a:srgbClr val="0070C0"/>
                </a:solidFill>
              </a:ln>
            </c:spPr>
          </c:marker>
          <c:dLbls>
            <c:dLbl>
              <c:idx val="0"/>
              <c:layout>
                <c:manualLayout>
                  <c:x val="-4.7457473474192463E-2"/>
                  <c:y val="-2.726615642918794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9.8798122201776695E-3"/>
                  <c:y val="-2.960410571895112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2.2356686183457868E-2"/>
                  <c:y val="-3.676958079897808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3.2733016726090899E-2"/>
                  <c:y val="-2.818759448494967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3.4234240011813993E-2"/>
                  <c:y val="-3.742439732541365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3.317535421221203E-2"/>
                  <c:y val="-2.388451641015284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2.8751973650583761E-2"/>
                  <c:y val="-2.388451641015284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2.9857818790990826E-2"/>
                  <c:y val="-2.38845164101529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3.0963663931397895E-2"/>
                  <c:y val="-2.755905739633013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2.7646128510176692E-2"/>
                  <c:y val="-3.123359838250756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1.2164296544477583E-2"/>
                  <c:y val="-2.999109259118695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1.9288173582087211E-2"/>
                  <c:y val="-3.622920658173434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2"/>
              <c:layout>
                <c:manualLayout>
                  <c:x val="-1.8911402226605197E-2"/>
                  <c:y val="-3.643123600788510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3"/>
              <c:layout>
                <c:manualLayout>
                  <c:x val="-8.8994834007553869E-3"/>
                  <c:y val="-3.7619969193096091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'IV.3.9.Rentab.Real'!$A$5:$A$17</c:f>
              <c:numCache>
                <c:formatCode>mmm\-yy</c:formatCode>
                <c:ptCount val="13"/>
                <c:pt idx="0">
                  <c:v>37956</c:v>
                </c:pt>
                <c:pt idx="1">
                  <c:v>38322</c:v>
                </c:pt>
                <c:pt idx="2">
                  <c:v>38687</c:v>
                </c:pt>
                <c:pt idx="3">
                  <c:v>39052</c:v>
                </c:pt>
                <c:pt idx="4">
                  <c:v>39417</c:v>
                </c:pt>
                <c:pt idx="5">
                  <c:v>39783</c:v>
                </c:pt>
                <c:pt idx="6">
                  <c:v>40148</c:v>
                </c:pt>
                <c:pt idx="7">
                  <c:v>40513</c:v>
                </c:pt>
                <c:pt idx="8">
                  <c:v>40878</c:v>
                </c:pt>
                <c:pt idx="9">
                  <c:v>41244</c:v>
                </c:pt>
                <c:pt idx="10">
                  <c:v>41609</c:v>
                </c:pt>
                <c:pt idx="11">
                  <c:v>41974</c:v>
                </c:pt>
                <c:pt idx="12">
                  <c:v>42323</c:v>
                </c:pt>
              </c:numCache>
            </c:numRef>
          </c:cat>
          <c:val>
            <c:numRef>
              <c:f>'IV.3.9.Rentab.Real'!$B$5:$B$17</c:f>
              <c:numCache>
                <c:formatCode>0.00%</c:formatCode>
                <c:ptCount val="13"/>
                <c:pt idx="0">
                  <c:v>0.23569999999999999</c:v>
                </c:pt>
                <c:pt idx="1">
                  <c:v>0.2384</c:v>
                </c:pt>
                <c:pt idx="2">
                  <c:v>0.1696</c:v>
                </c:pt>
                <c:pt idx="3">
                  <c:v>0.1148</c:v>
                </c:pt>
                <c:pt idx="4">
                  <c:v>8.4400000000000003E-2</c:v>
                </c:pt>
                <c:pt idx="5">
                  <c:v>0.13009999999999999</c:v>
                </c:pt>
                <c:pt idx="6">
                  <c:v>0.14330000000000001</c:v>
                </c:pt>
                <c:pt idx="7">
                  <c:v>0.11057333531076501</c:v>
                </c:pt>
                <c:pt idx="8">
                  <c:v>0.12659999999999999</c:v>
                </c:pt>
                <c:pt idx="9">
                  <c:v>0.1454</c:v>
                </c:pt>
                <c:pt idx="10">
                  <c:v>0.133732017269869</c:v>
                </c:pt>
                <c:pt idx="11">
                  <c:v>0.12479999999999999</c:v>
                </c:pt>
                <c:pt idx="12">
                  <c:v>0.11260000000000001</c:v>
                </c:pt>
              </c:numCache>
            </c:numRef>
          </c:val>
          <c:smooth val="0"/>
        </c:ser>
        <c:ser>
          <c:idx val="2"/>
          <c:order val="1"/>
          <c:tx>
            <c:strRef>
              <c:f>'IV.3.9.Rentab.Real'!$D$4</c:f>
              <c:strCache>
                <c:ptCount val="1"/>
                <c:pt idx="0">
                  <c:v>Rentabilidad Real</c:v>
                </c:pt>
              </c:strCache>
            </c:strRef>
          </c:tx>
          <c:dLbls>
            <c:dLbl>
              <c:idx val="0"/>
              <c:layout>
                <c:manualLayout>
                  <c:x val="-2.7203790927764725E-2"/>
                  <c:y val="-2.249447398648862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2.6540283369769626E-2"/>
                  <c:y val="3.123359838250756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6688942728312839E-2"/>
                  <c:y val="-1.897706832820373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2164296544477744E-2"/>
                  <c:y val="-1.286089345162076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7.7409159828494738E-3"/>
                  <c:y val="-1.8372704930886804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4.423380561628271E-3"/>
                  <c:y val="9.186352465443400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6587677106106015E-2"/>
                  <c:y val="-1.469816394470944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7.7409159828494738E-3"/>
                  <c:y val="1.837270493088673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2.1011057667734288E-2"/>
                  <c:y val="2.204724591706409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1.879936738692015E-2"/>
                  <c:y val="2.20472459170642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2.5492320777780478E-2"/>
                  <c:y val="2.756068629826899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2.3277908287485386E-2"/>
                  <c:y val="2.587800470123871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2"/>
              <c:layout>
                <c:manualLayout>
                  <c:x val="-1.1124354250944234E-2"/>
                  <c:y val="1.9705698148764619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600">
                    <a:solidFill>
                      <a:schemeClr val="accent3">
                        <a:lumMod val="5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'IV.3.9.Rentab.Real'!$A$5:$A$17</c:f>
              <c:numCache>
                <c:formatCode>mmm\-yy</c:formatCode>
                <c:ptCount val="13"/>
                <c:pt idx="0">
                  <c:v>37956</c:v>
                </c:pt>
                <c:pt idx="1">
                  <c:v>38322</c:v>
                </c:pt>
                <c:pt idx="2">
                  <c:v>38687</c:v>
                </c:pt>
                <c:pt idx="3">
                  <c:v>39052</c:v>
                </c:pt>
                <c:pt idx="4">
                  <c:v>39417</c:v>
                </c:pt>
                <c:pt idx="5">
                  <c:v>39783</c:v>
                </c:pt>
                <c:pt idx="6">
                  <c:v>40148</c:v>
                </c:pt>
                <c:pt idx="7">
                  <c:v>40513</c:v>
                </c:pt>
                <c:pt idx="8">
                  <c:v>40878</c:v>
                </c:pt>
                <c:pt idx="9">
                  <c:v>41244</c:v>
                </c:pt>
                <c:pt idx="10">
                  <c:v>41609</c:v>
                </c:pt>
                <c:pt idx="11">
                  <c:v>41974</c:v>
                </c:pt>
                <c:pt idx="12">
                  <c:v>42323</c:v>
                </c:pt>
              </c:numCache>
            </c:numRef>
          </c:cat>
          <c:val>
            <c:numRef>
              <c:f>'IV.3.9.Rentab.Real'!$D$5:$D$17</c:f>
              <c:numCache>
                <c:formatCode>0.00%</c:formatCode>
                <c:ptCount val="13"/>
                <c:pt idx="0">
                  <c:v>-0.19085027092113202</c:v>
                </c:pt>
                <c:pt idx="1">
                  <c:v>-4.9002405570795549E-2</c:v>
                </c:pt>
                <c:pt idx="2">
                  <c:v>9.522694640222909E-2</c:v>
                </c:pt>
                <c:pt idx="3">
                  <c:v>6.4798092986002573E-2</c:v>
                </c:pt>
                <c:pt idx="4">
                  <c:v>-4.3758808572467445E-3</c:v>
                </c:pt>
                <c:pt idx="5">
                  <c:v>8.4927517181557444E-2</c:v>
                </c:pt>
                <c:pt idx="6">
                  <c:v>8.5651889683350496E-2</c:v>
                </c:pt>
                <c:pt idx="7">
                  <c:v>4.8190284667920788E-2</c:v>
                </c:pt>
                <c:pt idx="8">
                  <c:v>4.8999999999999988E-2</c:v>
                </c:pt>
                <c:pt idx="9">
                  <c:v>0.10630000000000001</c:v>
                </c:pt>
                <c:pt idx="10">
                  <c:v>9.4932017269868996E-2</c:v>
                </c:pt>
                <c:pt idx="11">
                  <c:v>0.10899999999999999</c:v>
                </c:pt>
                <c:pt idx="12">
                  <c:v>9.7200000000000009E-2</c:v>
                </c:pt>
              </c:numCache>
            </c:numRef>
          </c:val>
          <c:smooth val="0"/>
        </c:ser>
        <c:ser>
          <c:idx val="0"/>
          <c:order val="2"/>
          <c:tx>
            <c:strRef>
              <c:f>'IV.3.9.Rentab.Real'!$C$4</c:f>
              <c:strCache>
                <c:ptCount val="1"/>
                <c:pt idx="0">
                  <c:v>Inflación Acumulada </c:v>
                </c:pt>
              </c:strCache>
            </c:strRef>
          </c:tx>
          <c:spPr>
            <a:ln>
              <a:solidFill>
                <a:srgbClr val="C00000"/>
              </a:solidFill>
            </a:ln>
          </c:spPr>
          <c:marker>
            <c:spPr>
              <a:solidFill>
                <a:srgbClr val="FF0000"/>
              </a:solidFill>
              <a:ln>
                <a:solidFill>
                  <a:srgbClr val="C00000"/>
                </a:solidFill>
              </a:ln>
            </c:spPr>
          </c:marker>
          <c:dLbls>
            <c:dLbl>
              <c:idx val="0"/>
              <c:layout>
                <c:manualLayout>
                  <c:x val="-4.0916270907613621E-2"/>
                  <c:y val="1.9865485221275639E-2"/>
                </c:manualLayout>
              </c:layout>
              <c:showLegendKey val="0"/>
              <c:showVal val="1"/>
              <c:showCatName val="0"/>
              <c:showSerName val="0"/>
              <c:showPercent val="0"/>
              <c:showBubbleSize val="0"/>
              <c:extLst>
                <c:ext xmlns:c15="http://schemas.microsoft.com/office/drawing/2012/chart" uri="{CE6537A1-D6FC-4f65-9D91-7224C49458BB}">
                  <c15:layout>
                    <c:manualLayout>
                      <c:w val="4.0527013411411461E-2"/>
                      <c:h val="2.6910087254626205E-2"/>
                    </c:manualLayout>
                  </c15:layout>
                </c:ext>
              </c:extLst>
            </c:dLbl>
            <c:dLbl>
              <c:idx val="1"/>
              <c:layout>
                <c:manualLayout>
                  <c:x val="-1.2164296544477744E-2"/>
                  <c:y val="-3.490813936868492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2.2015613432936267E-2"/>
                  <c:y val="2.037085542942990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2.7646128510176692E-2"/>
                  <c:y val="2.388451641015284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2.9847497026785318E-2"/>
                  <c:y val="2.992873388244638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2.4328593088955488E-2"/>
                  <c:y val="1.469816394470944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2.4328593088955488E-2"/>
                  <c:y val="2.388451641015284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2.309332644894798E-2"/>
                  <c:y val="-1.977983166736372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2.539272304007234E-2"/>
                  <c:y val="-1.977075925727954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8.846761123256542E-3"/>
                  <c:y val="1.466914331215472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2.4646083952323955E-2"/>
                  <c:y val="2.694409698940319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2.4837337640487248E-2"/>
                  <c:y val="1.226655939586684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2"/>
              <c:layout>
                <c:manualLayout>
                  <c:x val="-2.6540283831965591E-2"/>
                  <c:y val="1.467749318487544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3"/>
              <c:layout>
                <c:manualLayout>
                  <c:x val="-1.8543046357615896E-2"/>
                  <c:y val="-2.1406726454174203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600">
                    <a:solidFill>
                      <a:srgbClr val="C0000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'IV.3.9.Rentab.Real'!$A$5:$A$17</c:f>
              <c:numCache>
                <c:formatCode>mmm\-yy</c:formatCode>
                <c:ptCount val="13"/>
                <c:pt idx="0">
                  <c:v>37956</c:v>
                </c:pt>
                <c:pt idx="1">
                  <c:v>38322</c:v>
                </c:pt>
                <c:pt idx="2">
                  <c:v>38687</c:v>
                </c:pt>
                <c:pt idx="3">
                  <c:v>39052</c:v>
                </c:pt>
                <c:pt idx="4">
                  <c:v>39417</c:v>
                </c:pt>
                <c:pt idx="5">
                  <c:v>39783</c:v>
                </c:pt>
                <c:pt idx="6">
                  <c:v>40148</c:v>
                </c:pt>
                <c:pt idx="7">
                  <c:v>40513</c:v>
                </c:pt>
                <c:pt idx="8">
                  <c:v>40878</c:v>
                </c:pt>
                <c:pt idx="9">
                  <c:v>41244</c:v>
                </c:pt>
                <c:pt idx="10">
                  <c:v>41609</c:v>
                </c:pt>
                <c:pt idx="11">
                  <c:v>41974</c:v>
                </c:pt>
                <c:pt idx="12">
                  <c:v>42323</c:v>
                </c:pt>
              </c:numCache>
            </c:numRef>
          </c:cat>
          <c:val>
            <c:numRef>
              <c:f>'IV.3.9.Rentab.Real'!$C$5:$C$17</c:f>
              <c:numCache>
                <c:formatCode>0.00%</c:formatCode>
                <c:ptCount val="13"/>
                <c:pt idx="0">
                  <c:v>0.42655027092113201</c:v>
                </c:pt>
                <c:pt idx="1">
                  <c:v>0.28740240557079555</c:v>
                </c:pt>
                <c:pt idx="2">
                  <c:v>7.4373053597770911E-2</c:v>
                </c:pt>
                <c:pt idx="3">
                  <c:v>5.0001907013997426E-2</c:v>
                </c:pt>
                <c:pt idx="4">
                  <c:v>8.8775880857246747E-2</c:v>
                </c:pt>
                <c:pt idx="5">
                  <c:v>4.517248281844255E-2</c:v>
                </c:pt>
                <c:pt idx="6">
                  <c:v>5.7648110316649515E-2</c:v>
                </c:pt>
                <c:pt idx="7">
                  <c:v>6.2383050642844218E-2</c:v>
                </c:pt>
                <c:pt idx="8">
                  <c:v>7.7600000000000002E-2</c:v>
                </c:pt>
                <c:pt idx="9">
                  <c:v>3.9100000000000003E-2</c:v>
                </c:pt>
                <c:pt idx="10">
                  <c:v>3.8800000000000001E-2</c:v>
                </c:pt>
                <c:pt idx="11">
                  <c:v>1.5800000000000002E-2</c:v>
                </c:pt>
                <c:pt idx="12">
                  <c:v>1.54E-2</c:v>
                </c:pt>
              </c:numCache>
            </c:numRef>
          </c:val>
          <c:smooth val="0"/>
        </c:ser>
        <c:dLbls>
          <c:showLegendKey val="0"/>
          <c:showVal val="0"/>
          <c:showCatName val="0"/>
          <c:showSerName val="0"/>
          <c:showPercent val="0"/>
          <c:showBubbleSize val="0"/>
        </c:dLbls>
        <c:marker val="1"/>
        <c:smooth val="0"/>
        <c:axId val="366740248"/>
        <c:axId val="366740640"/>
      </c:lineChart>
      <c:catAx>
        <c:axId val="366740248"/>
        <c:scaling>
          <c:orientation val="minMax"/>
        </c:scaling>
        <c:delete val="0"/>
        <c:axPos val="b"/>
        <c:numFmt formatCode="mmm\-yy" sourceLinked="1"/>
        <c:majorTickMark val="none"/>
        <c:minorTickMark val="none"/>
        <c:tickLblPos val="nextTo"/>
        <c:txPr>
          <a:bodyPr rot="-2700000" vert="horz"/>
          <a:lstStyle/>
          <a:p>
            <a:pPr>
              <a:defRPr lang="en-US" sz="1800"/>
            </a:pPr>
            <a:endParaRPr lang="es-ES"/>
          </a:p>
        </c:txPr>
        <c:crossAx val="366740640"/>
        <c:crosses val="autoZero"/>
        <c:auto val="0"/>
        <c:lblAlgn val="ctr"/>
        <c:lblOffset val="100"/>
        <c:noMultiLvlLbl val="0"/>
      </c:catAx>
      <c:valAx>
        <c:axId val="366740640"/>
        <c:scaling>
          <c:orientation val="minMax"/>
        </c:scaling>
        <c:delete val="1"/>
        <c:axPos val="l"/>
        <c:numFmt formatCode="0.00%" sourceLinked="1"/>
        <c:majorTickMark val="out"/>
        <c:minorTickMark val="none"/>
        <c:tickLblPos val="nextTo"/>
        <c:crossAx val="366740248"/>
        <c:crosses val="autoZero"/>
        <c:crossBetween val="between"/>
      </c:valAx>
    </c:plotArea>
    <c:legend>
      <c:legendPos val="b"/>
      <c:layout>
        <c:manualLayout>
          <c:xMode val="edge"/>
          <c:yMode val="edge"/>
          <c:x val="0.107073031496063"/>
          <c:y val="0.1033180497424014"/>
          <c:w val="0.7970097599105711"/>
          <c:h val="4.6546596941045897E-2"/>
        </c:manualLayout>
      </c:layout>
      <c:overlay val="0"/>
      <c:txPr>
        <a:bodyPr/>
        <a:lstStyle/>
        <a:p>
          <a:pPr>
            <a:defRPr lang="en-US" sz="1600"/>
          </a:pPr>
          <a:endParaRPr lang="es-ES"/>
        </a:p>
      </c:txPr>
    </c:legend>
    <c:plotVisOnly val="1"/>
    <c:dispBlanksAs val="gap"/>
    <c:showDLblsOverMax val="0"/>
  </c:chart>
  <c:spPr>
    <a:ln>
      <a:noFill/>
    </a:ln>
  </c:spPr>
  <c:printSettings>
    <c:headerFooter/>
    <c:pageMargins b="0.75000000000001565" l="0.70000000000000095" r="0.70000000000000095" t="0.75000000000001565" header="0.30000000000000032" footer="0.30000000000000032"/>
    <c:pageSetup orientation="landscape"/>
  </c:printSettings>
  <c:userShapes r:id="rId1"/>
</c:chartSpace>
</file>

<file path=xl/charts/chart6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s-ES" sz="2000"/>
              <a:t>Dispersión</a:t>
            </a:r>
            <a:r>
              <a:rPr lang="es-ES" sz="2000" baseline="0"/>
              <a:t> Anual al SRL por Cuentas</a:t>
            </a:r>
          </a:p>
          <a:p>
            <a:pPr>
              <a:defRPr sz="2000"/>
            </a:pPr>
            <a:r>
              <a:rPr lang="es-ES" sz="1600" baseline="0"/>
              <a:t>(Millones RD$)</a:t>
            </a:r>
            <a:endParaRPr lang="es-ES" sz="1600"/>
          </a:p>
        </c:rich>
      </c:tx>
      <c:layout>
        <c:manualLayout>
          <c:xMode val="edge"/>
          <c:yMode val="edge"/>
          <c:x val="0.33632285342295559"/>
          <c:y val="1.1136539054790194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8.8608730067650077E-2"/>
          <c:y val="0.2168245555112214"/>
          <c:w val="0.87046738583497385"/>
          <c:h val="0.65122293614350668"/>
        </c:manualLayout>
      </c:layout>
      <c:bar3DChart>
        <c:barDir val="col"/>
        <c:grouping val="clustered"/>
        <c:varyColors val="0"/>
        <c:ser>
          <c:idx val="0"/>
          <c:order val="0"/>
          <c:tx>
            <c:strRef>
              <c:f>'IV.4.2.Pagos ARL A'!$B$4</c:f>
              <c:strCache>
                <c:ptCount val="1"/>
                <c:pt idx="0">
                  <c:v> ARL Salud Segura</c:v>
                </c:pt>
              </c:strCache>
            </c:strRef>
          </c:tx>
          <c:spPr>
            <a:solidFill>
              <a:srgbClr val="0070C0"/>
            </a:solidFill>
          </c:spPr>
          <c:invertIfNegative val="0"/>
          <c:dLbls>
            <c:dLbl>
              <c:idx val="0"/>
              <c:layout>
                <c:manualLayout>
                  <c:x val="3.3378676352381754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4.450490180317567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5.5631127253969997E-3"/>
                  <c:y val="-2.29516509917733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4.450490180317567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3.3378676352381754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4.4504901803174854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4.450490180317567E-3"/>
                  <c:y val="-2.29516509917733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5.5631127253969589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5.5631127253969589E-3"/>
                  <c:y val="-2.295165099177337E-3"/>
                </c:manualLayout>
              </c:layout>
              <c:spPr/>
              <c:txPr>
                <a:bodyPr rot="-5400000" vert="horz"/>
                <a:lstStyle/>
                <a:p>
                  <a:pPr>
                    <a:defRPr lang="en-US" sz="1400" b="0">
                      <a:solidFill>
                        <a:sysClr val="windowText" lastClr="000000"/>
                      </a:solidFill>
                    </a:defRPr>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10"/>
              <c:spPr/>
              <c:txPr>
                <a:bodyPr rot="-5400000" vert="horz"/>
                <a:lstStyle/>
                <a:p>
                  <a:pPr>
                    <a:defRPr lang="en-US" sz="1400" b="1"/>
                  </a:pPr>
                  <a:endParaRPr lang="es-ES"/>
                </a:p>
              </c:txPr>
              <c:showLegendKey val="0"/>
              <c:showVal val="1"/>
              <c:showCatName val="0"/>
              <c:showSerName val="0"/>
              <c:showPercent val="0"/>
              <c:showBubbleSize val="0"/>
            </c:dLbl>
            <c:spPr>
              <a:noFill/>
              <a:ln>
                <a:noFill/>
              </a:ln>
              <a:effectLst/>
            </c:spPr>
            <c:txPr>
              <a:bodyPr rot="-5400000" vert="horz"/>
              <a:lstStyle/>
              <a:p>
                <a:pPr>
                  <a:defRPr lang="en-US" sz="1400" b="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'IV.4.2.Pagos ARL A'!$A$5:$A$15</c:f>
              <c:strCache>
                <c:ptCount val="11"/>
                <c:pt idx="0">
                  <c:v>2005</c:v>
                </c:pt>
                <c:pt idx="1">
                  <c:v>2006</c:v>
                </c:pt>
                <c:pt idx="2">
                  <c:v>2007</c:v>
                </c:pt>
                <c:pt idx="3">
                  <c:v>2008</c:v>
                </c:pt>
                <c:pt idx="4">
                  <c:v>2009</c:v>
                </c:pt>
                <c:pt idx="5">
                  <c:v>2010</c:v>
                </c:pt>
                <c:pt idx="6">
                  <c:v>2011</c:v>
                </c:pt>
                <c:pt idx="7">
                  <c:v>2012</c:v>
                </c:pt>
                <c:pt idx="8">
                  <c:v>2013</c:v>
                </c:pt>
                <c:pt idx="9">
                  <c:v>2014</c:v>
                </c:pt>
                <c:pt idx="10">
                  <c:v>Ene-Nov.15</c:v>
                </c:pt>
              </c:strCache>
            </c:strRef>
          </c:cat>
          <c:val>
            <c:numRef>
              <c:f>'IV.4.2.Pagos ARL A'!$B$5:$B$15</c:f>
              <c:numCache>
                <c:formatCode>_(* #,##0.00_);_(* \(#,##0.00\);_(* "-"??_);_(@_)</c:formatCode>
                <c:ptCount val="11"/>
                <c:pt idx="0">
                  <c:v>1182369144.5599999</c:v>
                </c:pt>
                <c:pt idx="1">
                  <c:v>1292735922.04</c:v>
                </c:pt>
                <c:pt idx="2">
                  <c:v>1635826213.1600001</c:v>
                </c:pt>
                <c:pt idx="3">
                  <c:v>1581393650.8599999</c:v>
                </c:pt>
                <c:pt idx="4">
                  <c:v>1687099942.1400001</c:v>
                </c:pt>
                <c:pt idx="5">
                  <c:v>1922473262.4300001</c:v>
                </c:pt>
                <c:pt idx="6">
                  <c:v>2175109581.8400002</c:v>
                </c:pt>
                <c:pt idx="7">
                  <c:v>2411674911.5</c:v>
                </c:pt>
                <c:pt idx="8">
                  <c:v>2663186569.8199997</c:v>
                </c:pt>
                <c:pt idx="9">
                  <c:v>3005088863.5</c:v>
                </c:pt>
                <c:pt idx="10">
                  <c:v>3075446234.2800002</c:v>
                </c:pt>
              </c:numCache>
            </c:numRef>
          </c:val>
        </c:ser>
        <c:ser>
          <c:idx val="1"/>
          <c:order val="1"/>
          <c:tx>
            <c:strRef>
              <c:f>'IV.4.2.Pagos ARL A'!$D$4</c:f>
              <c:strCache>
                <c:ptCount val="1"/>
                <c:pt idx="0">
                  <c:v>SISALRIL</c:v>
                </c:pt>
              </c:strCache>
            </c:strRef>
          </c:tx>
          <c:spPr>
            <a:solidFill>
              <a:srgbClr val="00B050"/>
            </a:solidFill>
          </c:spPr>
          <c:invertIfNegative val="0"/>
          <c:dLbls>
            <c:dLbl>
              <c:idx val="6"/>
              <c:spPr/>
              <c:txPr>
                <a:bodyPr rot="-5400000" vert="horz"/>
                <a:lstStyle/>
                <a:p>
                  <a:pPr>
                    <a:defRPr lang="en-US" sz="1400" b="0"/>
                  </a:pPr>
                  <a:endParaRPr lang="es-ES"/>
                </a:p>
              </c:txPr>
              <c:showLegendKey val="0"/>
              <c:showVal val="1"/>
              <c:showCatName val="0"/>
              <c:showSerName val="0"/>
              <c:showPercent val="0"/>
              <c:showBubbleSize val="0"/>
            </c:dLbl>
            <c:dLbl>
              <c:idx val="7"/>
              <c:spPr/>
              <c:txPr>
                <a:bodyPr rot="-5400000" vert="horz"/>
                <a:lstStyle/>
                <a:p>
                  <a:pPr>
                    <a:defRPr lang="en-US" sz="1400" b="0"/>
                  </a:pPr>
                  <a:endParaRPr lang="es-ES"/>
                </a:p>
              </c:txPr>
              <c:showLegendKey val="0"/>
              <c:showVal val="1"/>
              <c:showCatName val="0"/>
              <c:showSerName val="0"/>
              <c:showPercent val="0"/>
              <c:showBubbleSize val="0"/>
            </c:dLbl>
            <c:dLbl>
              <c:idx val="8"/>
              <c:layout>
                <c:manualLayout>
                  <c:x val="5.5631127253967958E-3"/>
                  <c:y val="-1.3770990595064021E-2"/>
                </c:manualLayout>
              </c:layout>
              <c:spPr/>
              <c:txPr>
                <a:bodyPr rot="-5400000" vert="horz"/>
                <a:lstStyle/>
                <a:p>
                  <a:pPr>
                    <a:defRPr lang="en-US" sz="1400" b="0">
                      <a:solidFill>
                        <a:sysClr val="windowText" lastClr="000000"/>
                      </a:solidFill>
                    </a:defRPr>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10"/>
              <c:spPr/>
              <c:txPr>
                <a:bodyPr rot="-5400000" vert="horz"/>
                <a:lstStyle/>
                <a:p>
                  <a:pPr>
                    <a:defRPr lang="en-US" sz="1400" b="1"/>
                  </a:pPr>
                  <a:endParaRPr lang="es-ES"/>
                </a:p>
              </c:txPr>
              <c:showLegendKey val="0"/>
              <c:showVal val="1"/>
              <c:showCatName val="0"/>
              <c:showSerName val="0"/>
              <c:showPercent val="0"/>
              <c:showBubbleSize val="0"/>
            </c:dLbl>
            <c:spPr>
              <a:noFill/>
              <a:ln>
                <a:noFill/>
              </a:ln>
              <a:effectLst/>
            </c:spPr>
            <c:txPr>
              <a:bodyPr rot="-5400000" vert="horz"/>
              <a:lstStyle/>
              <a:p>
                <a:pPr>
                  <a:defRPr lang="en-US"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'IV.4.2.Pagos ARL A'!$A$5:$A$15</c:f>
              <c:strCache>
                <c:ptCount val="11"/>
                <c:pt idx="0">
                  <c:v>2005</c:v>
                </c:pt>
                <c:pt idx="1">
                  <c:v>2006</c:v>
                </c:pt>
                <c:pt idx="2">
                  <c:v>2007</c:v>
                </c:pt>
                <c:pt idx="3">
                  <c:v>2008</c:v>
                </c:pt>
                <c:pt idx="4">
                  <c:v>2009</c:v>
                </c:pt>
                <c:pt idx="5">
                  <c:v>2010</c:v>
                </c:pt>
                <c:pt idx="6">
                  <c:v>2011</c:v>
                </c:pt>
                <c:pt idx="7">
                  <c:v>2012</c:v>
                </c:pt>
                <c:pt idx="8">
                  <c:v>2013</c:v>
                </c:pt>
                <c:pt idx="9">
                  <c:v>2014</c:v>
                </c:pt>
                <c:pt idx="10">
                  <c:v>Ene-Nov.15</c:v>
                </c:pt>
              </c:strCache>
            </c:strRef>
          </c:cat>
          <c:val>
            <c:numRef>
              <c:f>'IV.4.2.Pagos ARL A'!$D$5:$D$15</c:f>
              <c:numCache>
                <c:formatCode>_(* #,##0.00_);_(* \(#,##0.00\);_(* "-"??_);_(@_)</c:formatCode>
                <c:ptCount val="11"/>
                <c:pt idx="0">
                  <c:v>45221952.840000004</c:v>
                </c:pt>
                <c:pt idx="1">
                  <c:v>53017895.640000001</c:v>
                </c:pt>
                <c:pt idx="2">
                  <c:v>70883463.600000009</c:v>
                </c:pt>
                <c:pt idx="3">
                  <c:v>68964104.809999987</c:v>
                </c:pt>
                <c:pt idx="4">
                  <c:v>73407508.640000001</c:v>
                </c:pt>
                <c:pt idx="5">
                  <c:v>83809693.36999999</c:v>
                </c:pt>
                <c:pt idx="6">
                  <c:v>94554070.570000008</c:v>
                </c:pt>
                <c:pt idx="7">
                  <c:v>104789518.08999999</c:v>
                </c:pt>
                <c:pt idx="8">
                  <c:v>115834844.37000003</c:v>
                </c:pt>
                <c:pt idx="9">
                  <c:v>131454109.10000002</c:v>
                </c:pt>
                <c:pt idx="10">
                  <c:v>133329096.23999999</c:v>
                </c:pt>
              </c:numCache>
            </c:numRef>
          </c:val>
        </c:ser>
        <c:ser>
          <c:idx val="2"/>
          <c:order val="2"/>
          <c:tx>
            <c:strRef>
              <c:f>'IV.4.2.Pagos ARL A'!$F$4</c:f>
              <c:strCache>
                <c:ptCount val="1"/>
                <c:pt idx="0">
                  <c:v>FSS (SRL)</c:v>
                </c:pt>
              </c:strCache>
            </c:strRef>
          </c:tx>
          <c:spPr>
            <a:solidFill>
              <a:schemeClr val="accent3">
                <a:lumMod val="75000"/>
              </a:schemeClr>
            </a:solidFill>
          </c:spPr>
          <c:invertIfNegative val="0"/>
          <c:dLbls>
            <c:dLbl>
              <c:idx val="6"/>
              <c:layout>
                <c:manualLayout>
                  <c:x val="3.4796093421257152E-3"/>
                  <c:y val="-8.9402746447939524E-3"/>
                </c:manualLayout>
              </c:layout>
              <c:spPr/>
              <c:txPr>
                <a:bodyPr rot="-5400000" vert="horz"/>
                <a:lstStyle/>
                <a:p>
                  <a:pPr>
                    <a:defRPr lang="en-US" sz="1400" b="0">
                      <a:solidFill>
                        <a:sysClr val="windowText" lastClr="000000"/>
                      </a:solidFill>
                    </a:defRPr>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7"/>
              <c:spPr/>
              <c:txPr>
                <a:bodyPr rot="-5400000" vert="horz"/>
                <a:lstStyle/>
                <a:p>
                  <a:pPr>
                    <a:defRPr lang="en-US" sz="1400" b="0">
                      <a:solidFill>
                        <a:sysClr val="windowText" lastClr="000000"/>
                      </a:solidFill>
                    </a:defRPr>
                  </a:pPr>
                  <a:endParaRPr lang="es-ES"/>
                </a:p>
              </c:txPr>
              <c:showLegendKey val="0"/>
              <c:showVal val="1"/>
              <c:showCatName val="0"/>
              <c:showSerName val="0"/>
              <c:showPercent val="0"/>
              <c:showBubbleSize val="0"/>
            </c:dLbl>
            <c:dLbl>
              <c:idx val="8"/>
              <c:layout>
                <c:manualLayout>
                  <c:x val="7.788357815555742E-3"/>
                  <c:y val="-6.8854952975320105E-3"/>
                </c:manualLayout>
              </c:layout>
              <c:spPr/>
              <c:txPr>
                <a:bodyPr rot="-5400000" vert="horz"/>
                <a:lstStyle/>
                <a:p>
                  <a:pPr>
                    <a:defRPr lang="en-US" sz="1400" b="0">
                      <a:solidFill>
                        <a:sysClr val="windowText" lastClr="000000"/>
                      </a:solidFill>
                    </a:defRPr>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4.6713571506339802E-3"/>
                  <c:y val="-1.4069577198126789E-2"/>
                </c:manualLayout>
              </c:layout>
              <c:spPr/>
              <c:txPr>
                <a:bodyPr rot="-5400000" vert="horz"/>
                <a:lstStyle/>
                <a:p>
                  <a:pPr>
                    <a:defRPr lang="en-US" sz="1400" b="1">
                      <a:solidFill>
                        <a:sysClr val="windowText" lastClr="000000"/>
                      </a:solidFill>
                    </a:defRPr>
                  </a:pPr>
                  <a:endParaRPr lang="es-ES"/>
                </a:p>
              </c:txPr>
              <c:showLegendKey val="0"/>
              <c:showVal val="1"/>
              <c:showCatName val="0"/>
              <c:showSerName val="0"/>
              <c:showPercent val="0"/>
              <c:showBubbleSize val="0"/>
              <c:extLst>
                <c:ext xmlns:c15="http://schemas.microsoft.com/office/drawing/2012/chart" uri="{CE6537A1-D6FC-4f65-9D91-7224C49458BB}">
                  <c15:layout>
                    <c:manualLayout>
                      <c:w val="5.4271827376065583E-2"/>
                      <c:h val="5.1623531349399857E-2"/>
                    </c:manualLayout>
                  </c15:layout>
                </c:ext>
              </c:extLst>
            </c:dLbl>
            <c:spPr>
              <a:noFill/>
              <a:ln>
                <a:noFill/>
              </a:ln>
              <a:effectLst/>
            </c:spPr>
            <c:txPr>
              <a:bodyPr rot="-5400000" vert="horz" wrap="square" lIns="38100" tIns="19050" rIns="38100" bIns="19050" anchor="ctr">
                <a:spAutoFit/>
              </a:bodyPr>
              <a:lstStyle/>
              <a:p>
                <a:pPr>
                  <a:defRPr lang="en-US" sz="1400">
                    <a:solidFill>
                      <a:sysClr val="windowText" lastClr="00000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'IV.4.2.Pagos ARL A'!$A$5:$A$15</c:f>
              <c:strCache>
                <c:ptCount val="11"/>
                <c:pt idx="0">
                  <c:v>2005</c:v>
                </c:pt>
                <c:pt idx="1">
                  <c:v>2006</c:v>
                </c:pt>
                <c:pt idx="2">
                  <c:v>2007</c:v>
                </c:pt>
                <c:pt idx="3">
                  <c:v>2008</c:v>
                </c:pt>
                <c:pt idx="4">
                  <c:v>2009</c:v>
                </c:pt>
                <c:pt idx="5">
                  <c:v>2010</c:v>
                </c:pt>
                <c:pt idx="6">
                  <c:v>2011</c:v>
                </c:pt>
                <c:pt idx="7">
                  <c:v>2012</c:v>
                </c:pt>
                <c:pt idx="8">
                  <c:v>2013</c:v>
                </c:pt>
                <c:pt idx="9">
                  <c:v>2014</c:v>
                </c:pt>
                <c:pt idx="10">
                  <c:v>Ene-Nov.15</c:v>
                </c:pt>
              </c:strCache>
            </c:strRef>
          </c:cat>
          <c:val>
            <c:numRef>
              <c:f>'IV.4.2.Pagos ARL A'!$F$5:$F$15</c:f>
              <c:numCache>
                <c:formatCode>_(* #,##0.00_);_(* \(#,##0.00\);_(* "-"??_);_(@_)</c:formatCode>
                <c:ptCount val="11"/>
                <c:pt idx="0">
                  <c:v>28812917.210000001</c:v>
                </c:pt>
                <c:pt idx="1">
                  <c:v>32700711.139999997</c:v>
                </c:pt>
                <c:pt idx="2">
                  <c:v>22880747.219999999</c:v>
                </c:pt>
                <c:pt idx="3">
                  <c:v>16186878.83</c:v>
                </c:pt>
                <c:pt idx="4">
                  <c:v>11097268.350000001</c:v>
                </c:pt>
                <c:pt idx="5">
                  <c:v>10909175.590000002</c:v>
                </c:pt>
                <c:pt idx="6">
                  <c:v>17436831.43</c:v>
                </c:pt>
                <c:pt idx="7">
                  <c:v>16509152.34</c:v>
                </c:pt>
                <c:pt idx="8">
                  <c:v>19107235.449999999</c:v>
                </c:pt>
                <c:pt idx="9">
                  <c:v>21081739.099999998</c:v>
                </c:pt>
                <c:pt idx="10">
                  <c:v>16807256.199999999</c:v>
                </c:pt>
              </c:numCache>
            </c:numRef>
          </c:val>
        </c:ser>
        <c:dLbls>
          <c:showLegendKey val="0"/>
          <c:showVal val="0"/>
          <c:showCatName val="0"/>
          <c:showSerName val="0"/>
          <c:showPercent val="0"/>
          <c:showBubbleSize val="0"/>
        </c:dLbls>
        <c:gapWidth val="75"/>
        <c:shape val="cylinder"/>
        <c:axId val="366725744"/>
        <c:axId val="366725352"/>
        <c:axId val="0"/>
      </c:bar3DChart>
      <c:catAx>
        <c:axId val="366725744"/>
        <c:scaling>
          <c:orientation val="minMax"/>
        </c:scaling>
        <c:delete val="0"/>
        <c:axPos val="b"/>
        <c:numFmt formatCode="General" sourceLinked="1"/>
        <c:majorTickMark val="none"/>
        <c:minorTickMark val="none"/>
        <c:tickLblPos val="nextTo"/>
        <c:txPr>
          <a:bodyPr/>
          <a:lstStyle/>
          <a:p>
            <a:pPr>
              <a:defRPr lang="en-US" sz="1200"/>
            </a:pPr>
            <a:endParaRPr lang="es-ES"/>
          </a:p>
        </c:txPr>
        <c:crossAx val="366725352"/>
        <c:crosses val="autoZero"/>
        <c:auto val="1"/>
        <c:lblAlgn val="ctr"/>
        <c:lblOffset val="100"/>
        <c:noMultiLvlLbl val="0"/>
      </c:catAx>
      <c:valAx>
        <c:axId val="366725352"/>
        <c:scaling>
          <c:orientation val="minMax"/>
        </c:scaling>
        <c:delete val="0"/>
        <c:axPos val="l"/>
        <c:numFmt formatCode="_(* #,##0.00_);_(* \(#,##0.00\);_(* &quot;-&quot;??_);_(@_)" sourceLinked="1"/>
        <c:majorTickMark val="none"/>
        <c:minorTickMark val="none"/>
        <c:tickLblPos val="nextTo"/>
        <c:spPr>
          <a:ln w="9525">
            <a:noFill/>
          </a:ln>
        </c:spPr>
        <c:txPr>
          <a:bodyPr/>
          <a:lstStyle/>
          <a:p>
            <a:pPr>
              <a:defRPr lang="en-US" sz="1000"/>
            </a:pPr>
            <a:endParaRPr lang="es-ES"/>
          </a:p>
        </c:txPr>
        <c:crossAx val="366725744"/>
        <c:crosses val="autoZero"/>
        <c:crossBetween val="between"/>
        <c:dispUnits>
          <c:builtInUnit val="millions"/>
          <c:dispUnitsLbl>
            <c:layout>
              <c:manualLayout>
                <c:xMode val="edge"/>
                <c:yMode val="edge"/>
                <c:x val="5.8553823945273146E-3"/>
                <c:y val="0.50740921257990446"/>
              </c:manualLayout>
            </c:layout>
            <c:txPr>
              <a:bodyPr/>
              <a:lstStyle/>
              <a:p>
                <a:pPr>
                  <a:defRPr lang="en-US"/>
                </a:pPr>
                <a:endParaRPr lang="es-ES"/>
              </a:p>
            </c:txPr>
          </c:dispUnitsLbl>
        </c:dispUnits>
      </c:valAx>
      <c:spPr>
        <a:noFill/>
        <a:ln w="25400">
          <a:noFill/>
        </a:ln>
      </c:spPr>
    </c:plotArea>
    <c:legend>
      <c:legendPos val="b"/>
      <c:layout>
        <c:manualLayout>
          <c:xMode val="edge"/>
          <c:yMode val="edge"/>
          <c:x val="0.23844870706682847"/>
          <c:y val="0.1222951582712654"/>
          <c:w val="0.46757489620023718"/>
          <c:h val="5.6548013127436556E-2"/>
        </c:manualLayout>
      </c:layout>
      <c:overlay val="0"/>
      <c:txPr>
        <a:bodyPr/>
        <a:lstStyle/>
        <a:p>
          <a:pPr>
            <a:defRPr lang="en-US" sz="1400"/>
          </a:pPr>
          <a:endParaRPr lang="es-ES"/>
        </a:p>
      </c:txPr>
    </c:legend>
    <c:plotVisOnly val="1"/>
    <c:dispBlanksAs val="gap"/>
    <c:showDLblsOverMax val="0"/>
  </c:chart>
  <c:spPr>
    <a:ln>
      <a:noFill/>
    </a:ln>
  </c:spPr>
  <c:printSettings>
    <c:headerFooter/>
    <c:pageMargins b="0.74803149606303365" l="0.70866141732286425" r="0.70866141732286425" t="0.74803149606303365" header="0.31496062992128193" footer="0.31496062992128193"/>
    <c:pageSetup orientation="landscape"/>
  </c:printSettings>
  <c:userShapes r:id="rId1"/>
</c:chartSpace>
</file>

<file path=xl/charts/chart6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s-ES"/>
              <a:t>Dispersión</a:t>
            </a:r>
            <a:r>
              <a:rPr lang="es-ES" baseline="0"/>
              <a:t> Mensual por Cuentas al Seguro de Riesgos Laborales</a:t>
            </a:r>
          </a:p>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s-ES" sz="1600" b="1" i="0" baseline="0">
                <a:effectLst/>
              </a:rPr>
              <a:t>(Millones RD$)</a:t>
            </a:r>
            <a:endParaRPr lang="es-ES"/>
          </a:p>
        </c:rich>
      </c:tx>
      <c:layout>
        <c:manualLayout>
          <c:xMode val="edge"/>
          <c:yMode val="edge"/>
          <c:x val="0.2398689571250269"/>
          <c:y val="7.7448736965591014E-3"/>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7.5596590515906628E-2"/>
          <c:y val="0.26147870096909998"/>
          <c:w val="0.90479395974470733"/>
          <c:h val="0.59675302647997819"/>
        </c:manualLayout>
      </c:layout>
      <c:bar3DChart>
        <c:barDir val="col"/>
        <c:grouping val="clustered"/>
        <c:varyColors val="0"/>
        <c:ser>
          <c:idx val="0"/>
          <c:order val="0"/>
          <c:tx>
            <c:strRef>
              <c:f>'IV.4.3.Pagos_ARL M'!$B$4</c:f>
              <c:strCache>
                <c:ptCount val="1"/>
                <c:pt idx="0">
                  <c:v> ARL Salud Segura</c:v>
                </c:pt>
              </c:strCache>
            </c:strRef>
          </c:tx>
          <c:spPr>
            <a:solidFill>
              <a:schemeClr val="accent3">
                <a:lumMod val="75000"/>
              </a:schemeClr>
            </a:solidFill>
          </c:spPr>
          <c:invertIfNegative val="0"/>
          <c:dLbls>
            <c:dLbl>
              <c:idx val="0"/>
              <c:layout>
                <c:manualLayout>
                  <c:x val="3.6873512442522649E-3"/>
                  <c:y val="5.210541024374885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2.4509651210606986E-3"/>
                  <c:y val="7.921936773081146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3.6764476815910477E-3"/>
                  <c:y val="-4.1867446250168811E-4"/>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3.6764476815910477E-3"/>
                  <c:y val="2.017836114750977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2.4509651210607437E-3"/>
                  <c:y val="-4.1867446250163964E-4"/>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2.4618686837219153E-3"/>
                  <c:y val="-3.5000519181299303E-4"/>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3.6764476815910477E-3"/>
                  <c:y val="2.1553827448272792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4.9128338047826139E-3"/>
                  <c:y val="2.4302679162809221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3.6763503283530918E-3"/>
                  <c:y val="-2.7176384096779071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2.4509651210606986E-3"/>
                  <c:y val="-6.2426609716709258E-6"/>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3.6873512442523555E-3"/>
                  <c:y val="7.2346198000975102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3.6764476815910477E-3"/>
                  <c:y val="-2.5116305976119915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2"/>
              <c:layout>
                <c:manualLayout>
                  <c:x val="3.6764476815910477E-3"/>
                  <c:y val="-2.0991987960819985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3"/>
              <c:layout>
                <c:manualLayout>
                  <c:x val="2.4686834103851761E-3"/>
                  <c:y val="-2.4833305345403553E-3"/>
                </c:manualLayout>
              </c:layout>
              <c:spPr/>
              <c:txPr>
                <a:bodyPr rot="-5400000" vert="horz"/>
                <a:lstStyle/>
                <a:p>
                  <a:pPr>
                    <a:defRPr lang="en-US" sz="1200" b="1"/>
                  </a:pPr>
                  <a:endParaRPr lang="es-ES"/>
                </a:p>
              </c:txP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vert="horz"/>
              <a:lstStyle/>
              <a:p>
                <a:pPr>
                  <a:defRPr lang="en-US" sz="1200" b="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'IV.4.3.Pagos_ARL M'!$A$5:$A$17</c:f>
              <c:strCache>
                <c:ptCount val="13"/>
                <c:pt idx="0">
                  <c:v>Nov.14</c:v>
                </c:pt>
                <c:pt idx="1">
                  <c:v>Dic.14</c:v>
                </c:pt>
                <c:pt idx="2">
                  <c:v>Ene.15</c:v>
                </c:pt>
                <c:pt idx="3">
                  <c:v>Feb.15</c:v>
                </c:pt>
                <c:pt idx="4">
                  <c:v>Mar.15</c:v>
                </c:pt>
                <c:pt idx="5">
                  <c:v>Abr.15</c:v>
                </c:pt>
                <c:pt idx="6">
                  <c:v>May.15</c:v>
                </c:pt>
                <c:pt idx="7">
                  <c:v>Jun.15</c:v>
                </c:pt>
                <c:pt idx="8">
                  <c:v>Jul.15</c:v>
                </c:pt>
                <c:pt idx="9">
                  <c:v>Ago.15</c:v>
                </c:pt>
                <c:pt idx="10">
                  <c:v>Sep.15</c:v>
                </c:pt>
                <c:pt idx="11">
                  <c:v>Oct.15</c:v>
                </c:pt>
                <c:pt idx="12">
                  <c:v>Nov.15</c:v>
                </c:pt>
              </c:strCache>
            </c:strRef>
          </c:cat>
          <c:val>
            <c:numRef>
              <c:f>'IV.4.3.Pagos_ARL M'!$B$5:$B$17</c:f>
              <c:numCache>
                <c:formatCode>_(* #,##0.00_);_(* \(#,##0.00\);_(* "-"??_);_(@_)</c:formatCode>
                <c:ptCount val="13"/>
                <c:pt idx="0">
                  <c:v>260633723.61000001</c:v>
                </c:pt>
                <c:pt idx="1">
                  <c:v>260482080.38999999</c:v>
                </c:pt>
                <c:pt idx="2">
                  <c:v>267983569.22999999</c:v>
                </c:pt>
                <c:pt idx="3">
                  <c:v>265285189.87</c:v>
                </c:pt>
                <c:pt idx="4">
                  <c:v>264604418.80000001</c:v>
                </c:pt>
                <c:pt idx="5">
                  <c:v>189992092.56999999</c:v>
                </c:pt>
                <c:pt idx="6">
                  <c:v>353354533.29000002</c:v>
                </c:pt>
                <c:pt idx="7">
                  <c:v>279764884</c:v>
                </c:pt>
                <c:pt idx="8">
                  <c:v>281881421.44999999</c:v>
                </c:pt>
                <c:pt idx="9">
                  <c:v>282888965.54000002</c:v>
                </c:pt>
                <c:pt idx="10">
                  <c:v>293407782.22000003</c:v>
                </c:pt>
                <c:pt idx="11">
                  <c:v>278623921</c:v>
                </c:pt>
                <c:pt idx="12">
                  <c:v>317659456.31</c:v>
                </c:pt>
              </c:numCache>
            </c:numRef>
          </c:val>
        </c:ser>
        <c:ser>
          <c:idx val="1"/>
          <c:order val="1"/>
          <c:tx>
            <c:strRef>
              <c:f>'IV.4.3.Pagos_ARL M'!$D$4</c:f>
              <c:strCache>
                <c:ptCount val="1"/>
                <c:pt idx="0">
                  <c:v>     SISALRIL</c:v>
                </c:pt>
              </c:strCache>
            </c:strRef>
          </c:tx>
          <c:spPr>
            <a:solidFill>
              <a:srgbClr val="0070C0"/>
            </a:solidFill>
          </c:spPr>
          <c:invertIfNegative val="0"/>
          <c:dLbls>
            <c:dLbl>
              <c:idx val="4"/>
              <c:layout>
                <c:manualLayout>
                  <c:x val="-4.5333634152347233E-17"/>
                  <c:y val="5.285452956035227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2"/>
              <c:layout>
                <c:manualLayout>
                  <c:x val="3.7091583695745174E-3"/>
                  <c:y val="0"/>
                </c:manualLayout>
              </c:layout>
              <c:spPr/>
              <c:txPr>
                <a:bodyPr rot="-5400000" vert="horz"/>
                <a:lstStyle/>
                <a:p>
                  <a:pPr>
                    <a:defRPr lang="en-US" sz="12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13"/>
              <c:spPr/>
              <c:txPr>
                <a:bodyPr rot="-5400000" vert="horz"/>
                <a:lstStyle/>
                <a:p>
                  <a:pPr>
                    <a:defRPr lang="en-US" sz="1200" b="1"/>
                  </a:pPr>
                  <a:endParaRPr lang="es-ES"/>
                </a:p>
              </c:txPr>
              <c:showLegendKey val="0"/>
              <c:showVal val="1"/>
              <c:showCatName val="0"/>
              <c:showSerName val="0"/>
              <c:showPercent val="0"/>
              <c:showBubbleSize val="0"/>
            </c:dLbl>
            <c:spPr>
              <a:noFill/>
              <a:ln>
                <a:noFill/>
              </a:ln>
              <a:effectLst/>
            </c:spPr>
            <c:txPr>
              <a:bodyPr rot="-5400000" vert="horz"/>
              <a:lstStyle/>
              <a:p>
                <a:pPr>
                  <a:defRPr lang="en-US"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'IV.4.3.Pagos_ARL M'!$A$5:$A$17</c:f>
              <c:strCache>
                <c:ptCount val="13"/>
                <c:pt idx="0">
                  <c:v>Nov.14</c:v>
                </c:pt>
                <c:pt idx="1">
                  <c:v>Dic.14</c:v>
                </c:pt>
                <c:pt idx="2">
                  <c:v>Ene.15</c:v>
                </c:pt>
                <c:pt idx="3">
                  <c:v>Feb.15</c:v>
                </c:pt>
                <c:pt idx="4">
                  <c:v>Mar.15</c:v>
                </c:pt>
                <c:pt idx="5">
                  <c:v>Abr.15</c:v>
                </c:pt>
                <c:pt idx="6">
                  <c:v>May.15</c:v>
                </c:pt>
                <c:pt idx="7">
                  <c:v>Jun.15</c:v>
                </c:pt>
                <c:pt idx="8">
                  <c:v>Jul.15</c:v>
                </c:pt>
                <c:pt idx="9">
                  <c:v>Ago.15</c:v>
                </c:pt>
                <c:pt idx="10">
                  <c:v>Sep.15</c:v>
                </c:pt>
                <c:pt idx="11">
                  <c:v>Oct.15</c:v>
                </c:pt>
                <c:pt idx="12">
                  <c:v>Nov.15</c:v>
                </c:pt>
              </c:strCache>
            </c:strRef>
          </c:cat>
          <c:val>
            <c:numRef>
              <c:f>'IV.4.3.Pagos_ARL M'!$D$5:$D$17</c:f>
              <c:numCache>
                <c:formatCode>_(* #,##0.00_);_(* \(#,##0.00\);_(* "-"??_);_(@_)</c:formatCode>
                <c:ptCount val="13"/>
                <c:pt idx="0">
                  <c:v>11231487.220000001</c:v>
                </c:pt>
                <c:pt idx="1">
                  <c:v>11805929.15</c:v>
                </c:pt>
                <c:pt idx="2">
                  <c:v>11225916.75</c:v>
                </c:pt>
                <c:pt idx="3">
                  <c:v>11348212.01</c:v>
                </c:pt>
                <c:pt idx="4">
                  <c:v>11956968.699999999</c:v>
                </c:pt>
                <c:pt idx="5">
                  <c:v>11741328.210000001</c:v>
                </c:pt>
                <c:pt idx="6">
                  <c:v>11875285.16</c:v>
                </c:pt>
                <c:pt idx="7">
                  <c:v>12104007.859999999</c:v>
                </c:pt>
                <c:pt idx="8">
                  <c:v>12355560.74</c:v>
                </c:pt>
                <c:pt idx="9">
                  <c:v>12307096.369999999</c:v>
                </c:pt>
                <c:pt idx="10">
                  <c:v>12468251.859999999</c:v>
                </c:pt>
                <c:pt idx="11">
                  <c:v>12752847.9</c:v>
                </c:pt>
                <c:pt idx="12">
                  <c:v>13193620.68</c:v>
                </c:pt>
              </c:numCache>
            </c:numRef>
          </c:val>
        </c:ser>
        <c:ser>
          <c:idx val="2"/>
          <c:order val="2"/>
          <c:tx>
            <c:strRef>
              <c:f>'IV.4.3.Pagos_ARL M'!$F$4</c:f>
              <c:strCache>
                <c:ptCount val="1"/>
                <c:pt idx="0">
                  <c:v>FSS (SRL)</c:v>
                </c:pt>
              </c:strCache>
            </c:strRef>
          </c:tx>
          <c:spPr>
            <a:solidFill>
              <a:schemeClr val="accent6">
                <a:lumMod val="75000"/>
              </a:schemeClr>
            </a:solidFill>
          </c:spPr>
          <c:invertIfNegative val="0"/>
          <c:dLbls>
            <c:dLbl>
              <c:idx val="3"/>
              <c:layout>
                <c:manualLayout>
                  <c:x val="3.8513383400731755E-3"/>
                  <c:y val="-3.429211753825807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2"/>
              <c:layout>
                <c:manualLayout>
                  <c:x val="6.4134864611300824E-3"/>
                  <c:y val="-1.2121212121212118E-2"/>
                </c:manualLayout>
              </c:layout>
              <c:spPr/>
              <c:txPr>
                <a:bodyPr rot="-5400000" vert="horz"/>
                <a:lstStyle/>
                <a:p>
                  <a:pPr>
                    <a:defRPr lang="en-US" sz="12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13"/>
              <c:spPr/>
              <c:txPr>
                <a:bodyPr rot="-5400000" vert="horz"/>
                <a:lstStyle/>
                <a:p>
                  <a:pPr>
                    <a:defRPr lang="en-US" sz="1200" b="1"/>
                  </a:pPr>
                  <a:endParaRPr lang="es-ES"/>
                </a:p>
              </c:txPr>
              <c:showLegendKey val="0"/>
              <c:showVal val="1"/>
              <c:showCatName val="0"/>
              <c:showSerName val="0"/>
              <c:showPercent val="0"/>
              <c:showBubbleSize val="0"/>
            </c:dLbl>
            <c:spPr>
              <a:noFill/>
              <a:ln>
                <a:noFill/>
              </a:ln>
              <a:effectLst/>
            </c:spPr>
            <c:txPr>
              <a:bodyPr rot="-5400000" vert="horz"/>
              <a:lstStyle/>
              <a:p>
                <a:pPr>
                  <a:defRPr lang="en-US"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'IV.4.3.Pagos_ARL M'!$A$5:$A$17</c:f>
              <c:strCache>
                <c:ptCount val="13"/>
                <c:pt idx="0">
                  <c:v>Nov.14</c:v>
                </c:pt>
                <c:pt idx="1">
                  <c:v>Dic.14</c:v>
                </c:pt>
                <c:pt idx="2">
                  <c:v>Ene.15</c:v>
                </c:pt>
                <c:pt idx="3">
                  <c:v>Feb.15</c:v>
                </c:pt>
                <c:pt idx="4">
                  <c:v>Mar.15</c:v>
                </c:pt>
                <c:pt idx="5">
                  <c:v>Abr.15</c:v>
                </c:pt>
                <c:pt idx="6">
                  <c:v>May.15</c:v>
                </c:pt>
                <c:pt idx="7">
                  <c:v>Jun.15</c:v>
                </c:pt>
                <c:pt idx="8">
                  <c:v>Jul.15</c:v>
                </c:pt>
                <c:pt idx="9">
                  <c:v>Ago.15</c:v>
                </c:pt>
                <c:pt idx="10">
                  <c:v>Sep.15</c:v>
                </c:pt>
                <c:pt idx="11">
                  <c:v>Oct.15</c:v>
                </c:pt>
                <c:pt idx="12">
                  <c:v>Nov.15</c:v>
                </c:pt>
              </c:strCache>
            </c:strRef>
          </c:cat>
          <c:val>
            <c:numRef>
              <c:f>'IV.4.3.Pagos_ARL M'!$F$5:$F$17</c:f>
              <c:numCache>
                <c:formatCode>_(* #,##0.00_);_(* \(#,##0.00\);_(* "-"??_);_(@_)</c:formatCode>
                <c:ptCount val="13"/>
                <c:pt idx="0">
                  <c:v>1417224.83</c:v>
                </c:pt>
                <c:pt idx="1">
                  <c:v>1311902.99</c:v>
                </c:pt>
                <c:pt idx="2">
                  <c:v>1546249.03</c:v>
                </c:pt>
                <c:pt idx="3">
                  <c:v>1871415.64</c:v>
                </c:pt>
                <c:pt idx="4">
                  <c:v>1125265.98</c:v>
                </c:pt>
                <c:pt idx="5">
                  <c:v>1231109.1000000001</c:v>
                </c:pt>
                <c:pt idx="6">
                  <c:v>1561164.03</c:v>
                </c:pt>
                <c:pt idx="7">
                  <c:v>1492466.15</c:v>
                </c:pt>
                <c:pt idx="8">
                  <c:v>2225538.0099999998</c:v>
                </c:pt>
                <c:pt idx="9">
                  <c:v>1362645.53</c:v>
                </c:pt>
                <c:pt idx="10">
                  <c:v>1798320.91</c:v>
                </c:pt>
                <c:pt idx="11">
                  <c:v>844844.79</c:v>
                </c:pt>
                <c:pt idx="12">
                  <c:v>1748237.03</c:v>
                </c:pt>
              </c:numCache>
            </c:numRef>
          </c:val>
        </c:ser>
        <c:dLbls>
          <c:showLegendKey val="0"/>
          <c:showVal val="0"/>
          <c:showCatName val="0"/>
          <c:showSerName val="0"/>
          <c:showPercent val="0"/>
          <c:showBubbleSize val="0"/>
        </c:dLbls>
        <c:gapWidth val="75"/>
        <c:shape val="cylinder"/>
        <c:axId val="366728488"/>
        <c:axId val="366728096"/>
        <c:axId val="0"/>
      </c:bar3DChart>
      <c:catAx>
        <c:axId val="366728488"/>
        <c:scaling>
          <c:orientation val="minMax"/>
        </c:scaling>
        <c:delete val="0"/>
        <c:axPos val="b"/>
        <c:numFmt formatCode="mmm\-yy" sourceLinked="0"/>
        <c:majorTickMark val="none"/>
        <c:minorTickMark val="none"/>
        <c:tickLblPos val="nextTo"/>
        <c:txPr>
          <a:bodyPr/>
          <a:lstStyle/>
          <a:p>
            <a:pPr>
              <a:defRPr lang="en-US" sz="1200"/>
            </a:pPr>
            <a:endParaRPr lang="es-ES"/>
          </a:p>
        </c:txPr>
        <c:crossAx val="366728096"/>
        <c:crosses val="autoZero"/>
        <c:auto val="1"/>
        <c:lblAlgn val="ctr"/>
        <c:lblOffset val="100"/>
        <c:noMultiLvlLbl val="1"/>
      </c:catAx>
      <c:valAx>
        <c:axId val="366728096"/>
        <c:scaling>
          <c:orientation val="minMax"/>
        </c:scaling>
        <c:delete val="0"/>
        <c:axPos val="l"/>
        <c:numFmt formatCode="_(* #,##0.00_);_(* \(#,##0.00\);_(* &quot;-&quot;??_);_(@_)" sourceLinked="1"/>
        <c:majorTickMark val="none"/>
        <c:minorTickMark val="none"/>
        <c:tickLblPos val="nextTo"/>
        <c:spPr>
          <a:ln w="9525">
            <a:noFill/>
          </a:ln>
        </c:spPr>
        <c:txPr>
          <a:bodyPr/>
          <a:lstStyle/>
          <a:p>
            <a:pPr>
              <a:defRPr lang="en-US"/>
            </a:pPr>
            <a:endParaRPr lang="es-ES"/>
          </a:p>
        </c:txPr>
        <c:crossAx val="366728488"/>
        <c:crosses val="autoZero"/>
        <c:crossBetween val="between"/>
        <c:dispUnits>
          <c:builtInUnit val="millions"/>
          <c:dispUnitsLbl>
            <c:layout>
              <c:manualLayout>
                <c:xMode val="edge"/>
                <c:yMode val="edge"/>
                <c:x val="2.9364571129620698E-3"/>
                <c:y val="0.46932349036454368"/>
              </c:manualLayout>
            </c:layout>
            <c:txPr>
              <a:bodyPr/>
              <a:lstStyle/>
              <a:p>
                <a:pPr>
                  <a:defRPr lang="en-US" b="1"/>
                </a:pPr>
                <a:endParaRPr lang="es-ES"/>
              </a:p>
            </c:txPr>
          </c:dispUnitsLbl>
        </c:dispUnits>
      </c:valAx>
      <c:spPr>
        <a:noFill/>
        <a:ln w="25400">
          <a:noFill/>
        </a:ln>
      </c:spPr>
    </c:plotArea>
    <c:legend>
      <c:legendPos val="b"/>
      <c:layout>
        <c:manualLayout>
          <c:xMode val="edge"/>
          <c:yMode val="edge"/>
          <c:x val="0.31041230884298104"/>
          <c:y val="0.13014091401299713"/>
          <c:w val="0.37871230381916549"/>
          <c:h val="4.6545543674744935E-2"/>
        </c:manualLayout>
      </c:layout>
      <c:overlay val="0"/>
      <c:txPr>
        <a:bodyPr/>
        <a:lstStyle/>
        <a:p>
          <a:pPr>
            <a:defRPr lang="en-US" sz="1200"/>
          </a:pPr>
          <a:endParaRPr lang="es-ES"/>
        </a:p>
      </c:txPr>
    </c:legend>
    <c:plotVisOnly val="1"/>
    <c:dispBlanksAs val="gap"/>
    <c:showDLblsOverMax val="0"/>
  </c:chart>
  <c:spPr>
    <a:ln>
      <a:noFill/>
    </a:ln>
  </c:spPr>
  <c:printSettings>
    <c:headerFooter/>
    <c:pageMargins b="0.75000000000000888" l="0.70000000000000062" r="0.70000000000000062" t="0.75000000000000888" header="0.30000000000000032" footer="0.30000000000000032"/>
    <c:pageSetup/>
  </c:printSettings>
  <c:userShapes r:id="rId1"/>
</c:chartSpace>
</file>

<file path=xl/charts/chart6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s-DO" sz="2000" b="1">
                <a:effectLst/>
              </a:rPr>
              <a:t>Cantidad de Cápitas</a:t>
            </a:r>
            <a:r>
              <a:rPr lang="es-DO" sz="2000" b="1" baseline="0">
                <a:effectLst/>
              </a:rPr>
              <a:t> Pagadas por </a:t>
            </a:r>
            <a:r>
              <a:rPr lang="es-DO" sz="2000" b="1">
                <a:effectLst/>
              </a:rPr>
              <a:t>Niños</a:t>
            </a:r>
            <a:r>
              <a:rPr lang="es-DO" sz="2000" b="1" baseline="0">
                <a:effectLst/>
              </a:rPr>
              <a:t> Afiliados en las </a:t>
            </a:r>
            <a:r>
              <a:rPr lang="es-DO" sz="2000" b="1">
                <a:effectLst/>
              </a:rPr>
              <a:t>Estancias</a:t>
            </a:r>
            <a:r>
              <a:rPr lang="es-DO" sz="2000" b="1" baseline="0">
                <a:effectLst/>
              </a:rPr>
              <a:t> Infantiles (EI) del RC</a:t>
            </a:r>
            <a:endParaRPr lang="es-ES" sz="2000">
              <a:effectLst/>
            </a:endParaRPr>
          </a:p>
        </c:rich>
      </c:tx>
      <c:layout>
        <c:manualLayout>
          <c:xMode val="edge"/>
          <c:yMode val="edge"/>
          <c:x val="0.29697089116474185"/>
          <c:y val="4.0401786278462963E-2"/>
        </c:manualLayout>
      </c:layout>
      <c:overlay val="0"/>
    </c:title>
    <c:autoTitleDeleted val="0"/>
    <c:plotArea>
      <c:layout>
        <c:manualLayout>
          <c:layoutTarget val="inner"/>
          <c:xMode val="edge"/>
          <c:yMode val="edge"/>
          <c:x val="4.7649412191206171E-2"/>
          <c:y val="0.14268427894656582"/>
          <c:w val="0.92311121435781818"/>
          <c:h val="0.66939668735708324"/>
        </c:manualLayout>
      </c:layout>
      <c:barChart>
        <c:barDir val="col"/>
        <c:grouping val="clustered"/>
        <c:varyColors val="0"/>
        <c:ser>
          <c:idx val="0"/>
          <c:order val="0"/>
          <c:tx>
            <c:strRef>
              <c:f>'V.1.3.Afil.EI'!$B$3</c:f>
              <c:strCache>
                <c:ptCount val="1"/>
                <c:pt idx="0">
                  <c:v>Cápita de Niños Beneficiados</c:v>
                </c:pt>
              </c:strCache>
            </c:strRef>
          </c:tx>
          <c:spPr>
            <a:solidFill>
              <a:schemeClr val="accent3">
                <a:lumMod val="75000"/>
              </a:schemeClr>
            </a:solidFill>
          </c:spPr>
          <c:invertIfNegative val="0"/>
          <c:dLbls>
            <c:spPr>
              <a:noFill/>
              <a:ln>
                <a:noFill/>
              </a:ln>
              <a:effectLst/>
            </c:spPr>
            <c:txPr>
              <a:bodyPr/>
              <a:lstStyle/>
              <a:p>
                <a:pPr>
                  <a:defRPr sz="2400" b="0">
                    <a:solidFill>
                      <a:sysClr val="windowText" lastClr="00000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'V.1.3.Afil.EI'!$A$4:$A$18</c:f>
              <c:strCache>
                <c:ptCount val="15"/>
                <c:pt idx="0">
                  <c:v>May. 09</c:v>
                </c:pt>
                <c:pt idx="1">
                  <c:v>Dic.09</c:v>
                </c:pt>
                <c:pt idx="2">
                  <c:v>May.10 </c:v>
                </c:pt>
                <c:pt idx="3">
                  <c:v>Dic.10</c:v>
                </c:pt>
                <c:pt idx="4">
                  <c:v>May.11</c:v>
                </c:pt>
                <c:pt idx="5">
                  <c:v>Dic.11</c:v>
                </c:pt>
                <c:pt idx="6">
                  <c:v>May.12</c:v>
                </c:pt>
                <c:pt idx="7">
                  <c:v>Dic.12</c:v>
                </c:pt>
                <c:pt idx="8">
                  <c:v>May.13</c:v>
                </c:pt>
                <c:pt idx="9">
                  <c:v>Dic.13</c:v>
                </c:pt>
                <c:pt idx="10">
                  <c:v>Dic.14</c:v>
                </c:pt>
                <c:pt idx="11">
                  <c:v>May.15</c:v>
                </c:pt>
                <c:pt idx="12">
                  <c:v>Sep.15</c:v>
                </c:pt>
                <c:pt idx="13">
                  <c:v>Oct.15</c:v>
                </c:pt>
                <c:pt idx="14">
                  <c:v>Nov.15</c:v>
                </c:pt>
              </c:strCache>
            </c:strRef>
          </c:cat>
          <c:val>
            <c:numRef>
              <c:f>'V.1.3.Afil.EI'!$B$4:$B$18</c:f>
              <c:numCache>
                <c:formatCode>#,##0</c:formatCode>
                <c:ptCount val="15"/>
                <c:pt idx="0">
                  <c:v>601</c:v>
                </c:pt>
                <c:pt idx="1">
                  <c:v>1814</c:v>
                </c:pt>
                <c:pt idx="2">
                  <c:v>2399</c:v>
                </c:pt>
                <c:pt idx="3">
                  <c:v>4254</c:v>
                </c:pt>
                <c:pt idx="4">
                  <c:v>4267</c:v>
                </c:pt>
                <c:pt idx="5">
                  <c:v>5208</c:v>
                </c:pt>
                <c:pt idx="6">
                  <c:v>4988</c:v>
                </c:pt>
                <c:pt idx="7">
                  <c:v>5894</c:v>
                </c:pt>
                <c:pt idx="8">
                  <c:v>5527</c:v>
                </c:pt>
                <c:pt idx="9">
                  <c:v>6648</c:v>
                </c:pt>
                <c:pt idx="10">
                  <c:v>7374</c:v>
                </c:pt>
                <c:pt idx="11">
                  <c:v>5725</c:v>
                </c:pt>
                <c:pt idx="12">
                  <c:v>6125</c:v>
                </c:pt>
                <c:pt idx="13">
                  <c:v>6181</c:v>
                </c:pt>
                <c:pt idx="14">
                  <c:v>6061</c:v>
                </c:pt>
              </c:numCache>
            </c:numRef>
          </c:val>
        </c:ser>
        <c:dLbls>
          <c:showLegendKey val="0"/>
          <c:showVal val="0"/>
          <c:showCatName val="0"/>
          <c:showSerName val="0"/>
          <c:showPercent val="0"/>
          <c:showBubbleSize val="0"/>
        </c:dLbls>
        <c:gapWidth val="51"/>
        <c:overlap val="87"/>
        <c:axId val="366726528"/>
        <c:axId val="366726920"/>
      </c:barChart>
      <c:catAx>
        <c:axId val="366726528"/>
        <c:scaling>
          <c:orientation val="minMax"/>
        </c:scaling>
        <c:delete val="0"/>
        <c:axPos val="b"/>
        <c:numFmt formatCode="General" sourceLinked="1"/>
        <c:majorTickMark val="out"/>
        <c:minorTickMark val="none"/>
        <c:tickLblPos val="nextTo"/>
        <c:txPr>
          <a:bodyPr/>
          <a:lstStyle/>
          <a:p>
            <a:pPr>
              <a:defRPr sz="2400"/>
            </a:pPr>
            <a:endParaRPr lang="es-ES"/>
          </a:p>
        </c:txPr>
        <c:crossAx val="366726920"/>
        <c:crosses val="autoZero"/>
        <c:auto val="1"/>
        <c:lblAlgn val="ctr"/>
        <c:lblOffset val="100"/>
        <c:noMultiLvlLbl val="0"/>
      </c:catAx>
      <c:valAx>
        <c:axId val="366726920"/>
        <c:scaling>
          <c:orientation val="minMax"/>
        </c:scaling>
        <c:delete val="0"/>
        <c:axPos val="l"/>
        <c:numFmt formatCode="#,##0" sourceLinked="1"/>
        <c:majorTickMark val="out"/>
        <c:minorTickMark val="none"/>
        <c:tickLblPos val="nextTo"/>
        <c:crossAx val="366726528"/>
        <c:crosses val="autoZero"/>
        <c:crossBetween val="between"/>
      </c:valAx>
    </c:plotArea>
    <c:plotVisOnly val="1"/>
    <c:dispBlanksAs val="gap"/>
    <c:showDLblsOverMax val="0"/>
  </c:chart>
  <c:spPr>
    <a:ln>
      <a:noFill/>
    </a:ln>
  </c:sp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800"/>
            </a:pPr>
            <a:r>
              <a:rPr lang="es-DO" sz="1800"/>
              <a:t>Pagos a las Estancias Infantiles del RC</a:t>
            </a:r>
          </a:p>
        </c:rich>
      </c:tx>
      <c:layout>
        <c:manualLayout>
          <c:xMode val="edge"/>
          <c:yMode val="edge"/>
          <c:x val="0.3897988196532497"/>
          <c:y val="5.7423902149205265E-2"/>
        </c:manualLayout>
      </c:layout>
      <c:overlay val="1"/>
    </c:title>
    <c:autoTitleDeleted val="0"/>
    <c:view3D>
      <c:rotX val="20"/>
      <c:rotY val="20"/>
      <c:rAngAx val="1"/>
    </c:view3D>
    <c:floor>
      <c:thickness val="0"/>
    </c:floor>
    <c:sideWall>
      <c:thickness val="0"/>
    </c:sideWall>
    <c:backWall>
      <c:thickness val="0"/>
    </c:backWall>
    <c:plotArea>
      <c:layout>
        <c:manualLayout>
          <c:layoutTarget val="inner"/>
          <c:xMode val="edge"/>
          <c:yMode val="edge"/>
          <c:x val="9.255662657658191E-2"/>
          <c:y val="0.15382232755632941"/>
          <c:w val="0.8873040639287253"/>
          <c:h val="0.66072759509804357"/>
        </c:manualLayout>
      </c:layout>
      <c:bar3DChart>
        <c:barDir val="col"/>
        <c:grouping val="clustered"/>
        <c:varyColors val="0"/>
        <c:ser>
          <c:idx val="0"/>
          <c:order val="0"/>
          <c:tx>
            <c:strRef>
              <c:f>'V.1.4.Afil.EI'!$D$3</c:f>
              <c:strCache>
                <c:ptCount val="1"/>
                <c:pt idx="0">
                  <c:v>Dispersión AEISS </c:v>
                </c:pt>
              </c:strCache>
            </c:strRef>
          </c:tx>
          <c:invertIfNegative val="0"/>
          <c:dLbls>
            <c:dLbl>
              <c:idx val="0"/>
              <c:layout>
                <c:manualLayout>
                  <c:x val="1.2066612377873969E-2"/>
                  <c:y val="-3.726627452212362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0210210473585633E-2"/>
                  <c:y val="-3.50741407267045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2066612377873969E-2"/>
                  <c:y val="-3.945840831754249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0210210473585599E-2"/>
                  <c:y val="-4.384267590838058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1.0210210473585599E-2"/>
                  <c:y val="-3.288200693128549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9.2820095214415158E-3"/>
                  <c:y val="-3.945840831754249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8.3538085692973635E-3"/>
                  <c:y val="-3.5074140726704436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wrap="square" lIns="38100" tIns="19050" rIns="38100" bIns="19050" anchor="ctr">
                <a:spAutoFit/>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'V.1.4.Afil.EI'!$A$4:$A$10</c:f>
              <c:strCache>
                <c:ptCount val="7"/>
                <c:pt idx="0">
                  <c:v>2009</c:v>
                </c:pt>
                <c:pt idx="1">
                  <c:v>2010</c:v>
                </c:pt>
                <c:pt idx="2">
                  <c:v>2011</c:v>
                </c:pt>
                <c:pt idx="3">
                  <c:v>2012</c:v>
                </c:pt>
                <c:pt idx="4">
                  <c:v>2013</c:v>
                </c:pt>
                <c:pt idx="5">
                  <c:v>2014</c:v>
                </c:pt>
                <c:pt idx="6">
                  <c:v>Ene-Nov.2015</c:v>
                </c:pt>
              </c:strCache>
            </c:strRef>
          </c:cat>
          <c:val>
            <c:numRef>
              <c:f>'V.1.4.Afil.EI'!$D$4:$D$10</c:f>
              <c:numCache>
                <c:formatCode>#,##0.0</c:formatCode>
                <c:ptCount val="7"/>
                <c:pt idx="0">
                  <c:v>16656000</c:v>
                </c:pt>
                <c:pt idx="1">
                  <c:v>68030000</c:v>
                </c:pt>
                <c:pt idx="2">
                  <c:v>168385579.84999999</c:v>
                </c:pt>
                <c:pt idx="3">
                  <c:v>182376500</c:v>
                </c:pt>
                <c:pt idx="4">
                  <c:v>215786255.86000001</c:v>
                </c:pt>
                <c:pt idx="5">
                  <c:v>262429320</c:v>
                </c:pt>
                <c:pt idx="6">
                  <c:v>265474840</c:v>
                </c:pt>
              </c:numCache>
            </c:numRef>
          </c:val>
        </c:ser>
        <c:dLbls>
          <c:showLegendKey val="0"/>
          <c:showVal val="0"/>
          <c:showCatName val="0"/>
          <c:showSerName val="0"/>
          <c:showPercent val="0"/>
          <c:showBubbleSize val="0"/>
        </c:dLbls>
        <c:gapWidth val="87"/>
        <c:shape val="cylinder"/>
        <c:axId val="371326088"/>
        <c:axId val="371314720"/>
        <c:axId val="0"/>
      </c:bar3DChart>
      <c:catAx>
        <c:axId val="371326088"/>
        <c:scaling>
          <c:orientation val="minMax"/>
        </c:scaling>
        <c:delete val="0"/>
        <c:axPos val="b"/>
        <c:numFmt formatCode="General" sourceLinked="1"/>
        <c:majorTickMark val="out"/>
        <c:minorTickMark val="none"/>
        <c:tickLblPos val="nextTo"/>
        <c:txPr>
          <a:bodyPr/>
          <a:lstStyle/>
          <a:p>
            <a:pPr>
              <a:defRPr sz="1200"/>
            </a:pPr>
            <a:endParaRPr lang="es-ES"/>
          </a:p>
        </c:txPr>
        <c:crossAx val="371314720"/>
        <c:crosses val="autoZero"/>
        <c:auto val="1"/>
        <c:lblAlgn val="ctr"/>
        <c:lblOffset val="100"/>
        <c:noMultiLvlLbl val="0"/>
      </c:catAx>
      <c:valAx>
        <c:axId val="371314720"/>
        <c:scaling>
          <c:orientation val="minMax"/>
        </c:scaling>
        <c:delete val="0"/>
        <c:axPos val="l"/>
        <c:numFmt formatCode="#,##0.0" sourceLinked="1"/>
        <c:majorTickMark val="out"/>
        <c:minorTickMark val="none"/>
        <c:tickLblPos val="nextTo"/>
        <c:crossAx val="371326088"/>
        <c:crosses val="autoZero"/>
        <c:crossBetween val="between"/>
      </c:valAx>
    </c:plotArea>
    <c:plotVisOnly val="1"/>
    <c:dispBlanksAs val="gap"/>
    <c:showDLblsOverMax val="0"/>
  </c:chart>
  <c:spPr>
    <a:ln>
      <a:noFill/>
    </a:ln>
  </c:sp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a:lstStyle/>
          <a:p>
            <a:pPr>
              <a:defRPr sz="1200"/>
            </a:pPr>
            <a:r>
              <a:rPr lang="es-DO" sz="1200"/>
              <a:t>Afiliados (as) Beneficiarios por Subsidio de Maternidad, </a:t>
            </a:r>
          </a:p>
          <a:p>
            <a:pPr>
              <a:defRPr sz="1200"/>
            </a:pPr>
            <a:r>
              <a:rPr lang="es-DO" sz="1200"/>
              <a:t>Lactancia y Enfermedad Común</a:t>
            </a:r>
          </a:p>
        </c:rich>
      </c:tx>
      <c:layout>
        <c:manualLayout>
          <c:xMode val="edge"/>
          <c:yMode val="edge"/>
          <c:x val="0.29430275806979345"/>
          <c:y val="1.3888885851074836E-2"/>
        </c:manualLayout>
      </c:layout>
      <c:overlay val="1"/>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0"/>
          <c:y val="0.23038534468905672"/>
          <c:w val="0.99410151354207066"/>
          <c:h val="0.67125480743478505"/>
        </c:manualLayout>
      </c:layout>
      <c:bar3DChart>
        <c:barDir val="col"/>
        <c:grouping val="clustered"/>
        <c:varyColors val="0"/>
        <c:ser>
          <c:idx val="0"/>
          <c:order val="0"/>
          <c:tx>
            <c:strRef>
              <c:f>' V.2.3.Benef. subsid '!$A$4</c:f>
              <c:strCache>
                <c:ptCount val="1"/>
                <c:pt idx="0">
                  <c:v>Maternidad</c:v>
                </c:pt>
              </c:strCache>
            </c:strRef>
          </c:tx>
          <c:spPr>
            <a:solidFill>
              <a:srgbClr val="0070C0"/>
            </a:solidFill>
          </c:spPr>
          <c:invertIfNegative val="0"/>
          <c:dLbls>
            <c:dLbl>
              <c:idx val="0"/>
              <c:layout>
                <c:manualLayout>
                  <c:x val="1.6342095353712477E-2"/>
                  <c:y val="-2.155037763136750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6.3492047621035467E-3"/>
                  <c:y val="-1.30590856789131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221916853541059E-2"/>
                  <c:y val="-1.61079865016872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33272634282598E-2"/>
                  <c:y val="-1.338689806631314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200" b="0">
                    <a:solidFill>
                      <a:schemeClr val="accent1">
                        <a:lumMod val="5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V.2.3.Benef. subsid '!$B$3:$I$3</c:f>
              <c:strCache>
                <c:ptCount val="8"/>
                <c:pt idx="0">
                  <c:v>2008</c:v>
                </c:pt>
                <c:pt idx="1">
                  <c:v>2009</c:v>
                </c:pt>
                <c:pt idx="2">
                  <c:v>2010</c:v>
                </c:pt>
                <c:pt idx="3">
                  <c:v>2011</c:v>
                </c:pt>
                <c:pt idx="4">
                  <c:v>2012</c:v>
                </c:pt>
                <c:pt idx="5">
                  <c:v>2013</c:v>
                </c:pt>
                <c:pt idx="6">
                  <c:v>2014</c:v>
                </c:pt>
                <c:pt idx="7">
                  <c:v>Ene - Nov.2015</c:v>
                </c:pt>
              </c:strCache>
            </c:strRef>
          </c:cat>
          <c:val>
            <c:numRef>
              <c:f>' V.2.3.Benef. subsid '!$B$4:$I$4</c:f>
              <c:numCache>
                <c:formatCode>_(* #,##0_);_(* \(#,##0\);_(* "-"_);_(@_)</c:formatCode>
                <c:ptCount val="8"/>
                <c:pt idx="0">
                  <c:v>2518</c:v>
                </c:pt>
                <c:pt idx="1">
                  <c:v>16948</c:v>
                </c:pt>
                <c:pt idx="2">
                  <c:v>18654</c:v>
                </c:pt>
                <c:pt idx="3">
                  <c:v>14305</c:v>
                </c:pt>
                <c:pt idx="4">
                  <c:v>15292</c:v>
                </c:pt>
                <c:pt idx="5">
                  <c:v>19148</c:v>
                </c:pt>
                <c:pt idx="6">
                  <c:v>19155</c:v>
                </c:pt>
                <c:pt idx="7">
                  <c:v>18671</c:v>
                </c:pt>
              </c:numCache>
            </c:numRef>
          </c:val>
        </c:ser>
        <c:ser>
          <c:idx val="1"/>
          <c:order val="1"/>
          <c:tx>
            <c:strRef>
              <c:f>' V.2.3.Benef. subsid '!$A$5</c:f>
              <c:strCache>
                <c:ptCount val="1"/>
                <c:pt idx="0">
                  <c:v>Lactancia</c:v>
                </c:pt>
              </c:strCache>
            </c:strRef>
          </c:tx>
          <c:spPr>
            <a:solidFill>
              <a:srgbClr val="00B050"/>
            </a:solidFill>
          </c:spPr>
          <c:invertIfNegative val="0"/>
          <c:dLbls>
            <c:dLbl>
              <c:idx val="0"/>
              <c:layout>
                <c:manualLayout>
                  <c:x val="1.2059440107459801E-2"/>
                  <c:y val="-2.405292195618394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9.5238071431553196E-3"/>
                  <c:y val="-1.567090281469568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047215993075812E-2"/>
                  <c:y val="-2.155016337243568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9.5237934658595948E-3"/>
                  <c:y val="-1.61079865016872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5.3120844378826493E-3"/>
                  <c:y val="0"/>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200" b="0">
                    <a:solidFill>
                      <a:schemeClr val="accent3">
                        <a:lumMod val="5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V.2.3.Benef. subsid '!$B$3:$I$3</c:f>
              <c:strCache>
                <c:ptCount val="8"/>
                <c:pt idx="0">
                  <c:v>2008</c:v>
                </c:pt>
                <c:pt idx="1">
                  <c:v>2009</c:v>
                </c:pt>
                <c:pt idx="2">
                  <c:v>2010</c:v>
                </c:pt>
                <c:pt idx="3">
                  <c:v>2011</c:v>
                </c:pt>
                <c:pt idx="4">
                  <c:v>2012</c:v>
                </c:pt>
                <c:pt idx="5">
                  <c:v>2013</c:v>
                </c:pt>
                <c:pt idx="6">
                  <c:v>2014</c:v>
                </c:pt>
                <c:pt idx="7">
                  <c:v>Ene - Nov.2015</c:v>
                </c:pt>
              </c:strCache>
            </c:strRef>
          </c:cat>
          <c:val>
            <c:numRef>
              <c:f>' V.2.3.Benef. subsid '!$B$5:$I$5</c:f>
              <c:numCache>
                <c:formatCode>_(* #,##0_);_(* \(#,##0\);_(* "-"_);_(@_)</c:formatCode>
                <c:ptCount val="8"/>
                <c:pt idx="0">
                  <c:v>1331</c:v>
                </c:pt>
                <c:pt idx="1">
                  <c:v>12867</c:v>
                </c:pt>
                <c:pt idx="2">
                  <c:v>14072</c:v>
                </c:pt>
                <c:pt idx="3">
                  <c:v>10987</c:v>
                </c:pt>
                <c:pt idx="4">
                  <c:v>9466</c:v>
                </c:pt>
                <c:pt idx="5">
                  <c:v>15638</c:v>
                </c:pt>
                <c:pt idx="6">
                  <c:v>14936</c:v>
                </c:pt>
                <c:pt idx="7">
                  <c:v>15931</c:v>
                </c:pt>
              </c:numCache>
            </c:numRef>
          </c:val>
        </c:ser>
        <c:ser>
          <c:idx val="2"/>
          <c:order val="2"/>
          <c:tx>
            <c:strRef>
              <c:f>' V.2.3.Benef. subsid '!$A$6</c:f>
              <c:strCache>
                <c:ptCount val="1"/>
                <c:pt idx="0">
                  <c:v>Enfermedad Común</c:v>
                </c:pt>
              </c:strCache>
            </c:strRef>
          </c:tx>
          <c:spPr>
            <a:solidFill>
              <a:schemeClr val="accent3">
                <a:lumMod val="75000"/>
              </a:schemeClr>
            </a:solidFill>
          </c:spPr>
          <c:invertIfNegative val="0"/>
          <c:dLbls>
            <c:dLbl>
              <c:idx val="1"/>
              <c:layout>
                <c:manualLayout>
                  <c:x val="9.363952632259297E-3"/>
                  <c:y val="-1.88290749370614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221916853541059E-2"/>
                  <c:y val="-2.938561251272157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1111108333681206E-2"/>
                  <c:y val="-1.5670902814695686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200" b="0">
                    <a:solidFill>
                      <a:schemeClr val="accent5">
                        <a:lumMod val="5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V.2.3.Benef. subsid '!$B$3:$I$3</c:f>
              <c:strCache>
                <c:ptCount val="8"/>
                <c:pt idx="0">
                  <c:v>2008</c:v>
                </c:pt>
                <c:pt idx="1">
                  <c:v>2009</c:v>
                </c:pt>
                <c:pt idx="2">
                  <c:v>2010</c:v>
                </c:pt>
                <c:pt idx="3">
                  <c:v>2011</c:v>
                </c:pt>
                <c:pt idx="4">
                  <c:v>2012</c:v>
                </c:pt>
                <c:pt idx="5">
                  <c:v>2013</c:v>
                </c:pt>
                <c:pt idx="6">
                  <c:v>2014</c:v>
                </c:pt>
                <c:pt idx="7">
                  <c:v>Ene - Nov.2015</c:v>
                </c:pt>
              </c:strCache>
            </c:strRef>
          </c:cat>
          <c:val>
            <c:numRef>
              <c:f>' V.2.3.Benef. subsid '!$B$6:$I$6</c:f>
              <c:numCache>
                <c:formatCode>_(* #,##0_);_(* \(#,##0\);_(* "-"_);_(@_)</c:formatCode>
                <c:ptCount val="8"/>
                <c:pt idx="0">
                  <c:v>0</c:v>
                </c:pt>
                <c:pt idx="1">
                  <c:v>3795</c:v>
                </c:pt>
                <c:pt idx="2">
                  <c:v>24841</c:v>
                </c:pt>
                <c:pt idx="3">
                  <c:v>33003</c:v>
                </c:pt>
                <c:pt idx="4">
                  <c:v>37654</c:v>
                </c:pt>
                <c:pt idx="5">
                  <c:v>46049</c:v>
                </c:pt>
                <c:pt idx="6">
                  <c:v>59366</c:v>
                </c:pt>
                <c:pt idx="7">
                  <c:v>67983</c:v>
                </c:pt>
              </c:numCache>
            </c:numRef>
          </c:val>
        </c:ser>
        <c:dLbls>
          <c:showLegendKey val="0"/>
          <c:showVal val="0"/>
          <c:showCatName val="0"/>
          <c:showSerName val="0"/>
          <c:showPercent val="0"/>
          <c:showBubbleSize val="0"/>
        </c:dLbls>
        <c:gapWidth val="67"/>
        <c:shape val="cylinder"/>
        <c:axId val="371316680"/>
        <c:axId val="371328440"/>
        <c:axId val="0"/>
      </c:bar3DChart>
      <c:catAx>
        <c:axId val="371316680"/>
        <c:scaling>
          <c:orientation val="minMax"/>
        </c:scaling>
        <c:delete val="0"/>
        <c:axPos val="b"/>
        <c:numFmt formatCode="General" sourceLinked="1"/>
        <c:majorTickMark val="none"/>
        <c:minorTickMark val="none"/>
        <c:tickLblPos val="nextTo"/>
        <c:txPr>
          <a:bodyPr/>
          <a:lstStyle/>
          <a:p>
            <a:pPr>
              <a:defRPr sz="1200"/>
            </a:pPr>
            <a:endParaRPr lang="es-ES"/>
          </a:p>
        </c:txPr>
        <c:crossAx val="371328440"/>
        <c:crosses val="autoZero"/>
        <c:auto val="1"/>
        <c:lblAlgn val="ctr"/>
        <c:lblOffset val="100"/>
        <c:noMultiLvlLbl val="0"/>
      </c:catAx>
      <c:valAx>
        <c:axId val="371328440"/>
        <c:scaling>
          <c:orientation val="minMax"/>
        </c:scaling>
        <c:delete val="1"/>
        <c:axPos val="l"/>
        <c:numFmt formatCode="_(* #,##0_);_(* \(#,##0\);_(* &quot;-&quot;_);_(@_)" sourceLinked="1"/>
        <c:majorTickMark val="out"/>
        <c:minorTickMark val="none"/>
        <c:tickLblPos val="nextTo"/>
        <c:crossAx val="371316680"/>
        <c:crosses val="autoZero"/>
        <c:crossBetween val="between"/>
      </c:valAx>
      <c:spPr>
        <a:noFill/>
        <a:ln w="25400">
          <a:noFill/>
        </a:ln>
      </c:spPr>
    </c:plotArea>
    <c:legend>
      <c:legendPos val="t"/>
      <c:layout>
        <c:manualLayout>
          <c:xMode val="edge"/>
          <c:yMode val="edge"/>
          <c:x val="0.26170637869223418"/>
          <c:y val="0.11374689332244194"/>
          <c:w val="0.43759947285025913"/>
          <c:h val="5.6954274506939087E-2"/>
        </c:manualLayout>
      </c:layout>
      <c:overlay val="0"/>
      <c:txPr>
        <a:bodyPr/>
        <a:lstStyle/>
        <a:p>
          <a:pPr>
            <a:defRPr sz="1200"/>
          </a:pPr>
          <a:endParaRPr lang="es-ES"/>
        </a:p>
      </c:txPr>
    </c:legend>
    <c:plotVisOnly val="1"/>
    <c:dispBlanksAs val="gap"/>
    <c:showDLblsOverMax val="0"/>
  </c:chart>
  <c:spPr>
    <a:ln>
      <a:noFill/>
    </a:ln>
  </c:spPr>
  <c:printSettings>
    <c:headerFooter/>
    <c:pageMargins b="0.75" l="0.7" r="0.7" t="0.75" header="0.3" footer="0.3"/>
    <c:pageSetup orientation="portrait"/>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400"/>
            </a:pPr>
            <a:r>
              <a:rPr lang="en-US" sz="2400"/>
              <a:t>Cobertura de  Afiliación  al Seguro Familiar de Salud por Regímenes de Financiamiento     </a:t>
            </a:r>
          </a:p>
        </c:rich>
      </c:tx>
      <c:layout>
        <c:manualLayout>
          <c:xMode val="edge"/>
          <c:yMode val="edge"/>
          <c:x val="0.25596284382399181"/>
          <c:y val="2.1889094445133973E-2"/>
        </c:manualLayout>
      </c:layout>
      <c:overlay val="0"/>
    </c:title>
    <c:autoTitleDeleted val="0"/>
    <c:plotArea>
      <c:layout>
        <c:manualLayout>
          <c:layoutTarget val="inner"/>
          <c:xMode val="edge"/>
          <c:yMode val="edge"/>
          <c:x val="4.1801020601127635E-2"/>
          <c:y val="0.17158467476968944"/>
          <c:w val="0.90278785555260932"/>
          <c:h val="0.7012228044322586"/>
        </c:manualLayout>
      </c:layout>
      <c:barChart>
        <c:barDir val="col"/>
        <c:grouping val="clustered"/>
        <c:varyColors val="0"/>
        <c:ser>
          <c:idx val="0"/>
          <c:order val="0"/>
          <c:tx>
            <c:strRef>
              <c:f>'III.1.5.Cob.Afil. SFS '!$B$3</c:f>
              <c:strCache>
                <c:ptCount val="1"/>
                <c:pt idx="0">
                  <c:v>Cobertura Afiliación  RC</c:v>
                </c:pt>
              </c:strCache>
            </c:strRef>
          </c:tx>
          <c:spPr>
            <a:solidFill>
              <a:schemeClr val="accent3">
                <a:lumMod val="75000"/>
              </a:schemeClr>
            </a:solidFill>
          </c:spPr>
          <c:invertIfNegative val="0"/>
          <c:dLbls>
            <c:dLbl>
              <c:idx val="4"/>
              <c:layout>
                <c:manualLayout>
                  <c:x val="0"/>
                  <c:y val="6.5278016502282573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'III.1.5.Cob.Afil. SFS '!$A$4:$A$14</c:f>
              <c:strCache>
                <c:ptCount val="11"/>
                <c:pt idx="0">
                  <c:v>Dic. 2005</c:v>
                </c:pt>
                <c:pt idx="1">
                  <c:v>Dic. 2006</c:v>
                </c:pt>
                <c:pt idx="2">
                  <c:v>Dic. 2007</c:v>
                </c:pt>
                <c:pt idx="3">
                  <c:v>Dic. 2008</c:v>
                </c:pt>
                <c:pt idx="4">
                  <c:v>Dic. 2009</c:v>
                </c:pt>
                <c:pt idx="5">
                  <c:v>Dic. 2010</c:v>
                </c:pt>
                <c:pt idx="6">
                  <c:v>Dic. 2011</c:v>
                </c:pt>
                <c:pt idx="7">
                  <c:v>Dic. 2012</c:v>
                </c:pt>
                <c:pt idx="8">
                  <c:v>Dic. 2013</c:v>
                </c:pt>
                <c:pt idx="9">
                  <c:v>Dic. 2014</c:v>
                </c:pt>
                <c:pt idx="10">
                  <c:v>Nov. 2015</c:v>
                </c:pt>
              </c:strCache>
            </c:strRef>
          </c:cat>
          <c:val>
            <c:numRef>
              <c:f>'III.1.5.Cob.Afil. SFS '!$B$4:$B$14</c:f>
              <c:numCache>
                <c:formatCode>#,##0</c:formatCode>
                <c:ptCount val="11"/>
                <c:pt idx="2">
                  <c:v>1599467</c:v>
                </c:pt>
                <c:pt idx="3">
                  <c:v>1729671</c:v>
                </c:pt>
                <c:pt idx="4">
                  <c:v>2096232</c:v>
                </c:pt>
                <c:pt idx="5">
                  <c:v>2417992</c:v>
                </c:pt>
                <c:pt idx="6">
                  <c:v>2586943</c:v>
                </c:pt>
                <c:pt idx="7">
                  <c:v>2747735</c:v>
                </c:pt>
                <c:pt idx="8">
                  <c:v>2965326</c:v>
                </c:pt>
                <c:pt idx="9">
                  <c:v>3224947</c:v>
                </c:pt>
                <c:pt idx="10">
                  <c:v>3435291</c:v>
                </c:pt>
              </c:numCache>
            </c:numRef>
          </c:val>
        </c:ser>
        <c:ser>
          <c:idx val="1"/>
          <c:order val="1"/>
          <c:tx>
            <c:strRef>
              <c:f>'III.1.5.Cob.Afil. SFS '!$C$3</c:f>
              <c:strCache>
                <c:ptCount val="1"/>
                <c:pt idx="0">
                  <c:v>Cobertura Afiliación RS</c:v>
                </c:pt>
              </c:strCache>
            </c:strRef>
          </c:tx>
          <c:spPr>
            <a:solidFill>
              <a:srgbClr val="0070C0"/>
            </a:solidFill>
          </c:spPr>
          <c:invertIfNegative val="0"/>
          <c:dLbls>
            <c:dLbl>
              <c:idx val="0"/>
              <c:layout>
                <c:manualLayout>
                  <c:x val="-6.3879209344391581E-4"/>
                  <c:y val="6.527801650228257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2.3422106185440905E-17"/>
                  <c:y val="5.22224132018260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0"/>
                  <c:y val="5.2222413201827014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6.3879209344396264E-4"/>
                  <c:y val="7.8333619802739094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0"/>
                  <c:y val="1.0444482640365212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20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'III.1.5.Cob.Afil. SFS '!$A$4:$A$14</c:f>
              <c:strCache>
                <c:ptCount val="11"/>
                <c:pt idx="0">
                  <c:v>Dic. 2005</c:v>
                </c:pt>
                <c:pt idx="1">
                  <c:v>Dic. 2006</c:v>
                </c:pt>
                <c:pt idx="2">
                  <c:v>Dic. 2007</c:v>
                </c:pt>
                <c:pt idx="3">
                  <c:v>Dic. 2008</c:v>
                </c:pt>
                <c:pt idx="4">
                  <c:v>Dic. 2009</c:v>
                </c:pt>
                <c:pt idx="5">
                  <c:v>Dic. 2010</c:v>
                </c:pt>
                <c:pt idx="6">
                  <c:v>Dic. 2011</c:v>
                </c:pt>
                <c:pt idx="7">
                  <c:v>Dic. 2012</c:v>
                </c:pt>
                <c:pt idx="8">
                  <c:v>Dic. 2013</c:v>
                </c:pt>
                <c:pt idx="9">
                  <c:v>Dic. 2014</c:v>
                </c:pt>
                <c:pt idx="10">
                  <c:v>Nov. 2015</c:v>
                </c:pt>
              </c:strCache>
            </c:strRef>
          </c:cat>
          <c:val>
            <c:numRef>
              <c:f>'III.1.5.Cob.Afil. SFS '!$C$4:$C$14</c:f>
              <c:numCache>
                <c:formatCode>#,##0</c:formatCode>
                <c:ptCount val="11"/>
                <c:pt idx="0">
                  <c:v>266531</c:v>
                </c:pt>
                <c:pt idx="1">
                  <c:v>513416</c:v>
                </c:pt>
                <c:pt idx="2">
                  <c:v>1081936</c:v>
                </c:pt>
                <c:pt idx="3">
                  <c:v>1224643</c:v>
                </c:pt>
                <c:pt idx="4">
                  <c:v>1346166</c:v>
                </c:pt>
                <c:pt idx="5">
                  <c:v>1847833</c:v>
                </c:pt>
                <c:pt idx="6">
                  <c:v>1996335</c:v>
                </c:pt>
                <c:pt idx="7">
                  <c:v>2294356</c:v>
                </c:pt>
                <c:pt idx="8">
                  <c:v>2646899</c:v>
                </c:pt>
                <c:pt idx="9">
                  <c:v>3015646</c:v>
                </c:pt>
                <c:pt idx="10">
                  <c:v>3089672</c:v>
                </c:pt>
              </c:numCache>
            </c:numRef>
          </c:val>
        </c:ser>
        <c:ser>
          <c:idx val="2"/>
          <c:order val="2"/>
          <c:tx>
            <c:strRef>
              <c:f>'III.1.5.Cob.Afil. SFS '!$D$3</c:f>
              <c:strCache>
                <c:ptCount val="1"/>
                <c:pt idx="0">
                  <c:v>Cobertura Afiliación RET</c:v>
                </c:pt>
              </c:strCache>
            </c:strRef>
          </c:tx>
          <c:spPr>
            <a:solidFill>
              <a:srgbClr val="0000FF"/>
            </a:solidFill>
          </c:spPr>
          <c:invertIfNegative val="0"/>
          <c:dLbls>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'III.1.5.Cob.Afil. SFS '!$A$4:$A$14</c:f>
              <c:strCache>
                <c:ptCount val="11"/>
                <c:pt idx="0">
                  <c:v>Dic. 2005</c:v>
                </c:pt>
                <c:pt idx="1">
                  <c:v>Dic. 2006</c:v>
                </c:pt>
                <c:pt idx="2">
                  <c:v>Dic. 2007</c:v>
                </c:pt>
                <c:pt idx="3">
                  <c:v>Dic. 2008</c:v>
                </c:pt>
                <c:pt idx="4">
                  <c:v>Dic. 2009</c:v>
                </c:pt>
                <c:pt idx="5">
                  <c:v>Dic. 2010</c:v>
                </c:pt>
                <c:pt idx="6">
                  <c:v>Dic. 2011</c:v>
                </c:pt>
                <c:pt idx="7">
                  <c:v>Dic. 2012</c:v>
                </c:pt>
                <c:pt idx="8">
                  <c:v>Dic. 2013</c:v>
                </c:pt>
                <c:pt idx="9">
                  <c:v>Dic. 2014</c:v>
                </c:pt>
                <c:pt idx="10">
                  <c:v>Nov. 2015</c:v>
                </c:pt>
              </c:strCache>
            </c:strRef>
          </c:cat>
          <c:val>
            <c:numRef>
              <c:f>'III.1.5.Cob.Afil. SFS '!$D$4:$D$14</c:f>
              <c:numCache>
                <c:formatCode>#,##0</c:formatCode>
                <c:ptCount val="11"/>
                <c:pt idx="0">
                  <c:v>0</c:v>
                </c:pt>
                <c:pt idx="1">
                  <c:v>0</c:v>
                </c:pt>
                <c:pt idx="2">
                  <c:v>0</c:v>
                </c:pt>
                <c:pt idx="3">
                  <c:v>0</c:v>
                </c:pt>
                <c:pt idx="4">
                  <c:v>18375</c:v>
                </c:pt>
                <c:pt idx="5">
                  <c:v>27177</c:v>
                </c:pt>
                <c:pt idx="6">
                  <c:v>29648</c:v>
                </c:pt>
                <c:pt idx="7">
                  <c:v>30884</c:v>
                </c:pt>
                <c:pt idx="8">
                  <c:v>29217</c:v>
                </c:pt>
                <c:pt idx="9">
                  <c:v>30470</c:v>
                </c:pt>
                <c:pt idx="10">
                  <c:v>30522</c:v>
                </c:pt>
              </c:numCache>
            </c:numRef>
          </c:val>
        </c:ser>
        <c:dLbls>
          <c:showLegendKey val="0"/>
          <c:showVal val="0"/>
          <c:showCatName val="0"/>
          <c:showSerName val="0"/>
          <c:showPercent val="0"/>
          <c:showBubbleSize val="0"/>
        </c:dLbls>
        <c:gapWidth val="7"/>
        <c:overlap val="1"/>
        <c:axId val="379991216"/>
        <c:axId val="380002976"/>
      </c:barChart>
      <c:lineChart>
        <c:grouping val="standard"/>
        <c:varyColors val="0"/>
        <c:ser>
          <c:idx val="3"/>
          <c:order val="3"/>
          <c:tx>
            <c:strRef>
              <c:f>'III.1.5.Cob.Afil. SFS '!$F$3</c:f>
              <c:strCache>
                <c:ptCount val="1"/>
                <c:pt idx="0">
                  <c:v>%  RC </c:v>
                </c:pt>
              </c:strCache>
            </c:strRef>
          </c:tx>
          <c:spPr>
            <a:ln w="66675">
              <a:noFill/>
            </a:ln>
            <a:effectLst>
              <a:glow rad="228600">
                <a:schemeClr val="accent5">
                  <a:satMod val="175000"/>
                  <a:alpha val="40000"/>
                </a:schemeClr>
              </a:glow>
            </a:effectLst>
          </c:spPr>
          <c:marker>
            <c:symbol val="triangle"/>
            <c:size val="12"/>
            <c:spPr>
              <a:solidFill>
                <a:srgbClr val="00B0F0"/>
              </a:solidFill>
              <a:effectLst>
                <a:glow rad="228600">
                  <a:schemeClr val="accent5">
                    <a:satMod val="175000"/>
                    <a:alpha val="40000"/>
                  </a:schemeClr>
                </a:glow>
              </a:effectLst>
            </c:spPr>
          </c:marker>
          <c:dLbls>
            <c:dLbl>
              <c:idx val="4"/>
              <c:layout>
                <c:manualLayout>
                  <c:x val="-1.9802554896761391E-2"/>
                  <c:y val="2.611120660091293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1.9802554896761391E-2"/>
                  <c:y val="-2.480565910184689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2.2996515363980969E-2"/>
                  <c:y val="-2.770659909473007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7247386522985728E-2"/>
                  <c:y val="-2.350008594082172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1.9802554896761391E-2"/>
                  <c:y val="-2.480574907089326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1.5969802336097894E-2"/>
                  <c:y val="-2.74167669309586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1.0274372257091491E-2"/>
                  <c:y val="-3.9793276391049737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400" b="1"/>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'III.1.5.Cob.Afil. SFS '!$A$4:$A$14</c:f>
              <c:strCache>
                <c:ptCount val="11"/>
                <c:pt idx="0">
                  <c:v>Dic. 2005</c:v>
                </c:pt>
                <c:pt idx="1">
                  <c:v>Dic. 2006</c:v>
                </c:pt>
                <c:pt idx="2">
                  <c:v>Dic. 2007</c:v>
                </c:pt>
                <c:pt idx="3">
                  <c:v>Dic. 2008</c:v>
                </c:pt>
                <c:pt idx="4">
                  <c:v>Dic. 2009</c:v>
                </c:pt>
                <c:pt idx="5">
                  <c:v>Dic. 2010</c:v>
                </c:pt>
                <c:pt idx="6">
                  <c:v>Dic. 2011</c:v>
                </c:pt>
                <c:pt idx="7">
                  <c:v>Dic. 2012</c:v>
                </c:pt>
                <c:pt idx="8">
                  <c:v>Dic. 2013</c:v>
                </c:pt>
                <c:pt idx="9">
                  <c:v>Dic. 2014</c:v>
                </c:pt>
                <c:pt idx="10">
                  <c:v>Nov. 2015</c:v>
                </c:pt>
              </c:strCache>
            </c:strRef>
          </c:cat>
          <c:val>
            <c:numRef>
              <c:f>'III.1.5.Cob.Afil. SFS '!$F$4:$F$14</c:f>
              <c:numCache>
                <c:formatCode>0.00%</c:formatCode>
                <c:ptCount val="11"/>
                <c:pt idx="2">
                  <c:v>0.59650377060068926</c:v>
                </c:pt>
                <c:pt idx="3">
                  <c:v>0.5854729727442648</c:v>
                </c:pt>
                <c:pt idx="4">
                  <c:v>0.60571207646384206</c:v>
                </c:pt>
                <c:pt idx="5">
                  <c:v>0.56324036187264759</c:v>
                </c:pt>
                <c:pt idx="6">
                  <c:v>0.56080305645484019</c:v>
                </c:pt>
                <c:pt idx="7">
                  <c:v>0.54164173882189448</c:v>
                </c:pt>
                <c:pt idx="8">
                  <c:v>0.52563263080609535</c:v>
                </c:pt>
                <c:pt idx="9">
                  <c:v>0.5142584279571103</c:v>
                </c:pt>
                <c:pt idx="10">
                  <c:v>0.52403308069502108</c:v>
                </c:pt>
              </c:numCache>
            </c:numRef>
          </c:val>
          <c:smooth val="0"/>
        </c:ser>
        <c:ser>
          <c:idx val="4"/>
          <c:order val="4"/>
          <c:tx>
            <c:strRef>
              <c:f>'III.1.5.Cob.Afil. SFS '!$G$3</c:f>
              <c:strCache>
                <c:ptCount val="1"/>
                <c:pt idx="0">
                  <c:v>%   RS </c:v>
                </c:pt>
              </c:strCache>
            </c:strRef>
          </c:tx>
          <c:spPr>
            <a:ln w="66675">
              <a:noFill/>
            </a:ln>
            <a:effectLst>
              <a:glow rad="228600">
                <a:srgbClr val="FF0000">
                  <a:alpha val="40000"/>
                </a:srgbClr>
              </a:glow>
            </a:effectLst>
          </c:spPr>
          <c:marker>
            <c:symbol val="square"/>
            <c:size val="13"/>
            <c:spPr>
              <a:solidFill>
                <a:schemeClr val="tx1"/>
              </a:solidFill>
              <a:effectLst>
                <a:glow rad="228600">
                  <a:srgbClr val="FF0000">
                    <a:alpha val="40000"/>
                  </a:srgbClr>
                </a:glow>
              </a:effectLst>
            </c:spPr>
          </c:marker>
          <c:dLbls>
            <c:dLbl>
              <c:idx val="0"/>
              <c:layout>
                <c:manualLayout>
                  <c:x val="-2.1080139083649221E-2"/>
                  <c:y val="-3.133344792109563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7247386522985728E-2"/>
                  <c:y val="-3.133344792109563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2.2357723270537054E-2"/>
                  <c:y val="-3.133344792109563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7886178616429643E-2"/>
                  <c:y val="-3.525012891123258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1.5969802336097894E-2"/>
                  <c:y val="2.678470189432761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1.9163762803317472E-2"/>
                  <c:y val="2.398036789549869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9163762803317472E-2"/>
                  <c:y val="1.987047289130920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8524970709873557E-2"/>
                  <c:y val="3.287639986225641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2.1718981475683265E-2"/>
                  <c:y val="2.649488391216527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2.0441346990205306E-2"/>
                  <c:y val="2.828336448094603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1.5411558385637236E-2"/>
                  <c:y val="3.8372087948512351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400" b="1"/>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'III.1.5.Cob.Afil. SFS '!$A$4:$A$14</c:f>
              <c:strCache>
                <c:ptCount val="11"/>
                <c:pt idx="0">
                  <c:v>Dic. 2005</c:v>
                </c:pt>
                <c:pt idx="1">
                  <c:v>Dic. 2006</c:v>
                </c:pt>
                <c:pt idx="2">
                  <c:v>Dic. 2007</c:v>
                </c:pt>
                <c:pt idx="3">
                  <c:v>Dic. 2008</c:v>
                </c:pt>
                <c:pt idx="4">
                  <c:v>Dic. 2009</c:v>
                </c:pt>
                <c:pt idx="5">
                  <c:v>Dic. 2010</c:v>
                </c:pt>
                <c:pt idx="6">
                  <c:v>Dic. 2011</c:v>
                </c:pt>
                <c:pt idx="7">
                  <c:v>Dic. 2012</c:v>
                </c:pt>
                <c:pt idx="8">
                  <c:v>Dic. 2013</c:v>
                </c:pt>
                <c:pt idx="9">
                  <c:v>Dic. 2014</c:v>
                </c:pt>
                <c:pt idx="10">
                  <c:v>Nov. 2015</c:v>
                </c:pt>
              </c:strCache>
            </c:strRef>
          </c:cat>
          <c:val>
            <c:numRef>
              <c:f>'III.1.5.Cob.Afil. SFS '!$G$4:$G$14</c:f>
              <c:numCache>
                <c:formatCode>0.00%</c:formatCode>
                <c:ptCount val="11"/>
                <c:pt idx="0">
                  <c:v>1</c:v>
                </c:pt>
                <c:pt idx="1">
                  <c:v>1</c:v>
                </c:pt>
                <c:pt idx="2">
                  <c:v>0.40349622939931074</c:v>
                </c:pt>
                <c:pt idx="3">
                  <c:v>0.41452702725573515</c:v>
                </c:pt>
                <c:pt idx="4">
                  <c:v>0.3889784160937455</c:v>
                </c:pt>
                <c:pt idx="5">
                  <c:v>0.43042910299133336</c:v>
                </c:pt>
                <c:pt idx="6">
                  <c:v>0.43276978646525005</c:v>
                </c:pt>
                <c:pt idx="7">
                  <c:v>0.45227031475613422</c:v>
                </c:pt>
                <c:pt idx="8">
                  <c:v>0.46918837417809134</c:v>
                </c:pt>
                <c:pt idx="9">
                  <c:v>0.48088274667309194</c:v>
                </c:pt>
                <c:pt idx="10">
                  <c:v>0.47131097088926294</c:v>
                </c:pt>
              </c:numCache>
            </c:numRef>
          </c:val>
          <c:smooth val="0"/>
        </c:ser>
        <c:ser>
          <c:idx val="5"/>
          <c:order val="5"/>
          <c:tx>
            <c:strRef>
              <c:f>'III.1.5.Cob.Afil. SFS '!$H$3</c:f>
              <c:strCache>
                <c:ptCount val="1"/>
                <c:pt idx="0">
                  <c:v>%  RET</c:v>
                </c:pt>
              </c:strCache>
            </c:strRef>
          </c:tx>
          <c:spPr>
            <a:ln w="66675">
              <a:noFill/>
            </a:ln>
            <a:effectLst>
              <a:glow rad="228600">
                <a:schemeClr val="accent3">
                  <a:satMod val="175000"/>
                  <a:alpha val="40000"/>
                </a:schemeClr>
              </a:glow>
            </a:effectLst>
          </c:spPr>
          <c:marker>
            <c:spPr>
              <a:solidFill>
                <a:srgbClr val="C00000"/>
              </a:solidFill>
              <a:effectLst>
                <a:glow rad="228600">
                  <a:schemeClr val="accent3">
                    <a:satMod val="175000"/>
                    <a:alpha val="40000"/>
                  </a:schemeClr>
                </a:glow>
              </a:effectLst>
            </c:spPr>
          </c:marker>
          <c:dLbls>
            <c:dLbl>
              <c:idx val="6"/>
              <c:layout>
                <c:manualLayout>
                  <c:x val="-1.4692218149210063E-2"/>
                  <c:y val="-2.480564627086737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5969802336097894E-2"/>
                  <c:y val="-2.872232726100433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1.9802554896761391E-2"/>
                  <c:y val="-3.002788759104998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1.5331010242653979E-2"/>
                  <c:y val="-3.525012891123258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9.6322239910232726E-3"/>
                  <c:y val="1.136950754029982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400" b="1"/>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'III.1.5.Cob.Afil. SFS '!$A$4:$A$14</c:f>
              <c:strCache>
                <c:ptCount val="11"/>
                <c:pt idx="0">
                  <c:v>Dic. 2005</c:v>
                </c:pt>
                <c:pt idx="1">
                  <c:v>Dic. 2006</c:v>
                </c:pt>
                <c:pt idx="2">
                  <c:v>Dic. 2007</c:v>
                </c:pt>
                <c:pt idx="3">
                  <c:v>Dic. 2008</c:v>
                </c:pt>
                <c:pt idx="4">
                  <c:v>Dic. 2009</c:v>
                </c:pt>
                <c:pt idx="5">
                  <c:v>Dic. 2010</c:v>
                </c:pt>
                <c:pt idx="6">
                  <c:v>Dic. 2011</c:v>
                </c:pt>
                <c:pt idx="7">
                  <c:v>Dic. 2012</c:v>
                </c:pt>
                <c:pt idx="8">
                  <c:v>Dic. 2013</c:v>
                </c:pt>
                <c:pt idx="9">
                  <c:v>Dic. 2014</c:v>
                </c:pt>
                <c:pt idx="10">
                  <c:v>Nov. 2015</c:v>
                </c:pt>
              </c:strCache>
            </c:strRef>
          </c:cat>
          <c:val>
            <c:numRef>
              <c:f>'III.1.5.Cob.Afil. SFS '!$H$4:$H$14</c:f>
              <c:numCache>
                <c:formatCode>0.00%</c:formatCode>
                <c:ptCount val="11"/>
                <c:pt idx="4">
                  <c:v>5.309507442412432E-3</c:v>
                </c:pt>
                <c:pt idx="5">
                  <c:v>6.3305351360190372E-3</c:v>
                </c:pt>
                <c:pt idx="6">
                  <c:v>6.4271570799098012E-3</c:v>
                </c:pt>
                <c:pt idx="7">
                  <c:v>6.0879464219713289E-3</c:v>
                </c:pt>
                <c:pt idx="8">
                  <c:v>5.1789950158133329E-3</c:v>
                </c:pt>
                <c:pt idx="9">
                  <c:v>4.8588253697977521E-3</c:v>
                </c:pt>
                <c:pt idx="10">
                  <c:v>4.6559484157159998E-3</c:v>
                </c:pt>
              </c:numCache>
            </c:numRef>
          </c:val>
          <c:smooth val="0"/>
        </c:ser>
        <c:dLbls>
          <c:showLegendKey val="0"/>
          <c:showVal val="0"/>
          <c:showCatName val="0"/>
          <c:showSerName val="0"/>
          <c:showPercent val="0"/>
          <c:showBubbleSize val="0"/>
        </c:dLbls>
        <c:marker val="1"/>
        <c:smooth val="0"/>
        <c:axId val="379995920"/>
        <c:axId val="379990824"/>
      </c:lineChart>
      <c:catAx>
        <c:axId val="379991216"/>
        <c:scaling>
          <c:orientation val="minMax"/>
        </c:scaling>
        <c:delete val="0"/>
        <c:axPos val="b"/>
        <c:numFmt formatCode="General" sourceLinked="0"/>
        <c:majorTickMark val="none"/>
        <c:minorTickMark val="none"/>
        <c:tickLblPos val="nextTo"/>
        <c:txPr>
          <a:bodyPr/>
          <a:lstStyle/>
          <a:p>
            <a:pPr>
              <a:defRPr sz="1800"/>
            </a:pPr>
            <a:endParaRPr lang="es-ES"/>
          </a:p>
        </c:txPr>
        <c:crossAx val="380002976"/>
        <c:crosses val="autoZero"/>
        <c:auto val="1"/>
        <c:lblAlgn val="ctr"/>
        <c:lblOffset val="100"/>
        <c:noMultiLvlLbl val="0"/>
      </c:catAx>
      <c:valAx>
        <c:axId val="380002976"/>
        <c:scaling>
          <c:orientation val="minMax"/>
        </c:scaling>
        <c:delete val="0"/>
        <c:axPos val="l"/>
        <c:numFmt formatCode="#,##0" sourceLinked="1"/>
        <c:majorTickMark val="none"/>
        <c:minorTickMark val="none"/>
        <c:tickLblPos val="nextTo"/>
        <c:txPr>
          <a:bodyPr/>
          <a:lstStyle/>
          <a:p>
            <a:pPr>
              <a:defRPr sz="1200"/>
            </a:pPr>
            <a:endParaRPr lang="es-ES"/>
          </a:p>
        </c:txPr>
        <c:crossAx val="379991216"/>
        <c:crosses val="autoZero"/>
        <c:crossBetween val="between"/>
        <c:dispUnits>
          <c:builtInUnit val="thousands"/>
          <c:dispUnitsLbl>
            <c:layout/>
          </c:dispUnitsLbl>
        </c:dispUnits>
      </c:valAx>
      <c:valAx>
        <c:axId val="379990824"/>
        <c:scaling>
          <c:orientation val="minMax"/>
          <c:max val="2"/>
        </c:scaling>
        <c:delete val="0"/>
        <c:axPos val="r"/>
        <c:numFmt formatCode="0.00%" sourceLinked="1"/>
        <c:majorTickMark val="out"/>
        <c:minorTickMark val="none"/>
        <c:tickLblPos val="nextTo"/>
        <c:crossAx val="379995920"/>
        <c:crosses val="max"/>
        <c:crossBetween val="between"/>
      </c:valAx>
      <c:catAx>
        <c:axId val="379995920"/>
        <c:scaling>
          <c:orientation val="minMax"/>
        </c:scaling>
        <c:delete val="1"/>
        <c:axPos val="b"/>
        <c:numFmt formatCode="General" sourceLinked="1"/>
        <c:majorTickMark val="out"/>
        <c:minorTickMark val="none"/>
        <c:tickLblPos val="nextTo"/>
        <c:crossAx val="379990824"/>
        <c:crosses val="autoZero"/>
        <c:auto val="1"/>
        <c:lblAlgn val="ctr"/>
        <c:lblOffset val="100"/>
        <c:noMultiLvlLbl val="0"/>
      </c:catAx>
    </c:plotArea>
    <c:legend>
      <c:legendPos val="t"/>
      <c:layout>
        <c:manualLayout>
          <c:xMode val="edge"/>
          <c:yMode val="edge"/>
          <c:x val="0.17651726753559829"/>
          <c:y val="7.072648832812814E-2"/>
          <c:w val="0.69629455025323095"/>
          <c:h val="4.188002818955612E-2"/>
        </c:manualLayout>
      </c:layout>
      <c:overlay val="0"/>
      <c:txPr>
        <a:bodyPr/>
        <a:lstStyle/>
        <a:p>
          <a:pPr>
            <a:defRPr sz="18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1.1197580917208901E-2"/>
          <c:y val="0.28807289539499031"/>
          <c:w val="0.95628961677526048"/>
          <c:h val="0.52082219760034398"/>
        </c:manualLayout>
      </c:layout>
      <c:bar3DChart>
        <c:barDir val="col"/>
        <c:grouping val="clustered"/>
        <c:varyColors val="0"/>
        <c:ser>
          <c:idx val="0"/>
          <c:order val="0"/>
          <c:tx>
            <c:strRef>
              <c:f>'V.2.4. Monto subsid.'!$A$4</c:f>
              <c:strCache>
                <c:ptCount val="1"/>
                <c:pt idx="0">
                  <c:v>Maternidad</c:v>
                </c:pt>
              </c:strCache>
            </c:strRef>
          </c:tx>
          <c:spPr>
            <a:solidFill>
              <a:schemeClr val="accent5">
                <a:lumMod val="50000"/>
              </a:schemeClr>
            </a:solidFill>
          </c:spPr>
          <c:invertIfNegative val="0"/>
          <c:dLbls>
            <c:dLbl>
              <c:idx val="0"/>
              <c:layout>
                <c:manualLayout>
                  <c:x val="0"/>
                  <c:y val="-1.329218785674161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4.8195569759675811E-3"/>
                  <c:y val="-2.7307469236873758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9.4449849568493845E-3"/>
                  <c:y val="-1.163093835489141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6.7530300649432931E-3"/>
                  <c:y val="-1.186865055437680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6.2534895056167231E-3"/>
                  <c:y val="-8.90019143120404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5.4718033174146327E-3"/>
                  <c:y val="-7.1201531449632347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600" b="0">
                    <a:solidFill>
                      <a:schemeClr val="accent5">
                        <a:lumMod val="5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'V.2.4. Monto subsid.'!$B$3:$I$3</c:f>
              <c:strCache>
                <c:ptCount val="8"/>
                <c:pt idx="0">
                  <c:v>2008</c:v>
                </c:pt>
                <c:pt idx="1">
                  <c:v>2009</c:v>
                </c:pt>
                <c:pt idx="2">
                  <c:v>2010</c:v>
                </c:pt>
                <c:pt idx="3">
                  <c:v>2011</c:v>
                </c:pt>
                <c:pt idx="4">
                  <c:v>2012</c:v>
                </c:pt>
                <c:pt idx="5">
                  <c:v>2013</c:v>
                </c:pt>
                <c:pt idx="6">
                  <c:v>2014</c:v>
                </c:pt>
                <c:pt idx="7">
                  <c:v>Ene - Nov. 2015</c:v>
                </c:pt>
              </c:strCache>
            </c:strRef>
          </c:cat>
          <c:val>
            <c:numRef>
              <c:f>'V.2.4. Monto subsid.'!$B$4:$I$4</c:f>
              <c:numCache>
                <c:formatCode>_(* #,##0.00_);_(* \(#,##0.00\);_(* "-"_);_(@_)</c:formatCode>
                <c:ptCount val="8"/>
                <c:pt idx="0">
                  <c:v>69129032.280000001</c:v>
                </c:pt>
                <c:pt idx="1">
                  <c:v>561724059.99000001</c:v>
                </c:pt>
                <c:pt idx="2">
                  <c:v>668415203.51999998</c:v>
                </c:pt>
                <c:pt idx="3">
                  <c:v>537305292.14999998</c:v>
                </c:pt>
                <c:pt idx="4">
                  <c:v>571314822.09000003</c:v>
                </c:pt>
                <c:pt idx="5">
                  <c:v>766134331.44000006</c:v>
                </c:pt>
                <c:pt idx="6">
                  <c:v>833145694.23000002</c:v>
                </c:pt>
                <c:pt idx="7">
                  <c:v>857877959.07000005</c:v>
                </c:pt>
              </c:numCache>
            </c:numRef>
          </c:val>
        </c:ser>
        <c:ser>
          <c:idx val="1"/>
          <c:order val="1"/>
          <c:tx>
            <c:strRef>
              <c:f>'V.2.4. Monto subsid.'!$A$5</c:f>
              <c:strCache>
                <c:ptCount val="1"/>
                <c:pt idx="0">
                  <c:v>Lactancia</c:v>
                </c:pt>
              </c:strCache>
            </c:strRef>
          </c:tx>
          <c:spPr>
            <a:solidFill>
              <a:schemeClr val="accent2">
                <a:lumMod val="75000"/>
              </a:schemeClr>
            </a:solidFill>
          </c:spPr>
          <c:invertIfNegative val="0"/>
          <c:dLbls>
            <c:dLbl>
              <c:idx val="0"/>
              <c:layout>
                <c:manualLayout>
                  <c:x val="2.1276592180165688E-3"/>
                  <c:y val="-1.51910718362761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6.3829909024653211E-3"/>
                  <c:y val="-4.748497409413505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8.316402441347473E-3"/>
                  <c:y val="-8.546286181380509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6.0360945751655589E-3"/>
                  <c:y val="-1.080174886659215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6.2534895056167231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7.035175693818699E-3"/>
                  <c:y val="-7.1201531449633648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600" b="0">
                    <a:solidFill>
                      <a:srgbClr val="FF000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'V.2.4. Monto subsid.'!$B$3:$I$3</c:f>
              <c:strCache>
                <c:ptCount val="8"/>
                <c:pt idx="0">
                  <c:v>2008</c:v>
                </c:pt>
                <c:pt idx="1">
                  <c:v>2009</c:v>
                </c:pt>
                <c:pt idx="2">
                  <c:v>2010</c:v>
                </c:pt>
                <c:pt idx="3">
                  <c:v>2011</c:v>
                </c:pt>
                <c:pt idx="4">
                  <c:v>2012</c:v>
                </c:pt>
                <c:pt idx="5">
                  <c:v>2013</c:v>
                </c:pt>
                <c:pt idx="6">
                  <c:v>2014</c:v>
                </c:pt>
                <c:pt idx="7">
                  <c:v>Ene - Nov. 2015</c:v>
                </c:pt>
              </c:strCache>
            </c:strRef>
          </c:cat>
          <c:val>
            <c:numRef>
              <c:f>'V.2.4. Monto subsid.'!$B$5:$I$5</c:f>
              <c:numCache>
                <c:formatCode>_(* #,##0.00_);_(* \(#,##0.00\);_(* "-"_);_(@_)</c:formatCode>
                <c:ptCount val="8"/>
                <c:pt idx="0">
                  <c:v>13366656.84</c:v>
                </c:pt>
                <c:pt idx="1">
                  <c:v>132999984.59999999</c:v>
                </c:pt>
                <c:pt idx="2">
                  <c:v>160423346.03999999</c:v>
                </c:pt>
                <c:pt idx="3">
                  <c:v>137088478.56</c:v>
                </c:pt>
                <c:pt idx="4">
                  <c:v>132479645.88</c:v>
                </c:pt>
                <c:pt idx="5">
                  <c:v>228137238.59999999</c:v>
                </c:pt>
                <c:pt idx="6">
                  <c:v>241574218.91999999</c:v>
                </c:pt>
                <c:pt idx="7">
                  <c:v>262358462.16</c:v>
                </c:pt>
              </c:numCache>
            </c:numRef>
          </c:val>
        </c:ser>
        <c:ser>
          <c:idx val="2"/>
          <c:order val="2"/>
          <c:tx>
            <c:strRef>
              <c:f>'V.2.4. Monto subsid.'!$A$6</c:f>
              <c:strCache>
                <c:ptCount val="1"/>
                <c:pt idx="0">
                  <c:v>Enfermedad</c:v>
                </c:pt>
              </c:strCache>
            </c:strRef>
          </c:tx>
          <c:invertIfNegative val="0"/>
          <c:dLbls>
            <c:dLbl>
              <c:idx val="0"/>
              <c:delete val="1"/>
              <c:extLst>
                <c:ext xmlns:c15="http://schemas.microsoft.com/office/drawing/2012/chart" uri="{CE6537A1-D6FC-4f65-9D91-7224C49458BB}"/>
              </c:extLst>
            </c:dLbl>
            <c:dLbl>
              <c:idx val="1"/>
              <c:layout>
                <c:manualLayout>
                  <c:x val="6.8177807633676493E-3"/>
                  <c:y val="-6.2908234961689931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7.3173213226942766E-3"/>
                  <c:y val="-9.8509000686506105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5.8507672434587486E-3"/>
                  <c:y val="-1.076614810086740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5.4718033174146327E-3"/>
                  <c:y val="-8.900191431204043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600" b="0">
                    <a:solidFill>
                      <a:schemeClr val="accent3">
                        <a:lumMod val="5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'V.2.4. Monto subsid.'!$B$3:$I$3</c:f>
              <c:strCache>
                <c:ptCount val="8"/>
                <c:pt idx="0">
                  <c:v>2008</c:v>
                </c:pt>
                <c:pt idx="1">
                  <c:v>2009</c:v>
                </c:pt>
                <c:pt idx="2">
                  <c:v>2010</c:v>
                </c:pt>
                <c:pt idx="3">
                  <c:v>2011</c:v>
                </c:pt>
                <c:pt idx="4">
                  <c:v>2012</c:v>
                </c:pt>
                <c:pt idx="5">
                  <c:v>2013</c:v>
                </c:pt>
                <c:pt idx="6">
                  <c:v>2014</c:v>
                </c:pt>
                <c:pt idx="7">
                  <c:v>Ene - Nov. 2015</c:v>
                </c:pt>
              </c:strCache>
            </c:strRef>
          </c:cat>
          <c:val>
            <c:numRef>
              <c:f>'V.2.4. Monto subsid.'!$B$6:$I$6</c:f>
              <c:numCache>
                <c:formatCode>_(* #,##0.00_);_(* \(#,##0.00\);_(* "-"_);_(@_)</c:formatCode>
                <c:ptCount val="8"/>
                <c:pt idx="0">
                  <c:v>0</c:v>
                </c:pt>
                <c:pt idx="1">
                  <c:v>14428645.85</c:v>
                </c:pt>
                <c:pt idx="2">
                  <c:v>100999551.52</c:v>
                </c:pt>
                <c:pt idx="3">
                  <c:v>134096281.95999999</c:v>
                </c:pt>
                <c:pt idx="4">
                  <c:v>157835997.61000001</c:v>
                </c:pt>
                <c:pt idx="5">
                  <c:v>211271694.63</c:v>
                </c:pt>
                <c:pt idx="6">
                  <c:v>248732154.31</c:v>
                </c:pt>
                <c:pt idx="7">
                  <c:v>328442265.00999999</c:v>
                </c:pt>
              </c:numCache>
            </c:numRef>
          </c:val>
        </c:ser>
        <c:dLbls>
          <c:showLegendKey val="0"/>
          <c:showVal val="0"/>
          <c:showCatName val="0"/>
          <c:showSerName val="0"/>
          <c:showPercent val="0"/>
          <c:showBubbleSize val="0"/>
        </c:dLbls>
        <c:gapWidth val="89"/>
        <c:shape val="cylinder"/>
        <c:axId val="371324520"/>
        <c:axId val="371317072"/>
        <c:axId val="0"/>
      </c:bar3DChart>
      <c:catAx>
        <c:axId val="371324520"/>
        <c:scaling>
          <c:orientation val="minMax"/>
        </c:scaling>
        <c:delete val="0"/>
        <c:axPos val="b"/>
        <c:numFmt formatCode="General" sourceLinked="1"/>
        <c:majorTickMark val="none"/>
        <c:minorTickMark val="none"/>
        <c:tickLblPos val="nextTo"/>
        <c:txPr>
          <a:bodyPr/>
          <a:lstStyle/>
          <a:p>
            <a:pPr>
              <a:defRPr sz="1600"/>
            </a:pPr>
            <a:endParaRPr lang="es-ES"/>
          </a:p>
        </c:txPr>
        <c:crossAx val="371317072"/>
        <c:crosses val="autoZero"/>
        <c:auto val="1"/>
        <c:lblAlgn val="ctr"/>
        <c:lblOffset val="100"/>
        <c:noMultiLvlLbl val="0"/>
      </c:catAx>
      <c:valAx>
        <c:axId val="371317072"/>
        <c:scaling>
          <c:orientation val="minMax"/>
        </c:scaling>
        <c:delete val="1"/>
        <c:axPos val="l"/>
        <c:numFmt formatCode="_(* #,##0.00_);_(* \(#,##0.00\);_(* &quot;-&quot;_);_(@_)" sourceLinked="1"/>
        <c:majorTickMark val="out"/>
        <c:minorTickMark val="none"/>
        <c:tickLblPos val="nextTo"/>
        <c:crossAx val="371324520"/>
        <c:crosses val="autoZero"/>
        <c:crossBetween val="between"/>
      </c:valAx>
    </c:plotArea>
    <c:legend>
      <c:legendPos val="t"/>
      <c:layout>
        <c:manualLayout>
          <c:xMode val="edge"/>
          <c:yMode val="edge"/>
          <c:x val="0.17592100442443925"/>
          <c:y val="0.1153237749482177"/>
          <c:w val="0.61458018387821134"/>
          <c:h val="4.0321651516718765E-2"/>
        </c:manualLayout>
      </c:layout>
      <c:overlay val="0"/>
      <c:txPr>
        <a:bodyPr/>
        <a:lstStyle/>
        <a:p>
          <a:pPr>
            <a:defRPr sz="18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7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s-ES" sz="2000"/>
              <a:t>Pensiones Otorgadas por Año</a:t>
            </a:r>
          </a:p>
        </c:rich>
      </c:tx>
      <c:layout>
        <c:manualLayout>
          <c:xMode val="edge"/>
          <c:yMode val="edge"/>
          <c:x val="0.43760858083787307"/>
          <c:y val="2.1457572929424396E-2"/>
        </c:manualLayout>
      </c:layout>
      <c:overlay val="0"/>
    </c:title>
    <c:autoTitleDeleted val="0"/>
    <c:view3D>
      <c:rotX val="20"/>
      <c:rotY val="20"/>
      <c:rAngAx val="1"/>
    </c:view3D>
    <c:floor>
      <c:thickness val="0"/>
    </c:floor>
    <c:sideWall>
      <c:thickness val="0"/>
    </c:sideWall>
    <c:backWall>
      <c:thickness val="0"/>
    </c:backWall>
    <c:plotArea>
      <c:layout>
        <c:manualLayout>
          <c:layoutTarget val="inner"/>
          <c:xMode val="edge"/>
          <c:yMode val="edge"/>
          <c:x val="4.4683249793324817E-2"/>
          <c:y val="0.17943978553499396"/>
          <c:w val="0.91407188777001369"/>
          <c:h val="0.62378676176009029"/>
        </c:manualLayout>
      </c:layout>
      <c:bar3DChart>
        <c:barDir val="col"/>
        <c:grouping val="clustered"/>
        <c:varyColors val="0"/>
        <c:ser>
          <c:idx val="0"/>
          <c:order val="0"/>
          <c:tx>
            <c:strRef>
              <c:f>'V.3.2 Pensiones por año'!$C$4</c:f>
              <c:strCache>
                <c:ptCount val="1"/>
                <c:pt idx="0">
                  <c:v>Pensiones Sobrevivencia</c:v>
                </c:pt>
              </c:strCache>
            </c:strRef>
          </c:tx>
          <c:spPr>
            <a:ln w="28575">
              <a:noFill/>
            </a:ln>
          </c:spPr>
          <c:invertIfNegative val="0"/>
          <c:dLbls>
            <c:dLbl>
              <c:idx val="0"/>
              <c:layout>
                <c:manualLayout>
                  <c:x val="6.777316588202755E-3"/>
                  <c:y val="-1.454113636772554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4.8409404201448028E-3"/>
                  <c:y val="-8.309220781557455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8.4688250298118068E-3"/>
                  <c:y val="-1.021003681900783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7.9225992327986144E-3"/>
                  <c:y val="-8.123408285339873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5.259090943050191E-3"/>
                  <c:y val="-1.440194056290063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8.7136927562607089E-3"/>
                  <c:y val="-8.309220781557531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2.9191432465394758E-3"/>
                  <c:y val="-8.5540796877042035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8.9824553315662817E-3"/>
                  <c:y val="-1.678560463719870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6.22727902707923E-3"/>
                  <c:y val="-2.093089443527558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2.8709346638535324E-3"/>
                  <c:y val="-1.201804706084690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1.9247763974987731E-3"/>
                  <c:y val="-1.3056514302941179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2000">
                    <a:solidFill>
                      <a:srgbClr val="00206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'V.3.2 Pensiones por año'!$A$5:$A$17</c:f>
              <c:strCache>
                <c:ptCount val="13"/>
                <c:pt idx="0">
                  <c:v>2003</c:v>
                </c:pt>
                <c:pt idx="1">
                  <c:v>2004</c:v>
                </c:pt>
                <c:pt idx="2">
                  <c:v>2005</c:v>
                </c:pt>
                <c:pt idx="3">
                  <c:v>2006</c:v>
                </c:pt>
                <c:pt idx="4">
                  <c:v>2007</c:v>
                </c:pt>
                <c:pt idx="5">
                  <c:v>2008</c:v>
                </c:pt>
                <c:pt idx="6">
                  <c:v>2009</c:v>
                </c:pt>
                <c:pt idx="7">
                  <c:v>2010</c:v>
                </c:pt>
                <c:pt idx="8">
                  <c:v>2011</c:v>
                </c:pt>
                <c:pt idx="9">
                  <c:v>2012</c:v>
                </c:pt>
                <c:pt idx="10">
                  <c:v>2013</c:v>
                </c:pt>
                <c:pt idx="11">
                  <c:v>2014</c:v>
                </c:pt>
                <c:pt idx="12">
                  <c:v>Ene- Nov. 2015</c:v>
                </c:pt>
              </c:strCache>
            </c:strRef>
          </c:cat>
          <c:val>
            <c:numRef>
              <c:f>'V.3.2 Pensiones por año'!$C$7:$C$17</c:f>
              <c:numCache>
                <c:formatCode>#,##0</c:formatCode>
                <c:ptCount val="11"/>
                <c:pt idx="0">
                  <c:v>181</c:v>
                </c:pt>
                <c:pt idx="1">
                  <c:v>278</c:v>
                </c:pt>
                <c:pt idx="2">
                  <c:v>252</c:v>
                </c:pt>
                <c:pt idx="3">
                  <c:v>362</c:v>
                </c:pt>
                <c:pt idx="4">
                  <c:v>581</c:v>
                </c:pt>
                <c:pt idx="5">
                  <c:v>415</c:v>
                </c:pt>
                <c:pt idx="6">
                  <c:v>506</c:v>
                </c:pt>
                <c:pt idx="7">
                  <c:v>603</c:v>
                </c:pt>
                <c:pt idx="8">
                  <c:v>659</c:v>
                </c:pt>
                <c:pt idx="9">
                  <c:v>722</c:v>
                </c:pt>
                <c:pt idx="10">
                  <c:v>756</c:v>
                </c:pt>
              </c:numCache>
            </c:numRef>
          </c:val>
        </c:ser>
        <c:ser>
          <c:idx val="2"/>
          <c:order val="2"/>
          <c:tx>
            <c:strRef>
              <c:f>'V.3.2 Pensiones por año'!$B$4</c:f>
              <c:strCache>
                <c:ptCount val="1"/>
                <c:pt idx="0">
                  <c:v>Discapacidad</c:v>
                </c:pt>
              </c:strCache>
            </c:strRef>
          </c:tx>
          <c:spPr>
            <a:solidFill>
              <a:schemeClr val="accent3">
                <a:lumMod val="75000"/>
              </a:schemeClr>
            </a:solidFill>
            <a:ln w="28575">
              <a:noFill/>
            </a:ln>
          </c:spPr>
          <c:invertIfNegative val="0"/>
          <c:dLbls>
            <c:dLbl>
              <c:idx val="2"/>
              <c:layout>
                <c:manualLayout>
                  <c:x val="6.2951284282435358E-3"/>
                  <c:y val="-2.049498747892025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7.2633165122723614E-3"/>
                  <c:y val="-1.24638311723362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8.2917304692450046E-3"/>
                  <c:y val="-1.871439343506138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9.1393143368224891E-3"/>
                  <c:y val="-1.037720263866837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9.6253904961741427E-3"/>
                  <c:y val="-1.246383117233610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2347196243320679E-2"/>
                  <c:y val="-2.077305195389371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4.1176200625647717E-3"/>
                  <c:y val="-1.455978304428258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1.2302805820011959E-2"/>
                  <c:y val="-1.189249045993499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3.2319671375615443E-3"/>
                  <c:y val="-1.4215385350118848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2000">
                    <a:solidFill>
                      <a:schemeClr val="accent3">
                        <a:lumMod val="5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'V.3.2 Pensiones por año'!$A$5:$A$17</c:f>
              <c:strCache>
                <c:ptCount val="13"/>
                <c:pt idx="0">
                  <c:v>2003</c:v>
                </c:pt>
                <c:pt idx="1">
                  <c:v>2004</c:v>
                </c:pt>
                <c:pt idx="2">
                  <c:v>2005</c:v>
                </c:pt>
                <c:pt idx="3">
                  <c:v>2006</c:v>
                </c:pt>
                <c:pt idx="4">
                  <c:v>2007</c:v>
                </c:pt>
                <c:pt idx="5">
                  <c:v>2008</c:v>
                </c:pt>
                <c:pt idx="6">
                  <c:v>2009</c:v>
                </c:pt>
                <c:pt idx="7">
                  <c:v>2010</c:v>
                </c:pt>
                <c:pt idx="8">
                  <c:v>2011</c:v>
                </c:pt>
                <c:pt idx="9">
                  <c:v>2012</c:v>
                </c:pt>
                <c:pt idx="10">
                  <c:v>2013</c:v>
                </c:pt>
                <c:pt idx="11">
                  <c:v>2014</c:v>
                </c:pt>
                <c:pt idx="12">
                  <c:v>Ene- Nov. 2015</c:v>
                </c:pt>
              </c:strCache>
            </c:strRef>
          </c:cat>
          <c:val>
            <c:numRef>
              <c:f>'V.3.2 Pensiones por año'!$B$5:$B$17</c:f>
              <c:numCache>
                <c:formatCode>#,##0</c:formatCode>
                <c:ptCount val="13"/>
                <c:pt idx="0">
                  <c:v>3</c:v>
                </c:pt>
                <c:pt idx="1">
                  <c:v>2</c:v>
                </c:pt>
                <c:pt idx="2">
                  <c:v>34</c:v>
                </c:pt>
                <c:pt idx="3">
                  <c:v>99</c:v>
                </c:pt>
                <c:pt idx="4">
                  <c:v>154</c:v>
                </c:pt>
                <c:pt idx="5">
                  <c:v>246</c:v>
                </c:pt>
                <c:pt idx="6">
                  <c:v>258</c:v>
                </c:pt>
                <c:pt idx="7">
                  <c:v>255</c:v>
                </c:pt>
                <c:pt idx="8">
                  <c:v>369</c:v>
                </c:pt>
                <c:pt idx="9">
                  <c:v>628</c:v>
                </c:pt>
                <c:pt idx="10">
                  <c:v>1205</c:v>
                </c:pt>
                <c:pt idx="11">
                  <c:v>1005</c:v>
                </c:pt>
                <c:pt idx="12">
                  <c:v>702</c:v>
                </c:pt>
              </c:numCache>
            </c:numRef>
          </c:val>
        </c:ser>
        <c:ser>
          <c:idx val="3"/>
          <c:order val="3"/>
          <c:tx>
            <c:strRef>
              <c:f>'V.3.2 Pensiones por año'!$D$4</c:f>
              <c:strCache>
                <c:ptCount val="1"/>
                <c:pt idx="0">
                  <c:v>Retiro Programado</c:v>
                </c:pt>
              </c:strCache>
            </c:strRef>
          </c:tx>
          <c:invertIfNegative val="0"/>
          <c:dLbls>
            <c:spPr>
              <a:noFill/>
              <a:ln>
                <a:noFill/>
              </a:ln>
              <a:effectLst/>
            </c:spPr>
            <c:txPr>
              <a:bodyPr wrap="square" lIns="38100" tIns="19050" rIns="38100" bIns="19050" anchor="ctr">
                <a:spAutoFit/>
              </a:bodyPr>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'V.3.2 Pensiones por año'!$A$5:$A$17</c:f>
              <c:strCache>
                <c:ptCount val="13"/>
                <c:pt idx="0">
                  <c:v>2003</c:v>
                </c:pt>
                <c:pt idx="1">
                  <c:v>2004</c:v>
                </c:pt>
                <c:pt idx="2">
                  <c:v>2005</c:v>
                </c:pt>
                <c:pt idx="3">
                  <c:v>2006</c:v>
                </c:pt>
                <c:pt idx="4">
                  <c:v>2007</c:v>
                </c:pt>
                <c:pt idx="5">
                  <c:v>2008</c:v>
                </c:pt>
                <c:pt idx="6">
                  <c:v>2009</c:v>
                </c:pt>
                <c:pt idx="7">
                  <c:v>2010</c:v>
                </c:pt>
                <c:pt idx="8">
                  <c:v>2011</c:v>
                </c:pt>
                <c:pt idx="9">
                  <c:v>2012</c:v>
                </c:pt>
                <c:pt idx="10">
                  <c:v>2013</c:v>
                </c:pt>
                <c:pt idx="11">
                  <c:v>2014</c:v>
                </c:pt>
                <c:pt idx="12">
                  <c:v>Ene- Nov. 2015</c:v>
                </c:pt>
              </c:strCache>
            </c:strRef>
          </c:cat>
          <c:val>
            <c:numRef>
              <c:f>'V.3.2 Pensiones por año'!$D$5:$D$17</c:f>
              <c:numCache>
                <c:formatCode>#,##0</c:formatCode>
                <c:ptCount val="13"/>
                <c:pt idx="3">
                  <c:v>3</c:v>
                </c:pt>
                <c:pt idx="6">
                  <c:v>1</c:v>
                </c:pt>
                <c:pt idx="7">
                  <c:v>1</c:v>
                </c:pt>
                <c:pt idx="9">
                  <c:v>1</c:v>
                </c:pt>
                <c:pt idx="10">
                  <c:v>8</c:v>
                </c:pt>
                <c:pt idx="11">
                  <c:v>7</c:v>
                </c:pt>
              </c:numCache>
            </c:numRef>
          </c:val>
        </c:ser>
        <c:dLbls>
          <c:showLegendKey val="0"/>
          <c:showVal val="0"/>
          <c:showCatName val="0"/>
          <c:showSerName val="0"/>
          <c:showPercent val="0"/>
          <c:showBubbleSize val="0"/>
        </c:dLbls>
        <c:gapWidth val="49"/>
        <c:shape val="cylinder"/>
        <c:axId val="371326872"/>
        <c:axId val="371315896"/>
        <c:axId val="0"/>
        <c:extLst>
          <c:ext xmlns:c15="http://schemas.microsoft.com/office/drawing/2012/chart" uri="{02D57815-91ED-43cb-92C2-25804820EDAC}">
            <c15:filteredBarSeries>
              <c15:ser>
                <c:idx val="1"/>
                <c:order val="1"/>
                <c:tx>
                  <c:strRef>
                    <c:extLst>
                      <c:ext uri="{02D57815-91ED-43cb-92C2-25804820EDAC}">
                        <c15:formulaRef>
                          <c15:sqref>'V.3.2 Pensiones por año'!#REF!</c15:sqref>
                        </c15:formulaRef>
                      </c:ext>
                    </c:extLst>
                    <c:strCache>
                      <c:ptCount val="1"/>
                      <c:pt idx="0">
                        <c:v>#REF!</c:v>
                      </c:pt>
                    </c:strCache>
                  </c:strRef>
                </c:tx>
                <c:spPr>
                  <a:ln w="28575">
                    <a:noFill/>
                  </a:ln>
                </c:spPr>
                <c:invertIfNegative val="0"/>
                <c:dLbls>
                  <c:dLbl>
                    <c:idx val="0"/>
                    <c:layout>
                      <c:manualLayout>
                        <c:x val="5.4211034165116993E-3"/>
                        <c:y val="-1.4541133989270965E-2"/>
                      </c:manualLayout>
                    </c:layout>
                    <c:showLegendKey val="0"/>
                    <c:showVal val="1"/>
                    <c:showCatName val="0"/>
                    <c:showSerName val="0"/>
                    <c:showPercent val="0"/>
                    <c:showBubbleSize val="0"/>
                    <c:extLst>
                      <c:ext uri="{CE6537A1-D6FC-4f65-9D91-7224C49458BB}"/>
                    </c:extLst>
                  </c:dLbl>
                  <c:dLbl>
                    <c:idx val="1"/>
                    <c:layout>
                      <c:manualLayout>
                        <c:x val="7.2281378886822657E-3"/>
                        <c:y val="-1.6618438844881105E-2"/>
                      </c:manualLayout>
                    </c:layout>
                    <c:showLegendKey val="0"/>
                    <c:showVal val="1"/>
                    <c:showCatName val="0"/>
                    <c:showSerName val="0"/>
                    <c:showPercent val="0"/>
                    <c:showBubbleSize val="0"/>
                    <c:extLst>
                      <c:ext uri="{CE6537A1-D6FC-4f65-9D91-7224C49458BB}"/>
                    </c:extLst>
                  </c:dLbl>
                  <c:dLbl>
                    <c:idx val="2"/>
                    <c:layout>
                      <c:manualLayout>
                        <c:x val="5.4211034165116993E-3"/>
                        <c:y val="-1.038652427805069E-2"/>
                      </c:manualLayout>
                    </c:layout>
                    <c:showLegendKey val="0"/>
                    <c:showVal val="1"/>
                    <c:showCatName val="0"/>
                    <c:showSerName val="0"/>
                    <c:showPercent val="0"/>
                    <c:showBubbleSize val="0"/>
                    <c:extLst>
                      <c:ext uri="{CE6537A1-D6FC-4f65-9D91-7224C49458BB}"/>
                    </c:extLst>
                  </c:dLbl>
                  <c:dLbl>
                    <c:idx val="3"/>
                    <c:layout>
                      <c:manualLayout>
                        <c:x val="5.4211034165116334E-3"/>
                        <c:y val="-1.0386524278050728E-2"/>
                      </c:manualLayout>
                    </c:layout>
                    <c:showLegendKey val="0"/>
                    <c:showVal val="1"/>
                    <c:showCatName val="0"/>
                    <c:showSerName val="0"/>
                    <c:showPercent val="0"/>
                    <c:showBubbleSize val="0"/>
                    <c:extLst>
                      <c:ext uri="{CE6537A1-D6FC-4f65-9D91-7224C49458BB}"/>
                    </c:extLst>
                  </c:dLbl>
                  <c:dLbl>
                    <c:idx val="4"/>
                    <c:layout>
                      <c:manualLayout>
                        <c:x val="6.3246206525969162E-3"/>
                        <c:y val="-1.038652427805069E-2"/>
                      </c:manualLayout>
                    </c:layout>
                    <c:showLegendKey val="0"/>
                    <c:showVal val="1"/>
                    <c:showCatName val="0"/>
                    <c:showSerName val="0"/>
                    <c:showPercent val="0"/>
                    <c:showBubbleSize val="0"/>
                    <c:extLst>
                      <c:ext uri="{CE6537A1-D6FC-4f65-9D91-7224C49458BB}"/>
                    </c:extLst>
                  </c:dLbl>
                  <c:dLbl>
                    <c:idx val="5"/>
                    <c:layout>
                      <c:manualLayout>
                        <c:x val="7.2281378886822657E-3"/>
                        <c:y val="-1.6618438844881105E-2"/>
                      </c:manualLayout>
                    </c:layout>
                    <c:showLegendKey val="0"/>
                    <c:showVal val="1"/>
                    <c:showCatName val="0"/>
                    <c:showSerName val="0"/>
                    <c:showPercent val="0"/>
                    <c:showBubbleSize val="0"/>
                    <c:extLst>
                      <c:ext uri="{CE6537A1-D6FC-4f65-9D91-7224C49458BB}"/>
                    </c:extLst>
                  </c:dLbl>
                  <c:dLbl>
                    <c:idx val="6"/>
                    <c:layout>
                      <c:manualLayout>
                        <c:x val="6.3246206525969821E-3"/>
                        <c:y val="-1.038652427805069E-2"/>
                      </c:manualLayout>
                    </c:layout>
                    <c:showLegendKey val="0"/>
                    <c:showVal val="1"/>
                    <c:showCatName val="0"/>
                    <c:showSerName val="0"/>
                    <c:showPercent val="0"/>
                    <c:showBubbleSize val="0"/>
                    <c:extLst>
                      <c:ext uri="{CE6537A1-D6FC-4f65-9D91-7224C49458BB}"/>
                    </c:extLst>
                  </c:dLbl>
                  <c:dLbl>
                    <c:idx val="9"/>
                    <c:layout>
                      <c:manualLayout>
                        <c:x val="7.7029524219190493E-4"/>
                        <c:y val="-1.6592529599239271E-2"/>
                      </c:manualLayout>
                    </c:layout>
                    <c:showLegendKey val="0"/>
                    <c:showVal val="1"/>
                    <c:showCatName val="0"/>
                    <c:showSerName val="0"/>
                    <c:showPercent val="0"/>
                    <c:showBubbleSize val="0"/>
                    <c:extLst>
                      <c:ext uri="{CE6537A1-D6FC-4f65-9D91-7224C49458BB}"/>
                    </c:extLst>
                  </c:dLbl>
                  <c:spPr>
                    <a:noFill/>
                    <a:ln>
                      <a:noFill/>
                    </a:ln>
                    <a:effectLst/>
                  </c:spPr>
                  <c:txPr>
                    <a:bodyPr/>
                    <a:lstStyle/>
                    <a:p>
                      <a:pPr>
                        <a:defRPr sz="1400">
                          <a:solidFill>
                            <a:srgbClr val="FF0000"/>
                          </a:solidFill>
                        </a:defRPr>
                      </a:pPr>
                      <a:endParaRPr lang="es-ES"/>
                    </a:p>
                  </c:txPr>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'V.3.2 Pensiones por año'!$A$5:$A$17</c15:sqref>
                        </c15:formulaRef>
                      </c:ext>
                    </c:extLst>
                    <c:strCache>
                      <c:ptCount val="13"/>
                      <c:pt idx="0">
                        <c:v>2003</c:v>
                      </c:pt>
                      <c:pt idx="1">
                        <c:v>2004</c:v>
                      </c:pt>
                      <c:pt idx="2">
                        <c:v>2005</c:v>
                      </c:pt>
                      <c:pt idx="3">
                        <c:v>2006</c:v>
                      </c:pt>
                      <c:pt idx="4">
                        <c:v>2007</c:v>
                      </c:pt>
                      <c:pt idx="5">
                        <c:v>2008</c:v>
                      </c:pt>
                      <c:pt idx="6">
                        <c:v>2009</c:v>
                      </c:pt>
                      <c:pt idx="7">
                        <c:v>2010</c:v>
                      </c:pt>
                      <c:pt idx="8">
                        <c:v>2011</c:v>
                      </c:pt>
                      <c:pt idx="9">
                        <c:v>2012</c:v>
                      </c:pt>
                      <c:pt idx="10">
                        <c:v>2013</c:v>
                      </c:pt>
                      <c:pt idx="11">
                        <c:v>2014</c:v>
                      </c:pt>
                      <c:pt idx="12">
                        <c:v>Ene- Nov. 2015</c:v>
                      </c:pt>
                    </c:strCache>
                  </c:strRef>
                </c:cat>
                <c:val>
                  <c:numRef>
                    <c:extLst>
                      <c:ext uri="{02D57815-91ED-43cb-92C2-25804820EDAC}">
                        <c15:formulaRef>
                          <c15:sqref>'V.3.2 Pensiones por año'!#REF!</c15:sqref>
                        </c15:formulaRef>
                      </c:ext>
                    </c:extLst>
                    <c:numCache>
                      <c:formatCode>General</c:formatCode>
                      <c:ptCount val="1"/>
                      <c:pt idx="0">
                        <c:v>1</c:v>
                      </c:pt>
                    </c:numCache>
                  </c:numRef>
                </c:val>
              </c15:ser>
            </c15:filteredBarSeries>
          </c:ext>
        </c:extLst>
      </c:bar3DChart>
      <c:catAx>
        <c:axId val="371326872"/>
        <c:scaling>
          <c:orientation val="minMax"/>
        </c:scaling>
        <c:delete val="0"/>
        <c:axPos val="b"/>
        <c:numFmt formatCode="General" sourceLinked="0"/>
        <c:majorTickMark val="out"/>
        <c:minorTickMark val="none"/>
        <c:tickLblPos val="nextTo"/>
        <c:txPr>
          <a:bodyPr/>
          <a:lstStyle/>
          <a:p>
            <a:pPr>
              <a:defRPr sz="2000"/>
            </a:pPr>
            <a:endParaRPr lang="es-ES"/>
          </a:p>
        </c:txPr>
        <c:crossAx val="371315896"/>
        <c:crosses val="autoZero"/>
        <c:auto val="1"/>
        <c:lblAlgn val="ctr"/>
        <c:lblOffset val="100"/>
        <c:noMultiLvlLbl val="0"/>
      </c:catAx>
      <c:valAx>
        <c:axId val="371315896"/>
        <c:scaling>
          <c:orientation val="minMax"/>
        </c:scaling>
        <c:delete val="0"/>
        <c:axPos val="l"/>
        <c:numFmt formatCode="#,##0" sourceLinked="1"/>
        <c:majorTickMark val="out"/>
        <c:minorTickMark val="none"/>
        <c:tickLblPos val="nextTo"/>
        <c:txPr>
          <a:bodyPr/>
          <a:lstStyle/>
          <a:p>
            <a:pPr>
              <a:defRPr sz="1600"/>
            </a:pPr>
            <a:endParaRPr lang="es-ES"/>
          </a:p>
        </c:txPr>
        <c:crossAx val="371326872"/>
        <c:crosses val="autoZero"/>
        <c:crossBetween val="between"/>
      </c:valAx>
    </c:plotArea>
    <c:legend>
      <c:legendPos val="r"/>
      <c:layout>
        <c:manualLayout>
          <c:xMode val="edge"/>
          <c:yMode val="edge"/>
          <c:x val="0.24497759227380639"/>
          <c:y val="6.5078014062806763E-2"/>
          <c:w val="0.56055487429760065"/>
          <c:h val="6.0440012814989556E-2"/>
        </c:manualLayout>
      </c:layout>
      <c:overlay val="0"/>
      <c:txPr>
        <a:bodyPr/>
        <a:lstStyle/>
        <a:p>
          <a:pPr rtl="0">
            <a:defRPr sz="20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ES"/>
              <a:t>Monto de Pensión</a:t>
            </a:r>
            <a:r>
              <a:rPr lang="es-ES" baseline="0"/>
              <a:t> Promedio por Tipo de Discapacidad Según AFP</a:t>
            </a:r>
            <a:endParaRPr lang="es-ES"/>
          </a:p>
        </c:rich>
      </c:tx>
      <c:layout>
        <c:manualLayout>
          <c:xMode val="edge"/>
          <c:yMode val="edge"/>
          <c:x val="0.28788536745406823"/>
          <c:y val="1.1451942494416426E-2"/>
        </c:manualLayout>
      </c:layout>
      <c:overlay val="0"/>
    </c:title>
    <c:autoTitleDeleted val="0"/>
    <c:view3D>
      <c:rotX val="15"/>
      <c:rotY val="20"/>
      <c:rAngAx val="1"/>
    </c:view3D>
    <c:floor>
      <c:thickness val="0"/>
    </c:floor>
    <c:sideWall>
      <c:thickness val="0"/>
    </c:sideWall>
    <c:backWall>
      <c:thickness val="0"/>
    </c:backWall>
    <c:plotArea>
      <c:layout>
        <c:manualLayout>
          <c:layoutTarget val="inner"/>
          <c:xMode val="edge"/>
          <c:yMode val="edge"/>
          <c:x val="7.3552392489400376E-2"/>
          <c:y val="0.31140882487890925"/>
          <c:w val="0.91144291338582673"/>
          <c:h val="0.51673103249481178"/>
        </c:manualLayout>
      </c:layout>
      <c:bar3DChart>
        <c:barDir val="col"/>
        <c:grouping val="clustered"/>
        <c:varyColors val="0"/>
        <c:ser>
          <c:idx val="0"/>
          <c:order val="0"/>
          <c:tx>
            <c:strRef>
              <c:f>'V.3.3.Pens.Disc. AFP'!$B$3</c:f>
              <c:strCache>
                <c:ptCount val="1"/>
                <c:pt idx="0">
                  <c:v>Discapacidad Parcial</c:v>
                </c:pt>
              </c:strCache>
            </c:strRef>
          </c:tx>
          <c:invertIfNegative val="0"/>
          <c:dLbls>
            <c:dLbl>
              <c:idx val="0"/>
              <c:layout>
                <c:manualLayout>
                  <c:x val="-9.3346068226267887E-8"/>
                  <c:y val="-1.48592110644793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0"/>
                  <c:y val="-1.698195550226214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4.3467650295359961E-17"/>
                  <c:y val="-4.2454888755655571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8.6935300590719923E-17"/>
                  <c:y val="-1.48592110644793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0"/>
                  <c:y val="-1.485921106447944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1.1198945923464639E-3"/>
                  <c:y val="2.1227444377827785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1854950664736022E-3"/>
                  <c:y val="-8.4911448963624347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600">
                    <a:solidFill>
                      <a:srgbClr val="00206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'V.3.3.Pens.Disc. AFP'!$A$4:$A$11</c:f>
              <c:strCache>
                <c:ptCount val="8"/>
                <c:pt idx="0">
                  <c:v>Popular</c:v>
                </c:pt>
                <c:pt idx="1">
                  <c:v>Reservas</c:v>
                </c:pt>
                <c:pt idx="2">
                  <c:v>Romana</c:v>
                </c:pt>
                <c:pt idx="3">
                  <c:v>Scotia Crecer</c:v>
                </c:pt>
                <c:pt idx="4">
                  <c:v>Siembra</c:v>
                </c:pt>
                <c:pt idx="5">
                  <c:v>Plan Sustitutivo - Banco Central</c:v>
                </c:pt>
                <c:pt idx="6">
                  <c:v>Plan Sustitutivo - Banco de Reservas</c:v>
                </c:pt>
                <c:pt idx="7">
                  <c:v>Instituto Dom. de Seguridad Social (IDSS)</c:v>
                </c:pt>
              </c:strCache>
            </c:strRef>
          </c:cat>
          <c:val>
            <c:numRef>
              <c:f>'V.3.3.Pens.Disc. AFP'!$B$4:$B$11</c:f>
              <c:numCache>
                <c:formatCode>_(* #,##0.00_);_(* \(#,##0.00\);_(* "-"??_);_(@_)</c:formatCode>
                <c:ptCount val="8"/>
                <c:pt idx="0">
                  <c:v>4331.46</c:v>
                </c:pt>
                <c:pt idx="1">
                  <c:v>4415.5600000000004</c:v>
                </c:pt>
                <c:pt idx="2">
                  <c:v>3304.24</c:v>
                </c:pt>
                <c:pt idx="3">
                  <c:v>2638.59</c:v>
                </c:pt>
                <c:pt idx="4">
                  <c:v>4096.8999999999996</c:v>
                </c:pt>
                <c:pt idx="5">
                  <c:v>9823.9699999999993</c:v>
                </c:pt>
                <c:pt idx="6">
                  <c:v>10676.58</c:v>
                </c:pt>
                <c:pt idx="7">
                  <c:v>5880.07</c:v>
                </c:pt>
              </c:numCache>
            </c:numRef>
          </c:val>
        </c:ser>
        <c:ser>
          <c:idx val="1"/>
          <c:order val="1"/>
          <c:tx>
            <c:strRef>
              <c:f>'V.3.3.Pens.Disc. AFP'!$C$3</c:f>
              <c:strCache>
                <c:ptCount val="1"/>
                <c:pt idx="0">
                  <c:v>Discapacidad Total</c:v>
                </c:pt>
              </c:strCache>
            </c:strRef>
          </c:tx>
          <c:spPr>
            <a:solidFill>
              <a:schemeClr val="accent5">
                <a:lumMod val="75000"/>
              </a:schemeClr>
            </a:solidFill>
          </c:spPr>
          <c:invertIfNegative val="0"/>
          <c:dLbls>
            <c:dLbl>
              <c:idx val="0"/>
              <c:layout>
                <c:manualLayout>
                  <c:x val="1.1854950664736022E-3"/>
                  <c:y val="-1.910469994004500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0"/>
                  <c:y val="-1.698195550226222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1854950664735586E-3"/>
                  <c:y val="-1.27364666266966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8.6935300590719923E-17"/>
                  <c:y val="-1.27364666266966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0"/>
                  <c:y val="-1.27364666266966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5.59947296173232E-3"/>
                  <c:y val="-4.2454888755655762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8.6935300590719923E-17"/>
                  <c:y val="-1.485921106447948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3.5564851994208061E-3"/>
                  <c:y val="-6.3682333133483352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600">
                    <a:solidFill>
                      <a:srgbClr val="C0000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'V.3.3.Pens.Disc. AFP'!$A$4:$A$11</c:f>
              <c:strCache>
                <c:ptCount val="8"/>
                <c:pt idx="0">
                  <c:v>Popular</c:v>
                </c:pt>
                <c:pt idx="1">
                  <c:v>Reservas</c:v>
                </c:pt>
                <c:pt idx="2">
                  <c:v>Romana</c:v>
                </c:pt>
                <c:pt idx="3">
                  <c:v>Scotia Crecer</c:v>
                </c:pt>
                <c:pt idx="4">
                  <c:v>Siembra</c:v>
                </c:pt>
                <c:pt idx="5">
                  <c:v>Plan Sustitutivo - Banco Central</c:v>
                </c:pt>
                <c:pt idx="6">
                  <c:v>Plan Sustitutivo - Banco de Reservas</c:v>
                </c:pt>
                <c:pt idx="7">
                  <c:v>Instituto Dom. de Seguridad Social (IDSS)</c:v>
                </c:pt>
              </c:strCache>
            </c:strRef>
          </c:cat>
          <c:val>
            <c:numRef>
              <c:f>'V.3.3.Pens.Disc. AFP'!$C$4:$C$11</c:f>
              <c:numCache>
                <c:formatCode>_(* #,##0.00_);_(* \(#,##0.00\);_(* "-"??_);_(@_)</c:formatCode>
                <c:ptCount val="8"/>
                <c:pt idx="0">
                  <c:v>9489.67</c:v>
                </c:pt>
                <c:pt idx="1">
                  <c:v>10518.48</c:v>
                </c:pt>
                <c:pt idx="2">
                  <c:v>7175.03</c:v>
                </c:pt>
                <c:pt idx="3">
                  <c:v>6566.04</c:v>
                </c:pt>
                <c:pt idx="4">
                  <c:v>8756.7900000000009</c:v>
                </c:pt>
                <c:pt idx="5">
                  <c:v>30605.45</c:v>
                </c:pt>
                <c:pt idx="6">
                  <c:v>23153</c:v>
                </c:pt>
                <c:pt idx="7">
                  <c:v>15277.17</c:v>
                </c:pt>
              </c:numCache>
            </c:numRef>
          </c:val>
        </c:ser>
        <c:ser>
          <c:idx val="2"/>
          <c:order val="2"/>
          <c:tx>
            <c:strRef>
              <c:f>'V.3.3.Pens.Disc. AFP'!$D$3</c:f>
              <c:strCache>
                <c:ptCount val="1"/>
                <c:pt idx="0">
                  <c:v>Promedio</c:v>
                </c:pt>
              </c:strCache>
            </c:strRef>
          </c:tx>
          <c:invertIfNegative val="0"/>
          <c:dLbls>
            <c:dLbl>
              <c:idx val="3"/>
              <c:layout>
                <c:manualLayout>
                  <c:x val="1.1198945923464639E-3"/>
                  <c:y val="-1.485921106447952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7.4009785490829188E-3"/>
                  <c:y val="-4.245488669018716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5.8817722923594825E-3"/>
                  <c:y val="-1.061372167254679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6.5645669291337361E-3"/>
                  <c:y val="-2.1209388248353327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600" b="1">
                    <a:solidFill>
                      <a:schemeClr val="accent3">
                        <a:lumMod val="5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'V.3.3.Pens.Disc. AFP'!$A$4:$A$11</c:f>
              <c:strCache>
                <c:ptCount val="8"/>
                <c:pt idx="0">
                  <c:v>Popular</c:v>
                </c:pt>
                <c:pt idx="1">
                  <c:v>Reservas</c:v>
                </c:pt>
                <c:pt idx="2">
                  <c:v>Romana</c:v>
                </c:pt>
                <c:pt idx="3">
                  <c:v>Scotia Crecer</c:v>
                </c:pt>
                <c:pt idx="4">
                  <c:v>Siembra</c:v>
                </c:pt>
                <c:pt idx="5">
                  <c:v>Plan Sustitutivo - Banco Central</c:v>
                </c:pt>
                <c:pt idx="6">
                  <c:v>Plan Sustitutivo - Banco de Reservas</c:v>
                </c:pt>
                <c:pt idx="7">
                  <c:v>Instituto Dom. de Seguridad Social (IDSS)</c:v>
                </c:pt>
              </c:strCache>
            </c:strRef>
          </c:cat>
          <c:val>
            <c:numRef>
              <c:f>'V.3.3.Pens.Disc. AFP'!$D$4:$D$11</c:f>
              <c:numCache>
                <c:formatCode>_(* #,##0.00_);_(* \(#,##0.00\);_(* "-"??_);_(@_)</c:formatCode>
                <c:ptCount val="8"/>
                <c:pt idx="0">
                  <c:v>7552.33</c:v>
                </c:pt>
                <c:pt idx="1">
                  <c:v>7742.88</c:v>
                </c:pt>
                <c:pt idx="2">
                  <c:v>5933.45</c:v>
                </c:pt>
                <c:pt idx="3">
                  <c:v>4846.3999999999996</c:v>
                </c:pt>
                <c:pt idx="4">
                  <c:v>7102.74</c:v>
                </c:pt>
                <c:pt idx="5">
                  <c:v>25987.34</c:v>
                </c:pt>
                <c:pt idx="6">
                  <c:v>17568.310000000001</c:v>
                </c:pt>
                <c:pt idx="7">
                  <c:v>10954.09</c:v>
                </c:pt>
              </c:numCache>
            </c:numRef>
          </c:val>
        </c:ser>
        <c:dLbls>
          <c:showLegendKey val="0"/>
          <c:showVal val="0"/>
          <c:showCatName val="0"/>
          <c:showSerName val="0"/>
          <c:showPercent val="0"/>
          <c:showBubbleSize val="0"/>
        </c:dLbls>
        <c:gapWidth val="64"/>
        <c:shape val="cylinder"/>
        <c:axId val="371320208"/>
        <c:axId val="371322168"/>
        <c:axId val="0"/>
      </c:bar3DChart>
      <c:catAx>
        <c:axId val="371320208"/>
        <c:scaling>
          <c:orientation val="minMax"/>
        </c:scaling>
        <c:delete val="0"/>
        <c:axPos val="b"/>
        <c:numFmt formatCode="General" sourceLinked="0"/>
        <c:majorTickMark val="out"/>
        <c:minorTickMark val="none"/>
        <c:tickLblPos val="nextTo"/>
        <c:txPr>
          <a:bodyPr/>
          <a:lstStyle/>
          <a:p>
            <a:pPr>
              <a:defRPr sz="1400"/>
            </a:pPr>
            <a:endParaRPr lang="es-ES"/>
          </a:p>
        </c:txPr>
        <c:crossAx val="371322168"/>
        <c:crosses val="autoZero"/>
        <c:auto val="1"/>
        <c:lblAlgn val="ctr"/>
        <c:lblOffset val="100"/>
        <c:noMultiLvlLbl val="0"/>
      </c:catAx>
      <c:valAx>
        <c:axId val="371322168"/>
        <c:scaling>
          <c:orientation val="minMax"/>
        </c:scaling>
        <c:delete val="0"/>
        <c:axPos val="l"/>
        <c:numFmt formatCode="_(* #,##0.00_);_(* \(#,##0.00\);_(* &quot;-&quot;??_);_(@_)" sourceLinked="1"/>
        <c:majorTickMark val="out"/>
        <c:minorTickMark val="none"/>
        <c:tickLblPos val="nextTo"/>
        <c:txPr>
          <a:bodyPr/>
          <a:lstStyle/>
          <a:p>
            <a:pPr>
              <a:defRPr sz="1100"/>
            </a:pPr>
            <a:endParaRPr lang="es-ES"/>
          </a:p>
        </c:txPr>
        <c:crossAx val="371320208"/>
        <c:crosses val="autoZero"/>
        <c:crossBetween val="between"/>
      </c:valAx>
    </c:plotArea>
    <c:legend>
      <c:legendPos val="r"/>
      <c:layout>
        <c:manualLayout>
          <c:xMode val="edge"/>
          <c:yMode val="edge"/>
          <c:x val="0.23743401305606029"/>
          <c:y val="6.1873101957004718E-2"/>
          <c:w val="0.51497332005209495"/>
          <c:h val="4.4929641050601384E-2"/>
        </c:manualLayout>
      </c:layout>
      <c:overlay val="0"/>
      <c:txPr>
        <a:bodyPr/>
        <a:lstStyle/>
        <a:p>
          <a:pPr>
            <a:defRPr sz="16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1200"/>
            </a:pPr>
            <a:r>
              <a:rPr lang="es-ES" sz="1200"/>
              <a:t>Pensión</a:t>
            </a:r>
            <a:r>
              <a:rPr lang="es-ES" sz="1200" baseline="0"/>
              <a:t> Promedio de Sobrevivencia y Discapacidad </a:t>
            </a:r>
            <a:endParaRPr lang="es-ES" sz="1200"/>
          </a:p>
        </c:rich>
      </c:tx>
      <c:layout>
        <c:manualLayout>
          <c:xMode val="edge"/>
          <c:yMode val="edge"/>
          <c:x val="0.3018682006066607"/>
          <c:y val="4.1532114940568327E-2"/>
        </c:manualLayout>
      </c:layout>
      <c:overlay val="0"/>
    </c:title>
    <c:autoTitleDeleted val="0"/>
    <c:view3D>
      <c:rotX val="15"/>
      <c:rotY val="20"/>
      <c:rAngAx val="1"/>
    </c:view3D>
    <c:floor>
      <c:thickness val="0"/>
    </c:floor>
    <c:sideWall>
      <c:thickness val="0"/>
    </c:sideWall>
    <c:backWall>
      <c:thickness val="0"/>
    </c:backWall>
    <c:plotArea>
      <c:layout>
        <c:manualLayout>
          <c:layoutTarget val="inner"/>
          <c:xMode val="edge"/>
          <c:yMode val="edge"/>
          <c:x val="9.0075093906674855E-2"/>
          <c:y val="0.3879756100076549"/>
          <c:w val="0.889160387885646"/>
          <c:h val="0.46712762031546806"/>
        </c:manualLayout>
      </c:layout>
      <c:bar3DChart>
        <c:barDir val="col"/>
        <c:grouping val="clustered"/>
        <c:varyColors val="0"/>
        <c:ser>
          <c:idx val="0"/>
          <c:order val="0"/>
          <c:tx>
            <c:strRef>
              <c:f>'V.3.4.Pensiones Sob.Disc'!$B$3</c:f>
              <c:strCache>
                <c:ptCount val="1"/>
                <c:pt idx="0">
                  <c:v>Sobrevivencia</c:v>
                </c:pt>
              </c:strCache>
            </c:strRef>
          </c:tx>
          <c:invertIfNegative val="0"/>
          <c:dLbls>
            <c:spPr>
              <a:noFill/>
              <a:ln>
                <a:noFill/>
              </a:ln>
              <a:effectLst/>
            </c:spPr>
            <c:txPr>
              <a:bodyPr rot="-5400000" vert="horz"/>
              <a:lstStyle/>
              <a:p>
                <a:pPr>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'V.3.4.Pensiones Sob.Disc'!$A$4:$A$11</c:f>
              <c:strCache>
                <c:ptCount val="8"/>
                <c:pt idx="0">
                  <c:v>Popular</c:v>
                </c:pt>
                <c:pt idx="1">
                  <c:v>Reservas</c:v>
                </c:pt>
                <c:pt idx="2">
                  <c:v>Romana</c:v>
                </c:pt>
                <c:pt idx="3">
                  <c:v>Scotia Crecer</c:v>
                </c:pt>
                <c:pt idx="4">
                  <c:v>Siembra</c:v>
                </c:pt>
                <c:pt idx="5">
                  <c:v>Plan Sustitutivo BCRD</c:v>
                </c:pt>
                <c:pt idx="6">
                  <c:v>Plan Sustitutivo BR</c:v>
                </c:pt>
                <c:pt idx="7">
                  <c:v>IDSS</c:v>
                </c:pt>
              </c:strCache>
            </c:strRef>
          </c:cat>
          <c:val>
            <c:numRef>
              <c:f>'V.3.4.Pensiones Sob.Disc'!$B$4:$B$11</c:f>
              <c:numCache>
                <c:formatCode>_(* #,##0.00_);_(* \(#,##0.00\);_(* "-"??_);_(@_)</c:formatCode>
                <c:ptCount val="8"/>
                <c:pt idx="0">
                  <c:v>11720.59</c:v>
                </c:pt>
                <c:pt idx="1">
                  <c:v>12182.96</c:v>
                </c:pt>
                <c:pt idx="2">
                  <c:v>896334</c:v>
                </c:pt>
                <c:pt idx="3">
                  <c:v>9034.92</c:v>
                </c:pt>
                <c:pt idx="4">
                  <c:v>10510.29</c:v>
                </c:pt>
                <c:pt idx="5">
                  <c:v>27808.65</c:v>
                </c:pt>
                <c:pt idx="6">
                  <c:v>11103.35</c:v>
                </c:pt>
                <c:pt idx="7">
                  <c:v>9215.2800000000007</c:v>
                </c:pt>
              </c:numCache>
            </c:numRef>
          </c:val>
        </c:ser>
        <c:ser>
          <c:idx val="1"/>
          <c:order val="1"/>
          <c:tx>
            <c:strRef>
              <c:f>'V.3.4.Pensiones Sob.Disc'!$C$3</c:f>
              <c:strCache>
                <c:ptCount val="1"/>
                <c:pt idx="0">
                  <c:v>Discapacidad</c:v>
                </c:pt>
              </c:strCache>
            </c:strRef>
          </c:tx>
          <c:spPr>
            <a:solidFill>
              <a:schemeClr val="accent3">
                <a:lumMod val="75000"/>
              </a:schemeClr>
            </a:solidFill>
          </c:spPr>
          <c:invertIfNegative val="0"/>
          <c:dLbls>
            <c:spPr>
              <a:noFill/>
              <a:ln>
                <a:noFill/>
              </a:ln>
              <a:effectLst/>
            </c:spPr>
            <c:txPr>
              <a:bodyPr rot="-5400000" vert="horz"/>
              <a:lstStyle/>
              <a:p>
                <a:pPr>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'V.3.4.Pensiones Sob.Disc'!$A$4:$A$11</c:f>
              <c:strCache>
                <c:ptCount val="8"/>
                <c:pt idx="0">
                  <c:v>Popular</c:v>
                </c:pt>
                <c:pt idx="1">
                  <c:v>Reservas</c:v>
                </c:pt>
                <c:pt idx="2">
                  <c:v>Romana</c:v>
                </c:pt>
                <c:pt idx="3">
                  <c:v>Scotia Crecer</c:v>
                </c:pt>
                <c:pt idx="4">
                  <c:v>Siembra</c:v>
                </c:pt>
                <c:pt idx="5">
                  <c:v>Plan Sustitutivo BCRD</c:v>
                </c:pt>
                <c:pt idx="6">
                  <c:v>Plan Sustitutivo BR</c:v>
                </c:pt>
                <c:pt idx="7">
                  <c:v>IDSS</c:v>
                </c:pt>
              </c:strCache>
            </c:strRef>
          </c:cat>
          <c:val>
            <c:numRef>
              <c:f>'V.3.4.Pensiones Sob.Disc'!$C$4:$C$11</c:f>
              <c:numCache>
                <c:formatCode>_(* #,##0.00_);_(* \(#,##0.00\);_(* "-"??_);_(@_)</c:formatCode>
                <c:ptCount val="8"/>
                <c:pt idx="0">
                  <c:v>7552.33</c:v>
                </c:pt>
                <c:pt idx="1">
                  <c:v>7742.88</c:v>
                </c:pt>
                <c:pt idx="2">
                  <c:v>5933.45</c:v>
                </c:pt>
                <c:pt idx="3">
                  <c:v>4846.3999999999996</c:v>
                </c:pt>
                <c:pt idx="4">
                  <c:v>7102.74</c:v>
                </c:pt>
                <c:pt idx="5">
                  <c:v>25987.34</c:v>
                </c:pt>
                <c:pt idx="6">
                  <c:v>17568.310000000001</c:v>
                </c:pt>
                <c:pt idx="7">
                  <c:v>10954.09</c:v>
                </c:pt>
              </c:numCache>
            </c:numRef>
          </c:val>
        </c:ser>
        <c:dLbls>
          <c:showLegendKey val="0"/>
          <c:showVal val="0"/>
          <c:showCatName val="0"/>
          <c:showSerName val="0"/>
          <c:showPercent val="0"/>
          <c:showBubbleSize val="0"/>
        </c:dLbls>
        <c:gapWidth val="60"/>
        <c:shape val="cylinder"/>
        <c:axId val="371323736"/>
        <c:axId val="371322560"/>
        <c:axId val="0"/>
      </c:bar3DChart>
      <c:catAx>
        <c:axId val="371323736"/>
        <c:scaling>
          <c:orientation val="minMax"/>
        </c:scaling>
        <c:delete val="0"/>
        <c:axPos val="b"/>
        <c:numFmt formatCode="General" sourceLinked="0"/>
        <c:majorTickMark val="out"/>
        <c:minorTickMark val="none"/>
        <c:tickLblPos val="nextTo"/>
        <c:txPr>
          <a:bodyPr/>
          <a:lstStyle/>
          <a:p>
            <a:pPr>
              <a:defRPr sz="900"/>
            </a:pPr>
            <a:endParaRPr lang="es-ES"/>
          </a:p>
        </c:txPr>
        <c:crossAx val="371322560"/>
        <c:crosses val="autoZero"/>
        <c:auto val="1"/>
        <c:lblAlgn val="ctr"/>
        <c:lblOffset val="100"/>
        <c:noMultiLvlLbl val="0"/>
      </c:catAx>
      <c:valAx>
        <c:axId val="371322560"/>
        <c:scaling>
          <c:orientation val="minMax"/>
        </c:scaling>
        <c:delete val="0"/>
        <c:axPos val="l"/>
        <c:numFmt formatCode="_(* #,##0.00_);_(* \(#,##0.00\);_(* &quot;-&quot;??_);_(@_)" sourceLinked="1"/>
        <c:majorTickMark val="out"/>
        <c:minorTickMark val="none"/>
        <c:tickLblPos val="nextTo"/>
        <c:crossAx val="371323736"/>
        <c:crosses val="autoZero"/>
        <c:crossBetween val="between"/>
      </c:valAx>
    </c:plotArea>
    <c:legend>
      <c:legendPos val="r"/>
      <c:layout>
        <c:manualLayout>
          <c:xMode val="edge"/>
          <c:yMode val="edge"/>
          <c:x val="0.24900083297970985"/>
          <c:y val="0.10151168345434498"/>
          <c:w val="0.56995413163447084"/>
          <c:h val="6.2027914831208342E-2"/>
        </c:manualLayout>
      </c:layout>
      <c:overlay val="0"/>
      <c:txPr>
        <a:bodyPr/>
        <a:lstStyle/>
        <a:p>
          <a:pPr>
            <a:defRPr sz="11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solidFill>
                  <a:sysClr val="windowText" lastClr="000000"/>
                </a:solidFill>
              </a:defRPr>
            </a:pPr>
            <a:r>
              <a:rPr lang="es-DO" sz="1800" b="1">
                <a:effectLst/>
              </a:rPr>
              <a:t>Reporte de Accidentes Laborales y Enfermedades Profesionales</a:t>
            </a:r>
            <a:endParaRPr lang="es-ES">
              <a:effectLst/>
            </a:endParaRPr>
          </a:p>
        </c:rich>
      </c:tx>
      <c:layout>
        <c:manualLayout>
          <c:xMode val="edge"/>
          <c:yMode val="edge"/>
          <c:x val="0.23580885577800451"/>
          <c:y val="1.8053385397327093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1.007192529760444E-2"/>
          <c:y val="0.23271772159609452"/>
          <c:w val="0.97920776812746679"/>
          <c:h val="0.5999677531831531"/>
        </c:manualLayout>
      </c:layout>
      <c:bar3DChart>
        <c:barDir val="col"/>
        <c:grouping val="clustered"/>
        <c:varyColors val="0"/>
        <c:ser>
          <c:idx val="0"/>
          <c:order val="0"/>
          <c:tx>
            <c:strRef>
              <c:f>'V.4.2.NA. Reportes ARL'!$E$3</c:f>
              <c:strCache>
                <c:ptCount val="1"/>
                <c:pt idx="0">
                  <c:v>% Accidentes Laborales</c:v>
                </c:pt>
              </c:strCache>
            </c:strRef>
          </c:tx>
          <c:spPr>
            <a:solidFill>
              <a:schemeClr val="accent3">
                <a:lumMod val="75000"/>
              </a:schemeClr>
            </a:solidFill>
          </c:spPr>
          <c:invertIfNegative val="0"/>
          <c:dLbls>
            <c:dLbl>
              <c:idx val="0"/>
              <c:layout>
                <c:manualLayout>
                  <c:x val="7.8070991383913267E-3"/>
                  <c:y val="-1.630725285707105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6.8201698719219184E-3"/>
                  <c:y val="-1.38755305405734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1152998769130467E-2"/>
                  <c:y val="-1.630725285707107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2268298646043512E-2"/>
                  <c:y val="-2.096646795909137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1.0037698892217419E-2"/>
                  <c:y val="-1.164803775505077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5.5764993845652333E-3"/>
                  <c:y val="-1.630725285707105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6.6917114425903337E-3"/>
                  <c:y val="-1.164803775505075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6.69179926147828E-3"/>
                  <c:y val="-1.164803775505079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5.576411565677287E-3"/>
                  <c:y val="-1.1648037755050755E-2"/>
                </c:manualLayout>
              </c:layout>
              <c:spPr/>
              <c:txPr>
                <a:bodyPr/>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9.4600434003284401E-3"/>
                  <c:y val="-9.182389550585338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6.3066956002189086E-3"/>
                  <c:y val="-1.3773584325877986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'V.4.2.NA. Reportes ARL'!$A$4:$A$14</c:f>
              <c:strCache>
                <c:ptCount val="11"/>
                <c:pt idx="0">
                  <c:v>2005</c:v>
                </c:pt>
                <c:pt idx="1">
                  <c:v>2006</c:v>
                </c:pt>
                <c:pt idx="2">
                  <c:v>2007</c:v>
                </c:pt>
                <c:pt idx="3">
                  <c:v>2008</c:v>
                </c:pt>
                <c:pt idx="4">
                  <c:v>2009</c:v>
                </c:pt>
                <c:pt idx="5">
                  <c:v>2010</c:v>
                </c:pt>
                <c:pt idx="6">
                  <c:v>2011</c:v>
                </c:pt>
                <c:pt idx="7">
                  <c:v>2012</c:v>
                </c:pt>
                <c:pt idx="8">
                  <c:v>2013</c:v>
                </c:pt>
                <c:pt idx="9">
                  <c:v>2014</c:v>
                </c:pt>
                <c:pt idx="10">
                  <c:v>Ene-Nov.15</c:v>
                </c:pt>
              </c:strCache>
            </c:strRef>
          </c:cat>
          <c:val>
            <c:numRef>
              <c:f>'V.4.2.NA. Reportes ARL'!$E$4:$E$14</c:f>
              <c:numCache>
                <c:formatCode>0.0%</c:formatCode>
                <c:ptCount val="11"/>
                <c:pt idx="0">
                  <c:v>0.99678370410077732</c:v>
                </c:pt>
                <c:pt idx="1">
                  <c:v>0.9906052393857272</c:v>
                </c:pt>
                <c:pt idx="2">
                  <c:v>0.99005149812734083</c:v>
                </c:pt>
                <c:pt idx="3">
                  <c:v>0.99052564452947067</c:v>
                </c:pt>
                <c:pt idx="4">
                  <c:v>0.97977252605053466</c:v>
                </c:pt>
                <c:pt idx="5">
                  <c:v>0.97679880843263056</c:v>
                </c:pt>
                <c:pt idx="6">
                  <c:v>0.97889100323051736</c:v>
                </c:pt>
                <c:pt idx="7">
                  <c:v>0.982951139088729</c:v>
                </c:pt>
                <c:pt idx="8">
                  <c:v>0.98641522612187882</c:v>
                </c:pt>
                <c:pt idx="9">
                  <c:v>0.98704563031709203</c:v>
                </c:pt>
                <c:pt idx="10">
                  <c:v>0.98626563580363313</c:v>
                </c:pt>
              </c:numCache>
            </c:numRef>
          </c:val>
        </c:ser>
        <c:ser>
          <c:idx val="1"/>
          <c:order val="1"/>
          <c:tx>
            <c:strRef>
              <c:f>'V.4.2.NA. Reportes ARL'!$F$3</c:f>
              <c:strCache>
                <c:ptCount val="1"/>
                <c:pt idx="0">
                  <c:v>% Enfermedades Profesionales</c:v>
                </c:pt>
              </c:strCache>
            </c:strRef>
          </c:tx>
          <c:spPr>
            <a:solidFill>
              <a:srgbClr val="0070C0"/>
            </a:solidFill>
          </c:spPr>
          <c:invertIfNegative val="0"/>
          <c:dLbls>
            <c:dLbl>
              <c:idx val="0"/>
              <c:layout>
                <c:manualLayout>
                  <c:x val="8.6354442659842632E-3"/>
                  <c:y val="-1.397764530606090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5.3971526662401643E-3"/>
                  <c:y val="-1.397764530606090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187373586572836E-2"/>
                  <c:y val="-1.630725285707105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9.714874799232295E-3"/>
                  <c:y val="-1.164803775505075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5.3971526662401643E-3"/>
                  <c:y val="-1.164803775505075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8.6354442659842632E-3"/>
                  <c:y val="-1.164803775505075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0794305332480329E-2"/>
                  <c:y val="-1.397764530606090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8.6354442659842632E-3"/>
                  <c:y val="-1.397764530606090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1.2396135777528317E-2"/>
                  <c:y val="-2.3296075510101509E-2"/>
                </c:manualLayout>
              </c:layout>
              <c:spPr/>
              <c:txPr>
                <a:bodyPr/>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7.3578115335889063E-3"/>
                  <c:y val="-1.83647791011705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9.4600434003285945E-3"/>
                  <c:y val="-9.1823895505852952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'V.4.2.NA. Reportes ARL'!$A$4:$A$14</c:f>
              <c:strCache>
                <c:ptCount val="11"/>
                <c:pt idx="0">
                  <c:v>2005</c:v>
                </c:pt>
                <c:pt idx="1">
                  <c:v>2006</c:v>
                </c:pt>
                <c:pt idx="2">
                  <c:v>2007</c:v>
                </c:pt>
                <c:pt idx="3">
                  <c:v>2008</c:v>
                </c:pt>
                <c:pt idx="4">
                  <c:v>2009</c:v>
                </c:pt>
                <c:pt idx="5">
                  <c:v>2010</c:v>
                </c:pt>
                <c:pt idx="6">
                  <c:v>2011</c:v>
                </c:pt>
                <c:pt idx="7">
                  <c:v>2012</c:v>
                </c:pt>
                <c:pt idx="8">
                  <c:v>2013</c:v>
                </c:pt>
                <c:pt idx="9">
                  <c:v>2014</c:v>
                </c:pt>
                <c:pt idx="10">
                  <c:v>Ene-Nov.15</c:v>
                </c:pt>
              </c:strCache>
            </c:strRef>
          </c:cat>
          <c:val>
            <c:numRef>
              <c:f>'V.4.2.NA. Reportes ARL'!$F$4:$F$14</c:f>
              <c:numCache>
                <c:formatCode>0.0%</c:formatCode>
                <c:ptCount val="11"/>
                <c:pt idx="0">
                  <c:v>3.2162958992227285E-3</c:v>
                </c:pt>
                <c:pt idx="1">
                  <c:v>9.39476061427281E-3</c:v>
                </c:pt>
                <c:pt idx="2">
                  <c:v>9.948501872659176E-3</c:v>
                </c:pt>
                <c:pt idx="3">
                  <c:v>9.4743554705292877E-3</c:v>
                </c:pt>
                <c:pt idx="4">
                  <c:v>2.0227473949465367E-2</c:v>
                </c:pt>
                <c:pt idx="5">
                  <c:v>2.3201191567369387E-2</c:v>
                </c:pt>
                <c:pt idx="6">
                  <c:v>2.1108996769482673E-2</c:v>
                </c:pt>
                <c:pt idx="7">
                  <c:v>1.7048860911270985E-2</c:v>
                </c:pt>
                <c:pt idx="8">
                  <c:v>1.358477387812118E-2</c:v>
                </c:pt>
                <c:pt idx="9">
                  <c:v>1.2954369682907967E-2</c:v>
                </c:pt>
                <c:pt idx="10">
                  <c:v>1.3734364196366837E-2</c:v>
                </c:pt>
              </c:numCache>
            </c:numRef>
          </c:val>
        </c:ser>
        <c:dLbls>
          <c:showLegendKey val="0"/>
          <c:showVal val="0"/>
          <c:showCatName val="0"/>
          <c:showSerName val="0"/>
          <c:showPercent val="0"/>
          <c:showBubbleSize val="0"/>
        </c:dLbls>
        <c:gapWidth val="33"/>
        <c:gapDepth val="109"/>
        <c:shape val="cylinder"/>
        <c:axId val="371319424"/>
        <c:axId val="371315504"/>
        <c:axId val="0"/>
      </c:bar3DChart>
      <c:catAx>
        <c:axId val="371319424"/>
        <c:scaling>
          <c:orientation val="minMax"/>
        </c:scaling>
        <c:delete val="0"/>
        <c:axPos val="b"/>
        <c:numFmt formatCode="General" sourceLinked="1"/>
        <c:majorTickMark val="none"/>
        <c:minorTickMark val="none"/>
        <c:tickLblPos val="nextTo"/>
        <c:txPr>
          <a:bodyPr/>
          <a:lstStyle/>
          <a:p>
            <a:pPr>
              <a:defRPr sz="1400"/>
            </a:pPr>
            <a:endParaRPr lang="es-ES"/>
          </a:p>
        </c:txPr>
        <c:crossAx val="371315504"/>
        <c:crosses val="autoZero"/>
        <c:auto val="1"/>
        <c:lblAlgn val="ctr"/>
        <c:lblOffset val="100"/>
        <c:noMultiLvlLbl val="0"/>
      </c:catAx>
      <c:valAx>
        <c:axId val="371315504"/>
        <c:scaling>
          <c:orientation val="minMax"/>
        </c:scaling>
        <c:delete val="1"/>
        <c:axPos val="l"/>
        <c:numFmt formatCode="0.0%" sourceLinked="1"/>
        <c:majorTickMark val="out"/>
        <c:minorTickMark val="none"/>
        <c:tickLblPos val="nextTo"/>
        <c:crossAx val="371319424"/>
        <c:crosses val="autoZero"/>
        <c:crossBetween val="between"/>
      </c:valAx>
      <c:spPr>
        <a:noFill/>
        <a:ln w="25400">
          <a:noFill/>
        </a:ln>
      </c:spPr>
    </c:plotArea>
    <c:legend>
      <c:legendPos val="t"/>
      <c:layout>
        <c:manualLayout>
          <c:xMode val="edge"/>
          <c:yMode val="edge"/>
          <c:x val="0.20389993772299911"/>
          <c:y val="8.3854418854730758E-2"/>
          <c:w val="0.55645139285037359"/>
          <c:h val="4.4909093474573496E-2"/>
        </c:manualLayout>
      </c:layout>
      <c:overlay val="0"/>
      <c:txPr>
        <a:bodyPr/>
        <a:lstStyle/>
        <a:p>
          <a:pPr>
            <a:defRPr sz="14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sz="1800" b="1">
                <a:effectLst/>
              </a:rPr>
              <a:t>Reporte de Accidentes Laborales y Enfermedades Profesionales por Región</a:t>
            </a:r>
            <a:endParaRPr lang="es-ES">
              <a:effectLst/>
            </a:endParaRPr>
          </a:p>
        </c:rich>
      </c:tx>
      <c:layout/>
      <c:overlay val="0"/>
    </c:title>
    <c:autoTitleDeleted val="0"/>
    <c:view3D>
      <c:rotX val="10"/>
      <c:rotY val="0"/>
      <c:depthPercent val="100"/>
      <c:rAngAx val="1"/>
    </c:view3D>
    <c:floor>
      <c:thickness val="0"/>
    </c:floor>
    <c:sideWall>
      <c:thickness val="0"/>
    </c:sideWall>
    <c:backWall>
      <c:thickness val="0"/>
    </c:backWall>
    <c:plotArea>
      <c:layout>
        <c:manualLayout>
          <c:layoutTarget val="inner"/>
          <c:xMode val="edge"/>
          <c:yMode val="edge"/>
          <c:x val="0.128823234420436"/>
          <c:y val="0.13406524379614795"/>
          <c:w val="0.80648481669178895"/>
          <c:h val="0.81145230226605103"/>
        </c:manualLayout>
      </c:layout>
      <c:bar3DChart>
        <c:barDir val="bar"/>
        <c:grouping val="stacked"/>
        <c:varyColors val="0"/>
        <c:ser>
          <c:idx val="0"/>
          <c:order val="0"/>
          <c:tx>
            <c:strRef>
              <c:f>'V.4.3. NA.Cant. accid x región'!$B$3</c:f>
              <c:strCache>
                <c:ptCount val="1"/>
                <c:pt idx="0">
                  <c:v>Región 0</c:v>
                </c:pt>
              </c:strCache>
            </c:strRef>
          </c:tx>
          <c:spPr>
            <a:solidFill>
              <a:schemeClr val="bg2">
                <a:lumMod val="50000"/>
              </a:schemeClr>
            </a:solidFill>
          </c:spPr>
          <c:invertIfNegative val="0"/>
          <c:cat>
            <c:strRef>
              <c:f>'V.4.3. NA.Cant. accid x región'!$A$4:$A$14</c:f>
              <c:strCache>
                <c:ptCount val="11"/>
                <c:pt idx="0">
                  <c:v>2005</c:v>
                </c:pt>
                <c:pt idx="1">
                  <c:v>2006</c:v>
                </c:pt>
                <c:pt idx="2">
                  <c:v>2007</c:v>
                </c:pt>
                <c:pt idx="3">
                  <c:v>2008</c:v>
                </c:pt>
                <c:pt idx="4">
                  <c:v>2009</c:v>
                </c:pt>
                <c:pt idx="5">
                  <c:v>2010</c:v>
                </c:pt>
                <c:pt idx="6">
                  <c:v>2011</c:v>
                </c:pt>
                <c:pt idx="7">
                  <c:v>2012</c:v>
                </c:pt>
                <c:pt idx="8">
                  <c:v>2013</c:v>
                </c:pt>
                <c:pt idx="9">
                  <c:v>2014</c:v>
                </c:pt>
                <c:pt idx="10">
                  <c:v>Ene-Nov.2015</c:v>
                </c:pt>
              </c:strCache>
            </c:strRef>
          </c:cat>
          <c:val>
            <c:numRef>
              <c:f>'V.4.3. NA.Cant. accid x región'!$B$4:$B$14</c:f>
              <c:numCache>
                <c:formatCode>_(* #,##0_);_(* \(#,##0\);_(* "-"??_);_(@_)</c:formatCode>
                <c:ptCount val="11"/>
                <c:pt idx="0">
                  <c:v>3726</c:v>
                </c:pt>
                <c:pt idx="1">
                  <c:v>5469</c:v>
                </c:pt>
                <c:pt idx="2">
                  <c:v>5248</c:v>
                </c:pt>
                <c:pt idx="3">
                  <c:v>5249</c:v>
                </c:pt>
                <c:pt idx="4">
                  <c:v>5951</c:v>
                </c:pt>
                <c:pt idx="5">
                  <c:v>6247</c:v>
                </c:pt>
                <c:pt idx="6">
                  <c:v>7512</c:v>
                </c:pt>
                <c:pt idx="7">
                  <c:v>8554</c:v>
                </c:pt>
                <c:pt idx="8">
                  <c:v>9093</c:v>
                </c:pt>
                <c:pt idx="9">
                  <c:v>10098</c:v>
                </c:pt>
                <c:pt idx="10">
                  <c:v>10234</c:v>
                </c:pt>
              </c:numCache>
            </c:numRef>
          </c:val>
        </c:ser>
        <c:ser>
          <c:idx val="1"/>
          <c:order val="1"/>
          <c:tx>
            <c:strRef>
              <c:f>'V.4.3. NA.Cant. accid x región'!$C$3</c:f>
              <c:strCache>
                <c:ptCount val="1"/>
                <c:pt idx="0">
                  <c:v>Región I</c:v>
                </c:pt>
              </c:strCache>
            </c:strRef>
          </c:tx>
          <c:spPr>
            <a:solidFill>
              <a:schemeClr val="accent2"/>
            </a:solidFill>
          </c:spPr>
          <c:invertIfNegative val="0"/>
          <c:cat>
            <c:strRef>
              <c:f>'V.4.3. NA.Cant. accid x región'!$A$4:$A$14</c:f>
              <c:strCache>
                <c:ptCount val="11"/>
                <c:pt idx="0">
                  <c:v>2005</c:v>
                </c:pt>
                <c:pt idx="1">
                  <c:v>2006</c:v>
                </c:pt>
                <c:pt idx="2">
                  <c:v>2007</c:v>
                </c:pt>
                <c:pt idx="3">
                  <c:v>2008</c:v>
                </c:pt>
                <c:pt idx="4">
                  <c:v>2009</c:v>
                </c:pt>
                <c:pt idx="5">
                  <c:v>2010</c:v>
                </c:pt>
                <c:pt idx="6">
                  <c:v>2011</c:v>
                </c:pt>
                <c:pt idx="7">
                  <c:v>2012</c:v>
                </c:pt>
                <c:pt idx="8">
                  <c:v>2013</c:v>
                </c:pt>
                <c:pt idx="9">
                  <c:v>2014</c:v>
                </c:pt>
                <c:pt idx="10">
                  <c:v>Ene-Nov.2015</c:v>
                </c:pt>
              </c:strCache>
            </c:strRef>
          </c:cat>
          <c:val>
            <c:numRef>
              <c:f>'V.4.3. NA.Cant. accid x región'!$C$4:$C$14</c:f>
              <c:numCache>
                <c:formatCode>_(* #,##0_);_(* \(#,##0\);_(* "-"??_);_(@_)</c:formatCode>
                <c:ptCount val="11"/>
                <c:pt idx="0">
                  <c:v>1</c:v>
                </c:pt>
                <c:pt idx="1">
                  <c:v>10</c:v>
                </c:pt>
                <c:pt idx="2">
                  <c:v>259</c:v>
                </c:pt>
                <c:pt idx="3">
                  <c:v>457</c:v>
                </c:pt>
                <c:pt idx="4">
                  <c:v>466</c:v>
                </c:pt>
                <c:pt idx="5">
                  <c:v>524</c:v>
                </c:pt>
                <c:pt idx="6">
                  <c:v>818</c:v>
                </c:pt>
                <c:pt idx="7">
                  <c:v>1073</c:v>
                </c:pt>
                <c:pt idx="8">
                  <c:v>1147</c:v>
                </c:pt>
                <c:pt idx="9">
                  <c:v>1346</c:v>
                </c:pt>
                <c:pt idx="10">
                  <c:v>1327</c:v>
                </c:pt>
              </c:numCache>
            </c:numRef>
          </c:val>
        </c:ser>
        <c:ser>
          <c:idx val="2"/>
          <c:order val="2"/>
          <c:tx>
            <c:strRef>
              <c:f>'V.4.3. NA.Cant. accid x región'!$D$3</c:f>
              <c:strCache>
                <c:ptCount val="1"/>
                <c:pt idx="0">
                  <c:v>Región II</c:v>
                </c:pt>
              </c:strCache>
            </c:strRef>
          </c:tx>
          <c:invertIfNegative val="0"/>
          <c:cat>
            <c:strRef>
              <c:f>'V.4.3. NA.Cant. accid x región'!$A$4:$A$14</c:f>
              <c:strCache>
                <c:ptCount val="11"/>
                <c:pt idx="0">
                  <c:v>2005</c:v>
                </c:pt>
                <c:pt idx="1">
                  <c:v>2006</c:v>
                </c:pt>
                <c:pt idx="2">
                  <c:v>2007</c:v>
                </c:pt>
                <c:pt idx="3">
                  <c:v>2008</c:v>
                </c:pt>
                <c:pt idx="4">
                  <c:v>2009</c:v>
                </c:pt>
                <c:pt idx="5">
                  <c:v>2010</c:v>
                </c:pt>
                <c:pt idx="6">
                  <c:v>2011</c:v>
                </c:pt>
                <c:pt idx="7">
                  <c:v>2012</c:v>
                </c:pt>
                <c:pt idx="8">
                  <c:v>2013</c:v>
                </c:pt>
                <c:pt idx="9">
                  <c:v>2014</c:v>
                </c:pt>
                <c:pt idx="10">
                  <c:v>Ene-Nov.2015</c:v>
                </c:pt>
              </c:strCache>
            </c:strRef>
          </c:cat>
          <c:val>
            <c:numRef>
              <c:f>'V.4.3. NA.Cant. accid x región'!$D$4:$D$14</c:f>
              <c:numCache>
                <c:formatCode>_(* #,##0_);_(* \(#,##0\);_(* "-"??_);_(@_)</c:formatCode>
                <c:ptCount val="11"/>
                <c:pt idx="0">
                  <c:v>1</c:v>
                </c:pt>
                <c:pt idx="1">
                  <c:v>17</c:v>
                </c:pt>
                <c:pt idx="2">
                  <c:v>1131</c:v>
                </c:pt>
                <c:pt idx="3">
                  <c:v>2480</c:v>
                </c:pt>
                <c:pt idx="4">
                  <c:v>3922</c:v>
                </c:pt>
                <c:pt idx="5">
                  <c:v>4790</c:v>
                </c:pt>
                <c:pt idx="6">
                  <c:v>6018</c:v>
                </c:pt>
                <c:pt idx="7">
                  <c:v>7266</c:v>
                </c:pt>
                <c:pt idx="8">
                  <c:v>8256</c:v>
                </c:pt>
                <c:pt idx="9">
                  <c:v>8494</c:v>
                </c:pt>
                <c:pt idx="10">
                  <c:v>8995</c:v>
                </c:pt>
              </c:numCache>
            </c:numRef>
          </c:val>
        </c:ser>
        <c:ser>
          <c:idx val="3"/>
          <c:order val="3"/>
          <c:tx>
            <c:strRef>
              <c:f>'V.4.3. NA.Cant. accid x región'!$E$3</c:f>
              <c:strCache>
                <c:ptCount val="1"/>
                <c:pt idx="0">
                  <c:v>Región III</c:v>
                </c:pt>
              </c:strCache>
            </c:strRef>
          </c:tx>
          <c:invertIfNegative val="0"/>
          <c:cat>
            <c:strRef>
              <c:f>'V.4.3. NA.Cant. accid x región'!$A$4:$A$14</c:f>
              <c:strCache>
                <c:ptCount val="11"/>
                <c:pt idx="0">
                  <c:v>2005</c:v>
                </c:pt>
                <c:pt idx="1">
                  <c:v>2006</c:v>
                </c:pt>
                <c:pt idx="2">
                  <c:v>2007</c:v>
                </c:pt>
                <c:pt idx="3">
                  <c:v>2008</c:v>
                </c:pt>
                <c:pt idx="4">
                  <c:v>2009</c:v>
                </c:pt>
                <c:pt idx="5">
                  <c:v>2010</c:v>
                </c:pt>
                <c:pt idx="6">
                  <c:v>2011</c:v>
                </c:pt>
                <c:pt idx="7">
                  <c:v>2012</c:v>
                </c:pt>
                <c:pt idx="8">
                  <c:v>2013</c:v>
                </c:pt>
                <c:pt idx="9">
                  <c:v>2014</c:v>
                </c:pt>
                <c:pt idx="10">
                  <c:v>Ene-Nov.2015</c:v>
                </c:pt>
              </c:strCache>
            </c:strRef>
          </c:cat>
          <c:val>
            <c:numRef>
              <c:f>'V.4.3. NA.Cant. accid x región'!$E$4:$E$14</c:f>
              <c:numCache>
                <c:formatCode>_(* #,##0_);_(* \(#,##0\);_(* "-"??_);_(@_)</c:formatCode>
                <c:ptCount val="11"/>
                <c:pt idx="0">
                  <c:v>0</c:v>
                </c:pt>
                <c:pt idx="1">
                  <c:v>2</c:v>
                </c:pt>
                <c:pt idx="2">
                  <c:v>112</c:v>
                </c:pt>
                <c:pt idx="3">
                  <c:v>167</c:v>
                </c:pt>
                <c:pt idx="4">
                  <c:v>308</c:v>
                </c:pt>
                <c:pt idx="5">
                  <c:v>428</c:v>
                </c:pt>
                <c:pt idx="6">
                  <c:v>681</c:v>
                </c:pt>
                <c:pt idx="7">
                  <c:v>925</c:v>
                </c:pt>
                <c:pt idx="8">
                  <c:v>933</c:v>
                </c:pt>
                <c:pt idx="9">
                  <c:v>1003</c:v>
                </c:pt>
                <c:pt idx="10">
                  <c:v>1133</c:v>
                </c:pt>
              </c:numCache>
            </c:numRef>
          </c:val>
        </c:ser>
        <c:ser>
          <c:idx val="4"/>
          <c:order val="4"/>
          <c:tx>
            <c:strRef>
              <c:f>'V.4.3. NA.Cant. accid x región'!$F$3</c:f>
              <c:strCache>
                <c:ptCount val="1"/>
                <c:pt idx="0">
                  <c:v>Región IV</c:v>
                </c:pt>
              </c:strCache>
            </c:strRef>
          </c:tx>
          <c:spPr>
            <a:solidFill>
              <a:srgbClr val="FFC000"/>
            </a:solidFill>
          </c:spPr>
          <c:invertIfNegative val="0"/>
          <c:cat>
            <c:strRef>
              <c:f>'V.4.3. NA.Cant. accid x región'!$A$4:$A$14</c:f>
              <c:strCache>
                <c:ptCount val="11"/>
                <c:pt idx="0">
                  <c:v>2005</c:v>
                </c:pt>
                <c:pt idx="1">
                  <c:v>2006</c:v>
                </c:pt>
                <c:pt idx="2">
                  <c:v>2007</c:v>
                </c:pt>
                <c:pt idx="3">
                  <c:v>2008</c:v>
                </c:pt>
                <c:pt idx="4">
                  <c:v>2009</c:v>
                </c:pt>
                <c:pt idx="5">
                  <c:v>2010</c:v>
                </c:pt>
                <c:pt idx="6">
                  <c:v>2011</c:v>
                </c:pt>
                <c:pt idx="7">
                  <c:v>2012</c:v>
                </c:pt>
                <c:pt idx="8">
                  <c:v>2013</c:v>
                </c:pt>
                <c:pt idx="9">
                  <c:v>2014</c:v>
                </c:pt>
                <c:pt idx="10">
                  <c:v>Ene-Nov.2015</c:v>
                </c:pt>
              </c:strCache>
            </c:strRef>
          </c:cat>
          <c:val>
            <c:numRef>
              <c:f>'V.4.3. NA.Cant. accid x región'!$F$4:$F$14</c:f>
              <c:numCache>
                <c:formatCode>_(* #,##0_);_(* \(#,##0\);_(* "-"??_);_(@_)</c:formatCode>
                <c:ptCount val="11"/>
                <c:pt idx="0">
                  <c:v>1</c:v>
                </c:pt>
                <c:pt idx="1">
                  <c:v>1</c:v>
                </c:pt>
                <c:pt idx="2">
                  <c:v>54</c:v>
                </c:pt>
                <c:pt idx="3">
                  <c:v>61</c:v>
                </c:pt>
                <c:pt idx="4">
                  <c:v>128</c:v>
                </c:pt>
                <c:pt idx="5">
                  <c:v>239</c:v>
                </c:pt>
                <c:pt idx="6">
                  <c:v>471</c:v>
                </c:pt>
                <c:pt idx="7">
                  <c:v>535</c:v>
                </c:pt>
                <c:pt idx="8">
                  <c:v>584</c:v>
                </c:pt>
                <c:pt idx="9">
                  <c:v>627</c:v>
                </c:pt>
                <c:pt idx="10">
                  <c:v>403</c:v>
                </c:pt>
              </c:numCache>
            </c:numRef>
          </c:val>
        </c:ser>
        <c:ser>
          <c:idx val="5"/>
          <c:order val="5"/>
          <c:tx>
            <c:strRef>
              <c:f>'V.4.3. NA.Cant. accid x región'!$G$3</c:f>
              <c:strCache>
                <c:ptCount val="1"/>
                <c:pt idx="0">
                  <c:v>Región V</c:v>
                </c:pt>
              </c:strCache>
            </c:strRef>
          </c:tx>
          <c:spPr>
            <a:solidFill>
              <a:schemeClr val="accent5"/>
            </a:solidFill>
          </c:spPr>
          <c:invertIfNegative val="0"/>
          <c:cat>
            <c:strRef>
              <c:f>'V.4.3. NA.Cant. accid x región'!$A$4:$A$14</c:f>
              <c:strCache>
                <c:ptCount val="11"/>
                <c:pt idx="0">
                  <c:v>2005</c:v>
                </c:pt>
                <c:pt idx="1">
                  <c:v>2006</c:v>
                </c:pt>
                <c:pt idx="2">
                  <c:v>2007</c:v>
                </c:pt>
                <c:pt idx="3">
                  <c:v>2008</c:v>
                </c:pt>
                <c:pt idx="4">
                  <c:v>2009</c:v>
                </c:pt>
                <c:pt idx="5">
                  <c:v>2010</c:v>
                </c:pt>
                <c:pt idx="6">
                  <c:v>2011</c:v>
                </c:pt>
                <c:pt idx="7">
                  <c:v>2012</c:v>
                </c:pt>
                <c:pt idx="8">
                  <c:v>2013</c:v>
                </c:pt>
                <c:pt idx="9">
                  <c:v>2014</c:v>
                </c:pt>
                <c:pt idx="10">
                  <c:v>Ene-Nov.2015</c:v>
                </c:pt>
              </c:strCache>
            </c:strRef>
          </c:cat>
          <c:val>
            <c:numRef>
              <c:f>'V.4.3. NA.Cant. accid x región'!$G$4:$G$14</c:f>
              <c:numCache>
                <c:formatCode>_(* #,##0_);_(* \(#,##0\);_(* "-"??_);_(@_)</c:formatCode>
                <c:ptCount val="11"/>
                <c:pt idx="0">
                  <c:v>2</c:v>
                </c:pt>
                <c:pt idx="1">
                  <c:v>23</c:v>
                </c:pt>
                <c:pt idx="2">
                  <c:v>1402</c:v>
                </c:pt>
                <c:pt idx="3">
                  <c:v>2135</c:v>
                </c:pt>
                <c:pt idx="4">
                  <c:v>2899</c:v>
                </c:pt>
                <c:pt idx="5">
                  <c:v>3860</c:v>
                </c:pt>
                <c:pt idx="6">
                  <c:v>5158</c:v>
                </c:pt>
                <c:pt idx="7">
                  <c:v>5902</c:v>
                </c:pt>
                <c:pt idx="8">
                  <c:v>5913</c:v>
                </c:pt>
                <c:pt idx="9">
                  <c:v>6354</c:v>
                </c:pt>
                <c:pt idx="10">
                  <c:v>6601</c:v>
                </c:pt>
              </c:numCache>
            </c:numRef>
          </c:val>
        </c:ser>
        <c:ser>
          <c:idx val="6"/>
          <c:order val="6"/>
          <c:tx>
            <c:strRef>
              <c:f>'V.4.3. NA.Cant. accid x región'!$H$3</c:f>
              <c:strCache>
                <c:ptCount val="1"/>
                <c:pt idx="0">
                  <c:v>Región VI</c:v>
                </c:pt>
              </c:strCache>
            </c:strRef>
          </c:tx>
          <c:spPr>
            <a:solidFill>
              <a:srgbClr val="00FF99"/>
            </a:solidFill>
          </c:spPr>
          <c:invertIfNegative val="0"/>
          <c:cat>
            <c:strRef>
              <c:f>'V.4.3. NA.Cant. accid x región'!$A$4:$A$14</c:f>
              <c:strCache>
                <c:ptCount val="11"/>
                <c:pt idx="0">
                  <c:v>2005</c:v>
                </c:pt>
                <c:pt idx="1">
                  <c:v>2006</c:v>
                </c:pt>
                <c:pt idx="2">
                  <c:v>2007</c:v>
                </c:pt>
                <c:pt idx="3">
                  <c:v>2008</c:v>
                </c:pt>
                <c:pt idx="4">
                  <c:v>2009</c:v>
                </c:pt>
                <c:pt idx="5">
                  <c:v>2010</c:v>
                </c:pt>
                <c:pt idx="6">
                  <c:v>2011</c:v>
                </c:pt>
                <c:pt idx="7">
                  <c:v>2012</c:v>
                </c:pt>
                <c:pt idx="8">
                  <c:v>2013</c:v>
                </c:pt>
                <c:pt idx="9">
                  <c:v>2014</c:v>
                </c:pt>
                <c:pt idx="10">
                  <c:v>Ene-Nov.2015</c:v>
                </c:pt>
              </c:strCache>
            </c:strRef>
          </c:cat>
          <c:val>
            <c:numRef>
              <c:f>'V.4.3. NA.Cant. accid x región'!$H$4:$H$14</c:f>
              <c:numCache>
                <c:formatCode>_(* #,##0_);_(* \(#,##0\);_(* "-"??_);_(@_)</c:formatCode>
                <c:ptCount val="11"/>
                <c:pt idx="0">
                  <c:v>0</c:v>
                </c:pt>
                <c:pt idx="1">
                  <c:v>5</c:v>
                </c:pt>
                <c:pt idx="2">
                  <c:v>67</c:v>
                </c:pt>
                <c:pt idx="3">
                  <c:v>47</c:v>
                </c:pt>
                <c:pt idx="4">
                  <c:v>159</c:v>
                </c:pt>
                <c:pt idx="5">
                  <c:v>234</c:v>
                </c:pt>
                <c:pt idx="6">
                  <c:v>364</c:v>
                </c:pt>
                <c:pt idx="7">
                  <c:v>474</c:v>
                </c:pt>
                <c:pt idx="8">
                  <c:v>417</c:v>
                </c:pt>
                <c:pt idx="9">
                  <c:v>518</c:v>
                </c:pt>
                <c:pt idx="10">
                  <c:v>517</c:v>
                </c:pt>
              </c:numCache>
            </c:numRef>
          </c:val>
        </c:ser>
        <c:ser>
          <c:idx val="7"/>
          <c:order val="7"/>
          <c:tx>
            <c:strRef>
              <c:f>'V.4.3. NA.Cant. accid x región'!$I$3</c:f>
              <c:strCache>
                <c:ptCount val="1"/>
                <c:pt idx="0">
                  <c:v>Región VII</c:v>
                </c:pt>
              </c:strCache>
            </c:strRef>
          </c:tx>
          <c:spPr>
            <a:solidFill>
              <a:srgbClr val="FFFF66"/>
            </a:solidFill>
          </c:spPr>
          <c:invertIfNegative val="0"/>
          <c:dLbls>
            <c:dLbl>
              <c:idx val="8"/>
              <c:layout>
                <c:manualLayout>
                  <c:x val="5.440307667888658E-2"/>
                  <c:y val="-7.8496140344019184E-3"/>
                </c:manualLayout>
              </c:layout>
              <c:tx>
                <c:rich>
                  <a:bodyPr/>
                  <a:lstStyle/>
                  <a:p>
                    <a:r>
                      <a:rPr lang="en-US" sz="1600"/>
                      <a:t> 26,688</a:t>
                    </a:r>
                    <a:endParaRPr lang="en-US"/>
                  </a:p>
                </c:rich>
              </c:tx>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600"/>
                </a:pPr>
                <a:endParaRPr lang="es-E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'V.4.3. NA.Cant. accid x región'!$A$4:$A$14</c:f>
              <c:strCache>
                <c:ptCount val="11"/>
                <c:pt idx="0">
                  <c:v>2005</c:v>
                </c:pt>
                <c:pt idx="1">
                  <c:v>2006</c:v>
                </c:pt>
                <c:pt idx="2">
                  <c:v>2007</c:v>
                </c:pt>
                <c:pt idx="3">
                  <c:v>2008</c:v>
                </c:pt>
                <c:pt idx="4">
                  <c:v>2009</c:v>
                </c:pt>
                <c:pt idx="5">
                  <c:v>2010</c:v>
                </c:pt>
                <c:pt idx="6">
                  <c:v>2011</c:v>
                </c:pt>
                <c:pt idx="7">
                  <c:v>2012</c:v>
                </c:pt>
                <c:pt idx="8">
                  <c:v>2013</c:v>
                </c:pt>
                <c:pt idx="9">
                  <c:v>2014</c:v>
                </c:pt>
                <c:pt idx="10">
                  <c:v>Ene-Nov.2015</c:v>
                </c:pt>
              </c:strCache>
            </c:strRef>
          </c:cat>
          <c:val>
            <c:numRef>
              <c:f>'V.4.3. NA.Cant. accid x región'!$I$4:$I$14</c:f>
              <c:numCache>
                <c:formatCode>_(* #,##0_);_(* \(#,##0\);_(* "-"??_);_(@_)</c:formatCode>
                <c:ptCount val="11"/>
                <c:pt idx="0">
                  <c:v>0</c:v>
                </c:pt>
                <c:pt idx="1">
                  <c:v>8</c:v>
                </c:pt>
                <c:pt idx="2">
                  <c:v>271</c:v>
                </c:pt>
                <c:pt idx="3">
                  <c:v>381</c:v>
                </c:pt>
                <c:pt idx="4">
                  <c:v>850</c:v>
                </c:pt>
                <c:pt idx="5">
                  <c:v>1134</c:v>
                </c:pt>
                <c:pt idx="6">
                  <c:v>1575</c:v>
                </c:pt>
                <c:pt idx="7">
                  <c:v>1959</c:v>
                </c:pt>
                <c:pt idx="8">
                  <c:v>2292</c:v>
                </c:pt>
                <c:pt idx="9">
                  <c:v>2592</c:v>
                </c:pt>
                <c:pt idx="10">
                  <c:v>2608</c:v>
                </c:pt>
              </c:numCache>
            </c:numRef>
          </c:val>
        </c:ser>
        <c:ser>
          <c:idx val="8"/>
          <c:order val="8"/>
          <c:tx>
            <c:strRef>
              <c:f>'V.4.3. NA.Cant. accid x región'!$J$3</c:f>
              <c:strCache>
                <c:ptCount val="1"/>
                <c:pt idx="0">
                  <c:v>Región VIII</c:v>
                </c:pt>
              </c:strCache>
            </c:strRef>
          </c:tx>
          <c:invertIfNegative val="0"/>
          <c:dLbls>
            <c:dLbl>
              <c:idx val="0"/>
              <c:layout>
                <c:manualLayout>
                  <c:x val="2.3906694248317657E-2"/>
                  <c:y val="-4.3788451887663404E-3"/>
                </c:manualLayout>
              </c:layout>
              <c:tx>
                <c:rich>
                  <a:bodyPr/>
                  <a:lstStyle/>
                  <a:p>
                    <a:r>
                      <a:rPr lang="en-US" sz="1600"/>
                      <a:t>2,647   </a:t>
                    </a:r>
                    <a:endParaRPr lang="en-US"/>
                  </a:p>
                </c:rich>
              </c:tx>
              <c:showLegendKey val="0"/>
              <c:showVal val="0"/>
              <c:showCatName val="0"/>
              <c:showSerName val="0"/>
              <c:showPercent val="0"/>
              <c:showBubbleSize val="0"/>
              <c:extLst>
                <c:ext xmlns:c15="http://schemas.microsoft.com/office/drawing/2012/chart" uri="{CE6537A1-D6FC-4f65-9D91-7224C49458BB}">
                  <c15:layout/>
                </c:ext>
              </c:extLst>
            </c:dLbl>
            <c:dLbl>
              <c:idx val="1"/>
              <c:layout>
                <c:manualLayout>
                  <c:x val="2.373946527980875E-2"/>
                  <c:y val="-4.0686020170059055E-3"/>
                </c:manualLayout>
              </c:layout>
              <c:tx>
                <c:rich>
                  <a:bodyPr/>
                  <a:lstStyle/>
                  <a:p>
                    <a:r>
                      <a:rPr lang="en-US" sz="1600"/>
                      <a:t> 3,731   </a:t>
                    </a:r>
                    <a:endParaRPr lang="en-US"/>
                  </a:p>
                </c:rich>
              </c:tx>
              <c:showLegendKey val="0"/>
              <c:showVal val="0"/>
              <c:showCatName val="0"/>
              <c:showSerName val="0"/>
              <c:showPercent val="0"/>
              <c:showBubbleSize val="0"/>
              <c:extLst>
                <c:ext xmlns:c15="http://schemas.microsoft.com/office/drawing/2012/chart" uri="{CE6537A1-D6FC-4f65-9D91-7224C49458BB}">
                  <c15:layout/>
                </c:ext>
              </c:extLst>
            </c:dLbl>
            <c:dLbl>
              <c:idx val="2"/>
              <c:layout>
                <c:manualLayout>
                  <c:x val="2.30669881855033E-2"/>
                  <c:y val="-3.8515953696244032E-4"/>
                </c:manualLayout>
              </c:layout>
              <c:tx>
                <c:rich>
                  <a:bodyPr/>
                  <a:lstStyle/>
                  <a:p>
                    <a:r>
                      <a:rPr lang="en-US" sz="1600"/>
                      <a:t>5,535   </a:t>
                    </a:r>
                    <a:endParaRPr lang="en-US"/>
                  </a:p>
                </c:rich>
              </c:tx>
              <c:showLegendKey val="0"/>
              <c:showVal val="0"/>
              <c:showCatName val="0"/>
              <c:showSerName val="0"/>
              <c:showPercent val="0"/>
              <c:showBubbleSize val="0"/>
              <c:extLst>
                <c:ext xmlns:c15="http://schemas.microsoft.com/office/drawing/2012/chart" uri="{CE6537A1-D6FC-4f65-9D91-7224C49458BB}">
                  <c15:layout/>
                </c:ext>
              </c:extLst>
            </c:dLbl>
            <c:dLbl>
              <c:idx val="3"/>
              <c:layout>
                <c:manualLayout>
                  <c:x val="2.2281854152389279E-2"/>
                  <c:y val="-4.186374468851695E-3"/>
                </c:manualLayout>
              </c:layout>
              <c:tx>
                <c:rich>
                  <a:bodyPr/>
                  <a:lstStyle/>
                  <a:p>
                    <a:r>
                      <a:rPr lang="en-US" sz="1600"/>
                      <a:t> 8,544  </a:t>
                    </a:r>
                    <a:endParaRPr lang="en-US"/>
                  </a:p>
                </c:rich>
              </c:tx>
              <c:showLegendKey val="0"/>
              <c:showVal val="0"/>
              <c:showCatName val="0"/>
              <c:showSerName val="0"/>
              <c:showPercent val="0"/>
              <c:showBubbleSize val="0"/>
              <c:extLst>
                <c:ext xmlns:c15="http://schemas.microsoft.com/office/drawing/2012/chart" uri="{CE6537A1-D6FC-4f65-9D91-7224C49458BB}">
                  <c15:layout/>
                </c:ext>
              </c:extLst>
            </c:dLbl>
            <c:dLbl>
              <c:idx val="4"/>
              <c:layout>
                <c:manualLayout>
                  <c:x val="2.6908746285950042E-2"/>
                  <c:y val="-3.2123526726604121E-3"/>
                </c:manualLayout>
              </c:layout>
              <c:tx>
                <c:rich>
                  <a:bodyPr/>
                  <a:lstStyle/>
                  <a:p>
                    <a:r>
                      <a:rPr lang="en-US" sz="1600"/>
                      <a:t>10,977   </a:t>
                    </a:r>
                    <a:endParaRPr lang="en-US"/>
                  </a:p>
                </c:rich>
              </c:tx>
              <c:showLegendKey val="0"/>
              <c:showVal val="0"/>
              <c:showCatName val="0"/>
              <c:showSerName val="0"/>
              <c:showPercent val="0"/>
              <c:showBubbleSize val="0"/>
              <c:extLst>
                <c:ext xmlns:c15="http://schemas.microsoft.com/office/drawing/2012/chart" uri="{CE6537A1-D6FC-4f65-9D91-7224C49458BB}">
                  <c15:layout/>
                </c:ext>
              </c:extLst>
            </c:dLbl>
            <c:dLbl>
              <c:idx val="5"/>
              <c:layout>
                <c:manualLayout>
                  <c:x val="2.6737217708668642E-2"/>
                  <c:y val="-1.9075865742023076E-3"/>
                </c:manualLayout>
              </c:layout>
              <c:tx>
                <c:rich>
                  <a:bodyPr/>
                  <a:lstStyle/>
                  <a:p>
                    <a:r>
                      <a:rPr lang="en-US" sz="1600"/>
                      <a:t> 14,683   </a:t>
                    </a:r>
                    <a:endParaRPr lang="en-US"/>
                  </a:p>
                </c:rich>
              </c:tx>
              <c:showLegendKey val="0"/>
              <c:showVal val="0"/>
              <c:showCatName val="0"/>
              <c:showSerName val="0"/>
              <c:showPercent val="0"/>
              <c:showBubbleSize val="0"/>
              <c:extLst>
                <c:ext xmlns:c15="http://schemas.microsoft.com/office/drawing/2012/chart" uri="{CE6537A1-D6FC-4f65-9D91-7224C49458BB}">
                  <c15:layout/>
                </c:ext>
              </c:extLst>
            </c:dLbl>
            <c:dLbl>
              <c:idx val="6"/>
              <c:layout>
                <c:manualLayout>
                  <c:x val="2.6444816227566753E-2"/>
                  <c:y val="-5.4045560054899414E-3"/>
                </c:manualLayout>
              </c:layout>
              <c:tx>
                <c:rich>
                  <a:bodyPr/>
                  <a:lstStyle/>
                  <a:p>
                    <a:r>
                      <a:rPr lang="en-US" sz="1600"/>
                      <a:t> 17,456   </a:t>
                    </a:r>
                    <a:endParaRPr lang="en-US"/>
                  </a:p>
                </c:rich>
              </c:tx>
              <c:showLegendKey val="0"/>
              <c:showVal val="0"/>
              <c:showCatName val="0"/>
              <c:showSerName val="0"/>
              <c:showPercent val="0"/>
              <c:showBubbleSize val="0"/>
              <c:extLst>
                <c:ext xmlns:c15="http://schemas.microsoft.com/office/drawing/2012/chart" uri="{CE6537A1-D6FC-4f65-9D91-7224C49458BB}">
                  <c15:layout/>
                </c:ext>
              </c:extLst>
            </c:dLbl>
            <c:dLbl>
              <c:idx val="7"/>
              <c:layout>
                <c:manualLayout>
                  <c:x val="2.1867744588407328E-2"/>
                  <c:y val="-4.4534237790981018E-3"/>
                </c:manualLayout>
              </c:layout>
              <c:tx>
                <c:rich>
                  <a:bodyPr/>
                  <a:lstStyle/>
                  <a:p>
                    <a:pPr>
                      <a:defRPr sz="1600" b="0"/>
                    </a:pPr>
                    <a:r>
                      <a:rPr lang="en-US" sz="1600" b="0"/>
                      <a:t> 22,597</a:t>
                    </a:r>
                    <a:endParaRPr lang="en-US" b="0"/>
                  </a:p>
                </c:rich>
              </c:tx>
              <c:spPr/>
              <c:showLegendKey val="0"/>
              <c:showVal val="0"/>
              <c:showCatName val="0"/>
              <c:showSerName val="0"/>
              <c:showPercent val="0"/>
              <c:showBubbleSize val="0"/>
              <c:extLst>
                <c:ext xmlns:c15="http://schemas.microsoft.com/office/drawing/2012/chart" uri="{CE6537A1-D6FC-4f65-9D91-7224C49458BB}">
                  <c15:layout/>
                </c:ext>
              </c:extLst>
            </c:dLbl>
            <c:dLbl>
              <c:idx val="8"/>
              <c:delete val="1"/>
              <c:extLst>
                <c:ext xmlns:c15="http://schemas.microsoft.com/office/drawing/2012/chart" uri="{CE6537A1-D6FC-4f65-9D91-7224C49458BB}"/>
              </c:extLst>
            </c:dLbl>
            <c:dLbl>
              <c:idx val="9"/>
              <c:layout>
                <c:manualLayout>
                  <c:x val="-1.8383109275336883E-2"/>
                  <c:y val="-7.7561222971821095E-2"/>
                </c:manualLayout>
              </c:layout>
              <c:tx>
                <c:rich>
                  <a:bodyPr/>
                  <a:lstStyle/>
                  <a:p>
                    <a:r>
                      <a:rPr lang="en-US" sz="1600"/>
                      <a:t> 10,755</a:t>
                    </a:r>
                    <a:endParaRPr lang="en-US"/>
                  </a:p>
                </c:rich>
              </c:tx>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8.1135210837278787E-2"/>
                  <c:y val="6.6464264113614668E-2"/>
                </c:manualLayout>
              </c:layout>
              <c:tx>
                <c:rich>
                  <a:bodyPr/>
                  <a:lstStyle/>
                  <a:p>
                    <a:r>
                      <a:rPr lang="en-US" sz="1600"/>
                      <a:t> 31,032 </a:t>
                    </a:r>
                    <a:endParaRPr lang="en-US"/>
                  </a:p>
                </c:rich>
              </c:tx>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'V.4.3. NA.Cant. accid x región'!$A$4:$A$14</c:f>
              <c:strCache>
                <c:ptCount val="11"/>
                <c:pt idx="0">
                  <c:v>2005</c:v>
                </c:pt>
                <c:pt idx="1">
                  <c:v>2006</c:v>
                </c:pt>
                <c:pt idx="2">
                  <c:v>2007</c:v>
                </c:pt>
                <c:pt idx="3">
                  <c:v>2008</c:v>
                </c:pt>
                <c:pt idx="4">
                  <c:v>2009</c:v>
                </c:pt>
                <c:pt idx="5">
                  <c:v>2010</c:v>
                </c:pt>
                <c:pt idx="6">
                  <c:v>2011</c:v>
                </c:pt>
                <c:pt idx="7">
                  <c:v>2012</c:v>
                </c:pt>
                <c:pt idx="8">
                  <c:v>2013</c:v>
                </c:pt>
                <c:pt idx="9">
                  <c:v>2014</c:v>
                </c:pt>
                <c:pt idx="10">
                  <c:v>Ene-Nov.2015</c:v>
                </c:pt>
              </c:strCache>
            </c:strRef>
          </c:cat>
          <c:val>
            <c:numRef>
              <c:f>'V.4.3. NA.Cant. accid x región'!$J$4:$J$14</c:f>
              <c:numCache>
                <c:formatCode>_(* #,##0_);_(* \(#,##0\);_(* "-"??_);_(@_)</c:formatCode>
                <c:ptCount val="11"/>
                <c:pt idx="0">
                  <c:v>0</c:v>
                </c:pt>
                <c:pt idx="1">
                  <c:v>0</c:v>
                </c:pt>
                <c:pt idx="2">
                  <c:v>0</c:v>
                </c:pt>
                <c:pt idx="3">
                  <c:v>0</c:v>
                </c:pt>
                <c:pt idx="4">
                  <c:v>0</c:v>
                </c:pt>
                <c:pt idx="5">
                  <c:v>0</c:v>
                </c:pt>
                <c:pt idx="6">
                  <c:v>0</c:v>
                </c:pt>
                <c:pt idx="7">
                  <c:v>0</c:v>
                </c:pt>
                <c:pt idx="8">
                  <c:v>0</c:v>
                </c:pt>
                <c:pt idx="9">
                  <c:v>0</c:v>
                </c:pt>
                <c:pt idx="10">
                  <c:v>0</c:v>
                </c:pt>
              </c:numCache>
            </c:numRef>
          </c:val>
        </c:ser>
        <c:dLbls>
          <c:showLegendKey val="0"/>
          <c:showVal val="0"/>
          <c:showCatName val="0"/>
          <c:showSerName val="0"/>
          <c:showPercent val="0"/>
          <c:showBubbleSize val="0"/>
        </c:dLbls>
        <c:gapWidth val="75"/>
        <c:shape val="box"/>
        <c:axId val="371318640"/>
        <c:axId val="371316288"/>
        <c:axId val="0"/>
      </c:bar3DChart>
      <c:catAx>
        <c:axId val="371318640"/>
        <c:scaling>
          <c:orientation val="minMax"/>
        </c:scaling>
        <c:delete val="0"/>
        <c:axPos val="l"/>
        <c:numFmt formatCode="General" sourceLinked="1"/>
        <c:majorTickMark val="none"/>
        <c:minorTickMark val="none"/>
        <c:tickLblPos val="nextTo"/>
        <c:txPr>
          <a:bodyPr/>
          <a:lstStyle/>
          <a:p>
            <a:pPr>
              <a:defRPr sz="1600"/>
            </a:pPr>
            <a:endParaRPr lang="es-ES"/>
          </a:p>
        </c:txPr>
        <c:crossAx val="371316288"/>
        <c:crosses val="autoZero"/>
        <c:auto val="1"/>
        <c:lblAlgn val="ctr"/>
        <c:lblOffset val="100"/>
        <c:noMultiLvlLbl val="0"/>
      </c:catAx>
      <c:valAx>
        <c:axId val="371316288"/>
        <c:scaling>
          <c:orientation val="minMax"/>
        </c:scaling>
        <c:delete val="1"/>
        <c:axPos val="b"/>
        <c:numFmt formatCode="_(* #,##0_);_(* \(#,##0\);_(* &quot;-&quot;??_);_(@_)" sourceLinked="1"/>
        <c:majorTickMark val="out"/>
        <c:minorTickMark val="none"/>
        <c:tickLblPos val="nextTo"/>
        <c:crossAx val="371318640"/>
        <c:crosses val="autoZero"/>
        <c:crossBetween val="between"/>
      </c:valAx>
      <c:spPr>
        <a:noFill/>
        <a:ln w="25400">
          <a:noFill/>
        </a:ln>
      </c:spPr>
    </c:plotArea>
    <c:legend>
      <c:legendPos val="t"/>
      <c:layout>
        <c:manualLayout>
          <c:xMode val="edge"/>
          <c:yMode val="edge"/>
          <c:x val="2.362818207720498E-2"/>
          <c:y val="4.0226365729548769E-2"/>
          <c:w val="0.95164950689753947"/>
          <c:h val="4.8455177820930083E-2"/>
        </c:manualLayout>
      </c:layout>
      <c:overlay val="0"/>
      <c:txPr>
        <a:bodyPr/>
        <a:lstStyle/>
        <a:p>
          <a:pPr rtl="0">
            <a:defRPr sz="16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sz="1800" b="1">
                <a:effectLst/>
              </a:rPr>
              <a:t>Reporte de Accidentes Laborales y Enfermedades Profesionales por Provincia</a:t>
            </a:r>
            <a:endParaRPr lang="es-ES">
              <a:effectLst/>
            </a:endParaRPr>
          </a:p>
        </c:rich>
      </c:tx>
      <c:layout>
        <c:manualLayout>
          <c:xMode val="edge"/>
          <c:yMode val="edge"/>
          <c:x val="0.21081373329713229"/>
          <c:y val="4.1922776959186191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6.1730868794874737E-2"/>
          <c:y val="0.17089499482350132"/>
          <c:w val="0.91887548693551646"/>
          <c:h val="0.47521317984002631"/>
        </c:manualLayout>
      </c:layout>
      <c:bar3DChart>
        <c:barDir val="col"/>
        <c:grouping val="clustered"/>
        <c:varyColors val="0"/>
        <c:ser>
          <c:idx val="1"/>
          <c:order val="0"/>
          <c:tx>
            <c:strRef>
              <c:f>'V.4.4.NA.Cant. accid x Prov'!$N$3</c:f>
              <c:strCache>
                <c:ptCount val="1"/>
                <c:pt idx="0">
                  <c:v>Total </c:v>
                </c:pt>
              </c:strCache>
            </c:strRef>
          </c:tx>
          <c:spPr>
            <a:solidFill>
              <a:schemeClr val="accent3">
                <a:lumMod val="75000"/>
              </a:schemeClr>
            </a:solidFill>
          </c:spPr>
          <c:invertIfNegative val="0"/>
          <c:dLbls>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'V.4.4.NA.Cant. accid x Prov'!$A$4:$A$35</c:f>
              <c:strCache>
                <c:ptCount val="32"/>
                <c:pt idx="0">
                  <c:v>Distrito Nacional</c:v>
                </c:pt>
                <c:pt idx="1">
                  <c:v>Santiago de los Caballeros</c:v>
                </c:pt>
                <c:pt idx="2">
                  <c:v>Altagracia</c:v>
                </c:pt>
                <c:pt idx="3">
                  <c:v>La Romana</c:v>
                </c:pt>
                <c:pt idx="4">
                  <c:v>Santo Domingo</c:v>
                </c:pt>
                <c:pt idx="5">
                  <c:v>Puerto Plata </c:v>
                </c:pt>
                <c:pt idx="6">
                  <c:v>San Cristóbal</c:v>
                </c:pt>
                <c:pt idx="7">
                  <c:v>San Pedro de Macorís</c:v>
                </c:pt>
                <c:pt idx="8">
                  <c:v>La Vega</c:v>
                </c:pt>
                <c:pt idx="9">
                  <c:v>Valverde</c:v>
                </c:pt>
                <c:pt idx="10">
                  <c:v>Espaillat</c:v>
                </c:pt>
                <c:pt idx="11">
                  <c:v>Duarte</c:v>
                </c:pt>
                <c:pt idx="12">
                  <c:v>Monseñor Nouel</c:v>
                </c:pt>
                <c:pt idx="13">
                  <c:v>Peravia</c:v>
                </c:pt>
                <c:pt idx="14">
                  <c:v>Montecristi</c:v>
                </c:pt>
                <c:pt idx="15">
                  <c:v>Monte Plata</c:v>
                </c:pt>
                <c:pt idx="16">
                  <c:v>María Trinidad Sánchez</c:v>
                </c:pt>
                <c:pt idx="17">
                  <c:v>Sánchez Ramírez</c:v>
                </c:pt>
                <c:pt idx="18">
                  <c:v>San Juan de la  Maguana</c:v>
                </c:pt>
                <c:pt idx="19">
                  <c:v>Hato Mayor</c:v>
                </c:pt>
                <c:pt idx="20">
                  <c:v>Azua</c:v>
                </c:pt>
                <c:pt idx="21">
                  <c:v>Salcedo</c:v>
                </c:pt>
                <c:pt idx="22">
                  <c:v>Samaná</c:v>
                </c:pt>
                <c:pt idx="23">
                  <c:v>Santiago Rodríguez</c:v>
                </c:pt>
                <c:pt idx="24">
                  <c:v>Independencia</c:v>
                </c:pt>
                <c:pt idx="25">
                  <c:v>Barahona</c:v>
                </c:pt>
                <c:pt idx="26">
                  <c:v>Dajabón</c:v>
                </c:pt>
                <c:pt idx="27">
                  <c:v>Elías Piña</c:v>
                </c:pt>
                <c:pt idx="28">
                  <c:v>Bahoruco</c:v>
                </c:pt>
                <c:pt idx="29">
                  <c:v>El Seybo</c:v>
                </c:pt>
                <c:pt idx="30">
                  <c:v>Pedernales</c:v>
                </c:pt>
                <c:pt idx="31">
                  <c:v>San José de Ocoa</c:v>
                </c:pt>
              </c:strCache>
            </c:strRef>
          </c:cat>
          <c:val>
            <c:numRef>
              <c:f>'V.4.4.NA.Cant. accid x Prov'!$N$4:$N$35</c:f>
              <c:numCache>
                <c:formatCode>_(* #,##0_);_(* \(#,##0\);_(* "-"??_);_(@_)</c:formatCode>
                <c:ptCount val="32"/>
                <c:pt idx="0">
                  <c:v>67520</c:v>
                </c:pt>
                <c:pt idx="1">
                  <c:v>40855</c:v>
                </c:pt>
                <c:pt idx="2">
                  <c:v>21012</c:v>
                </c:pt>
                <c:pt idx="3">
                  <c:v>12187</c:v>
                </c:pt>
                <c:pt idx="4">
                  <c:v>9146</c:v>
                </c:pt>
                <c:pt idx="5">
                  <c:v>7682</c:v>
                </c:pt>
                <c:pt idx="6">
                  <c:v>5836</c:v>
                </c:pt>
                <c:pt idx="7">
                  <c:v>5633</c:v>
                </c:pt>
                <c:pt idx="8">
                  <c:v>4433</c:v>
                </c:pt>
                <c:pt idx="9">
                  <c:v>2798</c:v>
                </c:pt>
                <c:pt idx="10">
                  <c:v>2833</c:v>
                </c:pt>
                <c:pt idx="11">
                  <c:v>2722</c:v>
                </c:pt>
                <c:pt idx="12">
                  <c:v>2436</c:v>
                </c:pt>
                <c:pt idx="13">
                  <c:v>1582</c:v>
                </c:pt>
                <c:pt idx="14">
                  <c:v>1125</c:v>
                </c:pt>
                <c:pt idx="15">
                  <c:v>707</c:v>
                </c:pt>
                <c:pt idx="16">
                  <c:v>1394</c:v>
                </c:pt>
                <c:pt idx="17">
                  <c:v>1275</c:v>
                </c:pt>
                <c:pt idx="18">
                  <c:v>1353</c:v>
                </c:pt>
                <c:pt idx="19">
                  <c:v>1147</c:v>
                </c:pt>
                <c:pt idx="20">
                  <c:v>1007</c:v>
                </c:pt>
                <c:pt idx="21">
                  <c:v>796</c:v>
                </c:pt>
                <c:pt idx="22">
                  <c:v>764</c:v>
                </c:pt>
                <c:pt idx="23">
                  <c:v>888</c:v>
                </c:pt>
                <c:pt idx="24">
                  <c:v>410</c:v>
                </c:pt>
                <c:pt idx="25">
                  <c:v>1657</c:v>
                </c:pt>
                <c:pt idx="26">
                  <c:v>705</c:v>
                </c:pt>
                <c:pt idx="27">
                  <c:v>463</c:v>
                </c:pt>
                <c:pt idx="28">
                  <c:v>316</c:v>
                </c:pt>
                <c:pt idx="29">
                  <c:v>272</c:v>
                </c:pt>
                <c:pt idx="30">
                  <c:v>730</c:v>
                </c:pt>
                <c:pt idx="31">
                  <c:v>12</c:v>
                </c:pt>
              </c:numCache>
            </c:numRef>
          </c:val>
        </c:ser>
        <c:dLbls>
          <c:showLegendKey val="0"/>
          <c:showVal val="0"/>
          <c:showCatName val="0"/>
          <c:showSerName val="0"/>
          <c:showPercent val="0"/>
          <c:showBubbleSize val="0"/>
        </c:dLbls>
        <c:gapWidth val="14"/>
        <c:shape val="cylinder"/>
        <c:axId val="371317856"/>
        <c:axId val="371313544"/>
        <c:axId val="0"/>
      </c:bar3DChart>
      <c:catAx>
        <c:axId val="371317856"/>
        <c:scaling>
          <c:orientation val="minMax"/>
        </c:scaling>
        <c:delete val="0"/>
        <c:axPos val="b"/>
        <c:numFmt formatCode="General" sourceLinked="1"/>
        <c:majorTickMark val="none"/>
        <c:minorTickMark val="none"/>
        <c:tickLblPos val="nextTo"/>
        <c:txPr>
          <a:bodyPr/>
          <a:lstStyle/>
          <a:p>
            <a:pPr>
              <a:defRPr sz="1200"/>
            </a:pPr>
            <a:endParaRPr lang="es-ES"/>
          </a:p>
        </c:txPr>
        <c:crossAx val="371313544"/>
        <c:crosses val="autoZero"/>
        <c:auto val="1"/>
        <c:lblAlgn val="ctr"/>
        <c:lblOffset val="100"/>
        <c:noMultiLvlLbl val="0"/>
      </c:catAx>
      <c:valAx>
        <c:axId val="371313544"/>
        <c:scaling>
          <c:orientation val="minMax"/>
        </c:scaling>
        <c:delete val="1"/>
        <c:axPos val="l"/>
        <c:numFmt formatCode="_(* #,##0_);_(* \(#,##0\);_(* &quot;-&quot;??_);_(@_)" sourceLinked="1"/>
        <c:majorTickMark val="out"/>
        <c:minorTickMark val="none"/>
        <c:tickLblPos val="nextTo"/>
        <c:crossAx val="371317856"/>
        <c:crosses val="autoZero"/>
        <c:crossBetween val="between"/>
      </c:valAx>
      <c:spPr>
        <a:noFill/>
        <a:ln w="25400">
          <a:noFill/>
        </a:ln>
      </c:spPr>
    </c:plotArea>
    <c:plotVisOnly val="1"/>
    <c:dispBlanksAs val="gap"/>
    <c:showDLblsOverMax val="0"/>
  </c:chart>
  <c:spPr>
    <a:ln>
      <a:noFill/>
    </a:ln>
  </c:spPr>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sz="1800" b="1">
                <a:effectLst/>
              </a:rPr>
              <a:t>Reporte de Accidentes Laborales y Enfermedades Profesionales por Zona de Procedencia</a:t>
            </a:r>
            <a:endParaRPr lang="es-ES">
              <a:effectLst/>
            </a:endParaRPr>
          </a:p>
        </c:rich>
      </c:tx>
      <c:layout>
        <c:manualLayout>
          <c:xMode val="edge"/>
          <c:yMode val="edge"/>
          <c:x val="0.1378834707699812"/>
          <c:y val="1.9015366678822306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8.2904729611632316E-4"/>
          <c:y val="0.18996085130282708"/>
          <c:w val="0.9859363815899691"/>
          <c:h val="0.63812149422948194"/>
        </c:manualLayout>
      </c:layout>
      <c:bar3DChart>
        <c:barDir val="col"/>
        <c:grouping val="clustered"/>
        <c:varyColors val="0"/>
        <c:ser>
          <c:idx val="0"/>
          <c:order val="0"/>
          <c:tx>
            <c:strRef>
              <c:f>'V.4.5.NA.Cant. accid x Proced.'!$F$3</c:f>
              <c:strCache>
                <c:ptCount val="1"/>
                <c:pt idx="0">
                  <c:v>% Rural</c:v>
                </c:pt>
              </c:strCache>
            </c:strRef>
          </c:tx>
          <c:spPr>
            <a:solidFill>
              <a:srgbClr val="0070C0"/>
            </a:solidFill>
          </c:spPr>
          <c:invertIfNegative val="0"/>
          <c:dLbls>
            <c:dLbl>
              <c:idx val="0"/>
              <c:layout>
                <c:manualLayout>
                  <c:x val="4.8364388729345642E-3"/>
                  <c:y val="-6.1603375800318395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7.5642123633981317E-3"/>
                  <c:y val="-2.054486270046204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6.6549022639678093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6.0455485911682059E-3"/>
                  <c:y val="-2.0534458600106132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2.4182194364672821E-3"/>
                  <c:y val="-6.1603375800318395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0"/>
                  <c:y val="-4.1091343106648545E-3"/>
                </c:manualLayout>
              </c:layout>
              <c:spPr/>
              <c:txPr>
                <a:bodyPr rot="-5400000" vert="horz"/>
                <a:lstStyle/>
                <a:p>
                  <a:pPr>
                    <a:defRPr sz="1200" b="0">
                      <a:solidFill>
                        <a:sysClr val="windowText" lastClr="000000"/>
                      </a:solidFill>
                    </a:defRPr>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'V.4.5.NA.Cant. accid x Proced.'!$A$4:$A$14</c:f>
              <c:strCache>
                <c:ptCount val="11"/>
                <c:pt idx="0">
                  <c:v>2005</c:v>
                </c:pt>
                <c:pt idx="1">
                  <c:v>2006</c:v>
                </c:pt>
                <c:pt idx="2">
                  <c:v>2007</c:v>
                </c:pt>
                <c:pt idx="3">
                  <c:v>2008</c:v>
                </c:pt>
                <c:pt idx="4">
                  <c:v>2009</c:v>
                </c:pt>
                <c:pt idx="5">
                  <c:v>2010</c:v>
                </c:pt>
                <c:pt idx="6">
                  <c:v>2011</c:v>
                </c:pt>
                <c:pt idx="7">
                  <c:v>2012</c:v>
                </c:pt>
                <c:pt idx="8">
                  <c:v>2013</c:v>
                </c:pt>
                <c:pt idx="9">
                  <c:v>2014</c:v>
                </c:pt>
                <c:pt idx="10">
                  <c:v>Ene- Nov. 2015</c:v>
                </c:pt>
              </c:strCache>
            </c:strRef>
          </c:cat>
          <c:val>
            <c:numRef>
              <c:f>'V.4.5.NA.Cant. accid x Proced.'!$F$4:$F$14</c:f>
              <c:numCache>
                <c:formatCode>0.0%</c:formatCode>
                <c:ptCount val="11"/>
                <c:pt idx="0">
                  <c:v>5.7625301527740549E-2</c:v>
                </c:pt>
                <c:pt idx="1">
                  <c:v>9.5754290876242099E-2</c:v>
                </c:pt>
                <c:pt idx="2">
                  <c:v>0.11388108614232209</c:v>
                </c:pt>
                <c:pt idx="3">
                  <c:v>0.11961373781543226</c:v>
                </c:pt>
                <c:pt idx="4">
                  <c:v>0.1330109650616359</c:v>
                </c:pt>
                <c:pt idx="5">
                  <c:v>0.1443056828597617</c:v>
                </c:pt>
                <c:pt idx="6">
                  <c:v>0.14121343541178033</c:v>
                </c:pt>
                <c:pt idx="7">
                  <c:v>0.13661570743405277</c:v>
                </c:pt>
                <c:pt idx="8">
                  <c:v>0.16081718177056051</c:v>
                </c:pt>
                <c:pt idx="9">
                  <c:v>0.15438901778808972</c:v>
                </c:pt>
                <c:pt idx="10">
                  <c:v>0.13495505688603934</c:v>
                </c:pt>
              </c:numCache>
            </c:numRef>
          </c:val>
        </c:ser>
        <c:ser>
          <c:idx val="1"/>
          <c:order val="1"/>
          <c:tx>
            <c:strRef>
              <c:f>'V.4.5.NA.Cant. accid x Proced.'!$G$3</c:f>
              <c:strCache>
                <c:ptCount val="1"/>
                <c:pt idx="0">
                  <c:v>% Urbano</c:v>
                </c:pt>
              </c:strCache>
            </c:strRef>
          </c:tx>
          <c:spPr>
            <a:solidFill>
              <a:schemeClr val="accent3">
                <a:lumMod val="75000"/>
              </a:schemeClr>
            </a:solidFill>
          </c:spPr>
          <c:invertIfNegative val="0"/>
          <c:dLbls>
            <c:dLbl>
              <c:idx val="0"/>
              <c:layout>
                <c:manualLayout>
                  <c:x val="4.8364388729345538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8.4637680276354876E-3"/>
                  <c:y val="-4.1068917200212645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4.8364388729345642E-3"/>
                  <c:y val="-6.160337580031877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7.2546583094018468E-3"/>
                  <c:y val="-4.106891720021226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4.8364388729345642E-3"/>
                  <c:y val="-6.1603375800318395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4.8364388729345642E-3"/>
                  <c:y val="-4.106891720021226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6.0455485911682059E-3"/>
                  <c:y val="-8.213783440042452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4.8364388729345642E-3"/>
                  <c:y val="-1.026722930005306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6.5769468690580922E-3"/>
                  <c:y val="-1.6435890160369639E-2"/>
                </c:manualLayout>
              </c:layout>
              <c:spPr/>
              <c:txPr>
                <a:bodyPr rot="-5400000" vert="horz"/>
                <a:lstStyle/>
                <a:p>
                  <a:pPr>
                    <a:defRPr sz="1400" b="0">
                      <a:solidFill>
                        <a:sysClr val="windowText" lastClr="000000"/>
                      </a:solidFill>
                    </a:defRPr>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'V.4.5.NA.Cant. accid x Proced.'!$A$4:$A$14</c:f>
              <c:strCache>
                <c:ptCount val="11"/>
                <c:pt idx="0">
                  <c:v>2005</c:v>
                </c:pt>
                <c:pt idx="1">
                  <c:v>2006</c:v>
                </c:pt>
                <c:pt idx="2">
                  <c:v>2007</c:v>
                </c:pt>
                <c:pt idx="3">
                  <c:v>2008</c:v>
                </c:pt>
                <c:pt idx="4">
                  <c:v>2009</c:v>
                </c:pt>
                <c:pt idx="5">
                  <c:v>2010</c:v>
                </c:pt>
                <c:pt idx="6">
                  <c:v>2011</c:v>
                </c:pt>
                <c:pt idx="7">
                  <c:v>2012</c:v>
                </c:pt>
                <c:pt idx="8">
                  <c:v>2013</c:v>
                </c:pt>
                <c:pt idx="9">
                  <c:v>2014</c:v>
                </c:pt>
                <c:pt idx="10">
                  <c:v>Ene- Nov. 2015</c:v>
                </c:pt>
              </c:strCache>
            </c:strRef>
          </c:cat>
          <c:val>
            <c:numRef>
              <c:f>'V.4.5.NA.Cant. accid x Proced.'!$G$4:$G$14</c:f>
              <c:numCache>
                <c:formatCode>0.0%</c:formatCode>
                <c:ptCount val="11"/>
                <c:pt idx="0">
                  <c:v>0.84025730367193785</c:v>
                </c:pt>
                <c:pt idx="1">
                  <c:v>0.8155374887082204</c:v>
                </c:pt>
                <c:pt idx="2">
                  <c:v>0.86107209737827717</c:v>
                </c:pt>
                <c:pt idx="3">
                  <c:v>0.85697367222374055</c:v>
                </c:pt>
                <c:pt idx="4">
                  <c:v>0.85289109854934275</c:v>
                </c:pt>
                <c:pt idx="5">
                  <c:v>0.8302589367552704</c:v>
                </c:pt>
                <c:pt idx="6">
                  <c:v>0.82471124485551184</c:v>
                </c:pt>
                <c:pt idx="7">
                  <c:v>0.86338429256594729</c:v>
                </c:pt>
                <c:pt idx="8">
                  <c:v>0.83907805133577784</c:v>
                </c:pt>
                <c:pt idx="9">
                  <c:v>0.84557875741170407</c:v>
                </c:pt>
                <c:pt idx="10">
                  <c:v>0.86491922810987487</c:v>
                </c:pt>
              </c:numCache>
            </c:numRef>
          </c:val>
        </c:ser>
        <c:ser>
          <c:idx val="2"/>
          <c:order val="2"/>
          <c:tx>
            <c:strRef>
              <c:f>'V.4.5.NA.Cant. accid x Proced.'!$H$3</c:f>
              <c:strCache>
                <c:ptCount val="1"/>
                <c:pt idx="0">
                  <c:v>% No Especificado</c:v>
                </c:pt>
              </c:strCache>
            </c:strRef>
          </c:tx>
          <c:spPr>
            <a:solidFill>
              <a:schemeClr val="accent6">
                <a:lumMod val="75000"/>
              </a:schemeClr>
            </a:solidFill>
          </c:spPr>
          <c:invertIfNegative val="0"/>
          <c:dLbls>
            <c:dLbl>
              <c:idx val="0"/>
              <c:layout>
                <c:manualLayout>
                  <c:x val="1.6362787841762802E-2"/>
                  <c:y val="-1.438140389032358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9.6728777458691285E-3"/>
                  <c:y val="-2.0534455279917771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2091097182336455E-2"/>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3300206900570053E-2"/>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1.4509316618803694E-2"/>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1.4509316618803782E-2"/>
                  <c:y val="-6.1603365839753314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5718426337037336E-2"/>
                  <c:y val="-2.0534455279917771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6927536055270975E-2"/>
                  <c:y val="-6.1603365839753314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1.4294674666834917E-2"/>
                  <c:y val="-8.2179450801848197E-3"/>
                </c:manualLayout>
              </c:layout>
              <c:spPr/>
              <c:txPr>
                <a:bodyPr rot="-5400000" vert="horz"/>
                <a:lstStyle/>
                <a:p>
                  <a:pPr>
                    <a:defRPr sz="1400" b="0">
                      <a:solidFill>
                        <a:sysClr val="windowText" lastClr="000000"/>
                      </a:solidFill>
                    </a:defRPr>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'V.4.5.NA.Cant. accid x Proced.'!$A$4:$A$14</c:f>
              <c:strCache>
                <c:ptCount val="11"/>
                <c:pt idx="0">
                  <c:v>2005</c:v>
                </c:pt>
                <c:pt idx="1">
                  <c:v>2006</c:v>
                </c:pt>
                <c:pt idx="2">
                  <c:v>2007</c:v>
                </c:pt>
                <c:pt idx="3">
                  <c:v>2008</c:v>
                </c:pt>
                <c:pt idx="4">
                  <c:v>2009</c:v>
                </c:pt>
                <c:pt idx="5">
                  <c:v>2010</c:v>
                </c:pt>
                <c:pt idx="6">
                  <c:v>2011</c:v>
                </c:pt>
                <c:pt idx="7">
                  <c:v>2012</c:v>
                </c:pt>
                <c:pt idx="8">
                  <c:v>2013</c:v>
                </c:pt>
                <c:pt idx="9">
                  <c:v>2014</c:v>
                </c:pt>
                <c:pt idx="10">
                  <c:v>Ene- Nov. 2015</c:v>
                </c:pt>
              </c:strCache>
            </c:strRef>
          </c:cat>
          <c:val>
            <c:numRef>
              <c:f>'V.4.5.NA.Cant. accid x Proced.'!$H$4:$H$14</c:f>
              <c:numCache>
                <c:formatCode>0.0%</c:formatCode>
                <c:ptCount val="11"/>
                <c:pt idx="0">
                  <c:v>0.10211739480032163</c:v>
                </c:pt>
                <c:pt idx="1">
                  <c:v>8.8708220415537484E-2</c:v>
                </c:pt>
                <c:pt idx="2">
                  <c:v>2.5046816479400748E-2</c:v>
                </c:pt>
                <c:pt idx="3">
                  <c:v>2.3412589960827183E-2</c:v>
                </c:pt>
                <c:pt idx="4">
                  <c:v>1.4097936389021317E-2</c:v>
                </c:pt>
                <c:pt idx="5">
                  <c:v>2.5435380384967919E-2</c:v>
                </c:pt>
                <c:pt idx="6">
                  <c:v>3.407531973270788E-2</c:v>
                </c:pt>
                <c:pt idx="7">
                  <c:v>0</c:v>
                </c:pt>
                <c:pt idx="8">
                  <c:v>1.0476689366160294E-4</c:v>
                </c:pt>
                <c:pt idx="9">
                  <c:v>3.2224800206238723E-5</c:v>
                </c:pt>
                <c:pt idx="10">
                  <c:v>1.2571500408573762E-4</c:v>
                </c:pt>
              </c:numCache>
            </c:numRef>
          </c:val>
        </c:ser>
        <c:dLbls>
          <c:showLegendKey val="0"/>
          <c:showVal val="0"/>
          <c:showCatName val="0"/>
          <c:showSerName val="0"/>
          <c:showPercent val="0"/>
          <c:showBubbleSize val="0"/>
        </c:dLbls>
        <c:gapWidth val="75"/>
        <c:shape val="cylinder"/>
        <c:axId val="371313936"/>
        <c:axId val="369928304"/>
        <c:axId val="0"/>
      </c:bar3DChart>
      <c:catAx>
        <c:axId val="371313936"/>
        <c:scaling>
          <c:orientation val="minMax"/>
        </c:scaling>
        <c:delete val="0"/>
        <c:axPos val="b"/>
        <c:numFmt formatCode="General" sourceLinked="1"/>
        <c:majorTickMark val="none"/>
        <c:minorTickMark val="none"/>
        <c:tickLblPos val="nextTo"/>
        <c:txPr>
          <a:bodyPr/>
          <a:lstStyle/>
          <a:p>
            <a:pPr>
              <a:defRPr sz="1200"/>
            </a:pPr>
            <a:endParaRPr lang="es-ES"/>
          </a:p>
        </c:txPr>
        <c:crossAx val="369928304"/>
        <c:crosses val="autoZero"/>
        <c:auto val="1"/>
        <c:lblAlgn val="ctr"/>
        <c:lblOffset val="100"/>
        <c:noMultiLvlLbl val="0"/>
      </c:catAx>
      <c:valAx>
        <c:axId val="369928304"/>
        <c:scaling>
          <c:orientation val="minMax"/>
        </c:scaling>
        <c:delete val="1"/>
        <c:axPos val="l"/>
        <c:numFmt formatCode="0.0%" sourceLinked="1"/>
        <c:majorTickMark val="out"/>
        <c:minorTickMark val="none"/>
        <c:tickLblPos val="nextTo"/>
        <c:crossAx val="371313936"/>
        <c:crosses val="autoZero"/>
        <c:crossBetween val="between"/>
      </c:valAx>
      <c:spPr>
        <a:noFill/>
        <a:ln w="25400">
          <a:noFill/>
        </a:ln>
      </c:spPr>
    </c:plotArea>
    <c:legend>
      <c:legendPos val="t"/>
      <c:layout>
        <c:manualLayout>
          <c:xMode val="edge"/>
          <c:yMode val="edge"/>
          <c:x val="0.18203055552846334"/>
          <c:y val="7.5975387578025994E-2"/>
          <c:w val="0.57855718530150779"/>
          <c:h val="4.212424821170721E-2"/>
        </c:manualLayout>
      </c:layout>
      <c:overlay val="0"/>
      <c:txPr>
        <a:bodyPr/>
        <a:lstStyle/>
        <a:p>
          <a:pPr>
            <a:defRPr sz="12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s-DO" sz="1400"/>
              <a:t>Seguro de Riesgos Laborales</a:t>
            </a:r>
          </a:p>
          <a:p>
            <a:pPr>
              <a:defRPr sz="1400"/>
            </a:pPr>
            <a:r>
              <a:rPr lang="es-DO" sz="1400"/>
              <a:t>Reporte de Accidentes Laborales y Enfermedades Profesionales por Sector</a:t>
            </a:r>
          </a:p>
        </c:rich>
      </c:tx>
      <c:layout>
        <c:manualLayout>
          <c:xMode val="edge"/>
          <c:yMode val="edge"/>
          <c:x val="0.23662658215949112"/>
          <c:y val="3.2360580764326428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9.3174225643980983E-3"/>
          <c:y val="0.23418397071991914"/>
          <c:w val="0.94766140242571251"/>
          <c:h val="0.62660879143330783"/>
        </c:manualLayout>
      </c:layout>
      <c:bar3DChart>
        <c:barDir val="col"/>
        <c:grouping val="clustered"/>
        <c:varyColors val="0"/>
        <c:ser>
          <c:idx val="0"/>
          <c:order val="0"/>
          <c:tx>
            <c:strRef>
              <c:f>'V.4.6. NA.Cant. accid x sector'!$B$3</c:f>
              <c:strCache>
                <c:ptCount val="1"/>
                <c:pt idx="0">
                  <c:v>Sector Público</c:v>
                </c:pt>
              </c:strCache>
            </c:strRef>
          </c:tx>
          <c:spPr>
            <a:solidFill>
              <a:srgbClr val="0070C0"/>
            </a:solidFill>
          </c:spPr>
          <c:invertIfNegative val="0"/>
          <c:dLbls>
            <c:dLbl>
              <c:idx val="8"/>
              <c:layout>
                <c:manualLayout>
                  <c:x val="2.4363788580633846E-3"/>
                  <c:y val="-6.563418297156438E-3"/>
                </c:manualLayout>
              </c:layout>
              <c:spPr/>
              <c:txPr>
                <a:bodyPr/>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'V.4.6. NA.Cant. accid x sector'!$A$4:$A$14</c:f>
              <c:strCache>
                <c:ptCount val="11"/>
                <c:pt idx="0">
                  <c:v>2005</c:v>
                </c:pt>
                <c:pt idx="1">
                  <c:v>2006</c:v>
                </c:pt>
                <c:pt idx="2">
                  <c:v>2007</c:v>
                </c:pt>
                <c:pt idx="3">
                  <c:v>2008</c:v>
                </c:pt>
                <c:pt idx="4">
                  <c:v>2009</c:v>
                </c:pt>
                <c:pt idx="5">
                  <c:v>2010</c:v>
                </c:pt>
                <c:pt idx="6">
                  <c:v>2011</c:v>
                </c:pt>
                <c:pt idx="7">
                  <c:v>2012</c:v>
                </c:pt>
                <c:pt idx="8">
                  <c:v>2013</c:v>
                </c:pt>
                <c:pt idx="9">
                  <c:v>2014</c:v>
                </c:pt>
                <c:pt idx="10">
                  <c:v>Ene-Nov.2015</c:v>
                </c:pt>
              </c:strCache>
            </c:strRef>
          </c:cat>
          <c:val>
            <c:numRef>
              <c:f>'V.4.6. NA.Cant. accid x sector'!$B$4:$B$14</c:f>
              <c:numCache>
                <c:formatCode>_(* #,##0_);_(* \(#,##0\);_(* "-"??_);_(@_)</c:formatCode>
                <c:ptCount val="11"/>
                <c:pt idx="0">
                  <c:v>90</c:v>
                </c:pt>
                <c:pt idx="1">
                  <c:v>253</c:v>
                </c:pt>
                <c:pt idx="2">
                  <c:v>445</c:v>
                </c:pt>
                <c:pt idx="3">
                  <c:v>660</c:v>
                </c:pt>
                <c:pt idx="4">
                  <c:v>986</c:v>
                </c:pt>
                <c:pt idx="5">
                  <c:v>1477</c:v>
                </c:pt>
                <c:pt idx="6">
                  <c:v>2094</c:v>
                </c:pt>
                <c:pt idx="7">
                  <c:v>3858</c:v>
                </c:pt>
                <c:pt idx="8">
                  <c:v>4451</c:v>
                </c:pt>
                <c:pt idx="9">
                  <c:v>5112</c:v>
                </c:pt>
                <c:pt idx="10">
                  <c:v>4994</c:v>
                </c:pt>
              </c:numCache>
            </c:numRef>
          </c:val>
        </c:ser>
        <c:ser>
          <c:idx val="1"/>
          <c:order val="1"/>
          <c:tx>
            <c:strRef>
              <c:f>'V.4.6. NA.Cant. accid x sector'!$C$3</c:f>
              <c:strCache>
                <c:ptCount val="1"/>
                <c:pt idx="0">
                  <c:v>Sector Privado</c:v>
                </c:pt>
              </c:strCache>
            </c:strRef>
          </c:tx>
          <c:spPr>
            <a:solidFill>
              <a:schemeClr val="accent3">
                <a:lumMod val="75000"/>
              </a:schemeClr>
            </a:solidFill>
          </c:spPr>
          <c:invertIfNegative val="0"/>
          <c:dLbls>
            <c:dLbl>
              <c:idx val="0"/>
              <c:layout>
                <c:manualLayout>
                  <c:x val="4.9035042487706008E-3"/>
                  <c:y val="-1.086770494608933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2258760621926502E-3"/>
                  <c:y val="-8.6941639568714705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7.3552563731558562E-3"/>
                  <c:y val="-1.304124593530720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8.5811324353485506E-3"/>
                  <c:y val="-1.521478692452515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7.3552563731559013E-3"/>
                  <c:y val="-1.956186890296088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6.1293803109632511E-3"/>
                  <c:y val="-1.304124593530720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6.1293803109631608E-3"/>
                  <c:y val="-8.6941639568714705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6.1293803109631608E-3"/>
                  <c:y val="-1.304124593530724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8.9709174511363125E-3"/>
                  <c:y val="-1.0867704946089258E-2"/>
                </c:manualLayout>
              </c:layout>
              <c:spPr/>
              <c:txPr>
                <a:bodyPr/>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'V.4.6. NA.Cant. accid x sector'!$A$4:$A$14</c:f>
              <c:strCache>
                <c:ptCount val="11"/>
                <c:pt idx="0">
                  <c:v>2005</c:v>
                </c:pt>
                <c:pt idx="1">
                  <c:v>2006</c:v>
                </c:pt>
                <c:pt idx="2">
                  <c:v>2007</c:v>
                </c:pt>
                <c:pt idx="3">
                  <c:v>2008</c:v>
                </c:pt>
                <c:pt idx="4">
                  <c:v>2009</c:v>
                </c:pt>
                <c:pt idx="5">
                  <c:v>2010</c:v>
                </c:pt>
                <c:pt idx="6">
                  <c:v>2011</c:v>
                </c:pt>
                <c:pt idx="7">
                  <c:v>2012</c:v>
                </c:pt>
                <c:pt idx="8">
                  <c:v>2013</c:v>
                </c:pt>
                <c:pt idx="9">
                  <c:v>2014</c:v>
                </c:pt>
                <c:pt idx="10">
                  <c:v>Ene-Nov.2015</c:v>
                </c:pt>
              </c:strCache>
            </c:strRef>
          </c:cat>
          <c:val>
            <c:numRef>
              <c:f>'V.4.6. NA.Cant. accid x sector'!$C$4:$C$14</c:f>
              <c:numCache>
                <c:formatCode>_(* #,##0_);_(* \(#,##0\);_(* "-"??_);_(@_)</c:formatCode>
                <c:ptCount val="11"/>
                <c:pt idx="0">
                  <c:v>3641</c:v>
                </c:pt>
                <c:pt idx="1">
                  <c:v>5282</c:v>
                </c:pt>
                <c:pt idx="2">
                  <c:v>8099</c:v>
                </c:pt>
                <c:pt idx="3">
                  <c:v>10317</c:v>
                </c:pt>
                <c:pt idx="4">
                  <c:v>13697</c:v>
                </c:pt>
                <c:pt idx="5">
                  <c:v>15979</c:v>
                </c:pt>
                <c:pt idx="6">
                  <c:v>20503</c:v>
                </c:pt>
                <c:pt idx="7">
                  <c:v>22830</c:v>
                </c:pt>
                <c:pt idx="8">
                  <c:v>24184</c:v>
                </c:pt>
                <c:pt idx="9">
                  <c:v>25920</c:v>
                </c:pt>
                <c:pt idx="10">
                  <c:v>26824</c:v>
                </c:pt>
              </c:numCache>
            </c:numRef>
          </c:val>
        </c:ser>
        <c:dLbls>
          <c:showLegendKey val="0"/>
          <c:showVal val="0"/>
          <c:showCatName val="0"/>
          <c:showSerName val="0"/>
          <c:showPercent val="0"/>
          <c:showBubbleSize val="0"/>
        </c:dLbls>
        <c:gapWidth val="37"/>
        <c:shape val="cylinder"/>
        <c:axId val="369932616"/>
        <c:axId val="369935752"/>
        <c:axId val="0"/>
      </c:bar3DChart>
      <c:catAx>
        <c:axId val="369932616"/>
        <c:scaling>
          <c:orientation val="minMax"/>
        </c:scaling>
        <c:delete val="0"/>
        <c:axPos val="b"/>
        <c:numFmt formatCode="General" sourceLinked="1"/>
        <c:majorTickMark val="none"/>
        <c:minorTickMark val="none"/>
        <c:tickLblPos val="nextTo"/>
        <c:txPr>
          <a:bodyPr/>
          <a:lstStyle/>
          <a:p>
            <a:pPr>
              <a:defRPr sz="1100"/>
            </a:pPr>
            <a:endParaRPr lang="es-ES"/>
          </a:p>
        </c:txPr>
        <c:crossAx val="369935752"/>
        <c:crosses val="autoZero"/>
        <c:auto val="1"/>
        <c:lblAlgn val="ctr"/>
        <c:lblOffset val="100"/>
        <c:noMultiLvlLbl val="0"/>
      </c:catAx>
      <c:valAx>
        <c:axId val="369935752"/>
        <c:scaling>
          <c:orientation val="minMax"/>
        </c:scaling>
        <c:delete val="1"/>
        <c:axPos val="l"/>
        <c:numFmt formatCode="_(* #,##0_);_(* \(#,##0\);_(* &quot;-&quot;??_);_(@_)" sourceLinked="1"/>
        <c:majorTickMark val="out"/>
        <c:minorTickMark val="none"/>
        <c:tickLblPos val="nextTo"/>
        <c:crossAx val="369932616"/>
        <c:crosses val="autoZero"/>
        <c:crossBetween val="between"/>
      </c:valAx>
      <c:spPr>
        <a:noFill/>
        <a:ln w="25400">
          <a:noFill/>
        </a:ln>
      </c:spPr>
    </c:plotArea>
    <c:legend>
      <c:legendPos val="t"/>
      <c:layout>
        <c:manualLayout>
          <c:xMode val="edge"/>
          <c:yMode val="edge"/>
          <c:x val="0.28261275350330178"/>
          <c:y val="0.12823076082938178"/>
          <c:w val="0.4228567777143068"/>
          <c:h val="4.4565284175032659E-2"/>
        </c:manualLayout>
      </c:layout>
      <c:overlay val="0"/>
      <c:txPr>
        <a:bodyPr/>
        <a:lstStyle/>
        <a:p>
          <a:pPr>
            <a:defRPr sz="12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sz="1800" b="1">
                <a:effectLst/>
              </a:rPr>
              <a:t>Reporte de Accidentes Laborales y Enfermedades Profesionales por Sexo</a:t>
            </a:r>
            <a:endParaRPr lang="es-ES">
              <a:effectLst/>
            </a:endParaRPr>
          </a:p>
        </c:rich>
      </c:tx>
      <c:layout>
        <c:manualLayout>
          <c:xMode val="edge"/>
          <c:yMode val="edge"/>
          <c:x val="0.16980964384978348"/>
          <c:y val="3.2462991641783852E-2"/>
        </c:manualLayout>
      </c:layout>
      <c:overlay val="0"/>
    </c:title>
    <c:autoTitleDeleted val="0"/>
    <c:view3D>
      <c:rotX val="0"/>
      <c:rotY val="0"/>
      <c:rAngAx val="0"/>
      <c:perspective val="20"/>
    </c:view3D>
    <c:floor>
      <c:thickness val="0"/>
    </c:floor>
    <c:sideWall>
      <c:thickness val="0"/>
    </c:sideWall>
    <c:backWall>
      <c:thickness val="0"/>
    </c:backWall>
    <c:plotArea>
      <c:layout>
        <c:manualLayout>
          <c:layoutTarget val="inner"/>
          <c:xMode val="edge"/>
          <c:yMode val="edge"/>
          <c:x val="1.1966854515516789E-3"/>
          <c:y val="0.26734866421326459"/>
          <c:w val="0.98566496678620807"/>
          <c:h val="0.50326966959685648"/>
        </c:manualLayout>
      </c:layout>
      <c:bar3DChart>
        <c:barDir val="col"/>
        <c:grouping val="clustered"/>
        <c:varyColors val="0"/>
        <c:ser>
          <c:idx val="0"/>
          <c:order val="0"/>
          <c:tx>
            <c:strRef>
              <c:f>'V.4.7. Accid x sexo'!$E$3</c:f>
              <c:strCache>
                <c:ptCount val="1"/>
                <c:pt idx="0">
                  <c:v>% Femenino</c:v>
                </c:pt>
              </c:strCache>
            </c:strRef>
          </c:tx>
          <c:spPr>
            <a:solidFill>
              <a:srgbClr val="00B050"/>
            </a:solidFill>
          </c:spPr>
          <c:invertIfNegative val="0"/>
          <c:dLbls>
            <c:dLbl>
              <c:idx val="4"/>
              <c:layout>
                <c:manualLayout>
                  <c:x val="-3.5628440809657722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4.7504587746210296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3.5628440809658589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4.7504587746210296E-3"/>
                  <c:y val="8.1359803117672484E-17"/>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1.0688532242897316E-2"/>
                  <c:y val="-1.7471884679970108E-7"/>
                </c:manualLayout>
              </c:layout>
              <c:spPr/>
              <c:txPr>
                <a:bodyPr/>
                <a:lstStyle/>
                <a:p>
                  <a:pPr>
                    <a:defRPr sz="1600" b="0">
                      <a:solidFill>
                        <a:sysClr val="windowText" lastClr="000000"/>
                      </a:solidFill>
                    </a:defRPr>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1.1794406590900055E-2"/>
                  <c:y val="9.2749578875758031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4.717762636360057E-3"/>
                  <c:y val="4.6375702345405499E-3"/>
                </c:manualLayout>
              </c:layout>
              <c:spPr/>
              <c:txPr>
                <a:bodyPr/>
                <a:lstStyle/>
                <a:p>
                  <a:pPr>
                    <a:defRPr sz="1600" b="1"/>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'V.4.7. Accid x sexo'!$A$4:$A$14</c:f>
              <c:strCache>
                <c:ptCount val="11"/>
                <c:pt idx="0">
                  <c:v>2005</c:v>
                </c:pt>
                <c:pt idx="1">
                  <c:v>2006</c:v>
                </c:pt>
                <c:pt idx="2">
                  <c:v>2007</c:v>
                </c:pt>
                <c:pt idx="3">
                  <c:v>2008</c:v>
                </c:pt>
                <c:pt idx="4">
                  <c:v>2009</c:v>
                </c:pt>
                <c:pt idx="5">
                  <c:v>2010</c:v>
                </c:pt>
                <c:pt idx="6">
                  <c:v>2011</c:v>
                </c:pt>
                <c:pt idx="7">
                  <c:v>2012</c:v>
                </c:pt>
                <c:pt idx="8">
                  <c:v>2013</c:v>
                </c:pt>
                <c:pt idx="9">
                  <c:v>2014</c:v>
                </c:pt>
                <c:pt idx="10">
                  <c:v>Ene-Nov.2015</c:v>
                </c:pt>
              </c:strCache>
            </c:strRef>
          </c:cat>
          <c:val>
            <c:numRef>
              <c:f>'V.4.7. Accid x sexo'!$E$4:$E$14</c:f>
              <c:numCache>
                <c:formatCode>0.0%</c:formatCode>
                <c:ptCount val="11"/>
                <c:pt idx="0">
                  <c:v>0.12972393460198339</c:v>
                </c:pt>
                <c:pt idx="1">
                  <c:v>0.17344173441734417</c:v>
                </c:pt>
                <c:pt idx="2">
                  <c:v>0.17181647940074907</c:v>
                </c:pt>
                <c:pt idx="3">
                  <c:v>0.18948710941058577</c:v>
                </c:pt>
                <c:pt idx="4">
                  <c:v>0.20949397262139891</c:v>
                </c:pt>
                <c:pt idx="5">
                  <c:v>0.22571035747021082</c:v>
                </c:pt>
                <c:pt idx="6">
                  <c:v>0.24994468292251185</c:v>
                </c:pt>
                <c:pt idx="7">
                  <c:v>0.26315197841726617</c:v>
                </c:pt>
                <c:pt idx="8">
                  <c:v>0.27365112624410687</c:v>
                </c:pt>
                <c:pt idx="9">
                  <c:v>0.28570507862851252</c:v>
                </c:pt>
                <c:pt idx="10">
                  <c:v>0.29153309447482556</c:v>
                </c:pt>
              </c:numCache>
            </c:numRef>
          </c:val>
        </c:ser>
        <c:ser>
          <c:idx val="1"/>
          <c:order val="1"/>
          <c:tx>
            <c:strRef>
              <c:f>'V.4.7. Accid x sexo'!$F$3</c:f>
              <c:strCache>
                <c:ptCount val="1"/>
                <c:pt idx="0">
                  <c:v>% Masculino</c:v>
                </c:pt>
              </c:strCache>
            </c:strRef>
          </c:tx>
          <c:spPr>
            <a:solidFill>
              <a:srgbClr val="0070C0"/>
            </a:solidFill>
          </c:spPr>
          <c:invertIfNegative val="0"/>
          <c:dLbls>
            <c:dLbl>
              <c:idx val="8"/>
              <c:spPr/>
              <c:txPr>
                <a:bodyPr/>
                <a:lstStyle/>
                <a:p>
                  <a:pPr>
                    <a:defRPr sz="1600" b="0">
                      <a:solidFill>
                        <a:sysClr val="windowText" lastClr="000000"/>
                      </a:solidFill>
                    </a:defRPr>
                  </a:pPr>
                  <a:endParaRPr lang="es-ES"/>
                </a:p>
              </c:txPr>
              <c:showLegendKey val="0"/>
              <c:showVal val="1"/>
              <c:showCatName val="0"/>
              <c:showSerName val="0"/>
              <c:showPercent val="0"/>
              <c:showBubbleSize val="0"/>
            </c:dLbl>
            <c:dLbl>
              <c:idx val="9"/>
              <c:layout>
                <c:manualLayout>
                  <c:x val="1.2973847249990155E-2"/>
                  <c:y val="-9.2751404690810998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spPr/>
              <c:txPr>
                <a:bodyPr/>
                <a:lstStyle/>
                <a:p>
                  <a:pPr>
                    <a:defRPr sz="1600" b="1"/>
                  </a:pPr>
                  <a:endParaRPr lang="es-ES"/>
                </a:p>
              </c:txPr>
              <c:showLegendKey val="0"/>
              <c:showVal val="1"/>
              <c:showCatName val="0"/>
              <c:showSerName val="0"/>
              <c:showPercent val="0"/>
              <c:showBubbleSize val="0"/>
            </c:dLbl>
            <c:spPr>
              <a:noFill/>
              <a:ln>
                <a:noFill/>
              </a:ln>
              <a:effectLst/>
            </c:spPr>
            <c:txPr>
              <a:bodyPr/>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'V.4.7. Accid x sexo'!$A$4:$A$14</c:f>
              <c:strCache>
                <c:ptCount val="11"/>
                <c:pt idx="0">
                  <c:v>2005</c:v>
                </c:pt>
                <c:pt idx="1">
                  <c:v>2006</c:v>
                </c:pt>
                <c:pt idx="2">
                  <c:v>2007</c:v>
                </c:pt>
                <c:pt idx="3">
                  <c:v>2008</c:v>
                </c:pt>
                <c:pt idx="4">
                  <c:v>2009</c:v>
                </c:pt>
                <c:pt idx="5">
                  <c:v>2010</c:v>
                </c:pt>
                <c:pt idx="6">
                  <c:v>2011</c:v>
                </c:pt>
                <c:pt idx="7">
                  <c:v>2012</c:v>
                </c:pt>
                <c:pt idx="8">
                  <c:v>2013</c:v>
                </c:pt>
                <c:pt idx="9">
                  <c:v>2014</c:v>
                </c:pt>
                <c:pt idx="10">
                  <c:v>Ene-Nov.2015</c:v>
                </c:pt>
              </c:strCache>
            </c:strRef>
          </c:cat>
          <c:val>
            <c:numRef>
              <c:f>'V.4.7. Accid x sexo'!$F$4:$F$14</c:f>
              <c:numCache>
                <c:formatCode>0.0%</c:formatCode>
                <c:ptCount val="11"/>
                <c:pt idx="0">
                  <c:v>0.87027606539801661</c:v>
                </c:pt>
                <c:pt idx="1">
                  <c:v>0.82655826558265577</c:v>
                </c:pt>
                <c:pt idx="2">
                  <c:v>0.82818352059925093</c:v>
                </c:pt>
                <c:pt idx="3">
                  <c:v>0.81051289058941423</c:v>
                </c:pt>
                <c:pt idx="4">
                  <c:v>0.79050602737860109</c:v>
                </c:pt>
                <c:pt idx="5">
                  <c:v>0.77428964252978916</c:v>
                </c:pt>
                <c:pt idx="6">
                  <c:v>0.75005531707748818</c:v>
                </c:pt>
                <c:pt idx="7">
                  <c:v>0.73684802158273377</c:v>
                </c:pt>
                <c:pt idx="8">
                  <c:v>0.72634887375589319</c:v>
                </c:pt>
                <c:pt idx="9">
                  <c:v>0.71429492137148753</c:v>
                </c:pt>
                <c:pt idx="10">
                  <c:v>0.70846690552517444</c:v>
                </c:pt>
              </c:numCache>
            </c:numRef>
          </c:val>
        </c:ser>
        <c:dLbls>
          <c:showLegendKey val="0"/>
          <c:showVal val="0"/>
          <c:showCatName val="0"/>
          <c:showSerName val="0"/>
          <c:showPercent val="0"/>
          <c:showBubbleSize val="0"/>
        </c:dLbls>
        <c:gapWidth val="56"/>
        <c:shape val="cylinder"/>
        <c:axId val="369936928"/>
        <c:axId val="369934968"/>
        <c:axId val="0"/>
      </c:bar3DChart>
      <c:catAx>
        <c:axId val="369936928"/>
        <c:scaling>
          <c:orientation val="minMax"/>
        </c:scaling>
        <c:delete val="0"/>
        <c:axPos val="b"/>
        <c:numFmt formatCode="General" sourceLinked="1"/>
        <c:majorTickMark val="none"/>
        <c:minorTickMark val="none"/>
        <c:tickLblPos val="nextTo"/>
        <c:txPr>
          <a:bodyPr/>
          <a:lstStyle/>
          <a:p>
            <a:pPr>
              <a:defRPr sz="1200"/>
            </a:pPr>
            <a:endParaRPr lang="es-ES"/>
          </a:p>
        </c:txPr>
        <c:crossAx val="369934968"/>
        <c:crosses val="autoZero"/>
        <c:auto val="1"/>
        <c:lblAlgn val="ctr"/>
        <c:lblOffset val="100"/>
        <c:noMultiLvlLbl val="0"/>
      </c:catAx>
      <c:valAx>
        <c:axId val="369934968"/>
        <c:scaling>
          <c:orientation val="minMax"/>
        </c:scaling>
        <c:delete val="1"/>
        <c:axPos val="l"/>
        <c:numFmt formatCode="0.0%" sourceLinked="1"/>
        <c:majorTickMark val="out"/>
        <c:minorTickMark val="none"/>
        <c:tickLblPos val="nextTo"/>
        <c:crossAx val="369936928"/>
        <c:crosses val="autoZero"/>
        <c:crossBetween val="between"/>
      </c:valAx>
    </c:plotArea>
    <c:legend>
      <c:legendPos val="t"/>
      <c:layout>
        <c:manualLayout>
          <c:xMode val="edge"/>
          <c:yMode val="edge"/>
          <c:x val="0.27453153743548536"/>
          <c:y val="0.16410100776083644"/>
          <c:w val="0.47327717318526863"/>
          <c:h val="4.5495914112408165E-2"/>
        </c:manualLayout>
      </c:layout>
      <c:overlay val="0"/>
      <c:txPr>
        <a:bodyPr/>
        <a:lstStyle/>
        <a:p>
          <a:pPr>
            <a:defRPr sz="18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800"/>
            </a:pPr>
            <a:r>
              <a:rPr lang="en-US" sz="2800"/>
              <a:t>Afiliación  al Seguro Familiar de Salud por  Sexo </a:t>
            </a:r>
          </a:p>
        </c:rich>
      </c:tx>
      <c:layout>
        <c:manualLayout>
          <c:xMode val="edge"/>
          <c:yMode val="edge"/>
          <c:x val="0.32050558957908037"/>
          <c:y val="2.2004105041835999E-2"/>
        </c:manualLayout>
      </c:layout>
      <c:overlay val="0"/>
    </c:title>
    <c:autoTitleDeleted val="0"/>
    <c:view3D>
      <c:rotX val="10"/>
      <c:rotY val="0"/>
      <c:rAngAx val="0"/>
      <c:perspective val="20"/>
    </c:view3D>
    <c:floor>
      <c:thickness val="0"/>
    </c:floor>
    <c:sideWall>
      <c:thickness val="0"/>
    </c:sideWall>
    <c:backWall>
      <c:thickness val="0"/>
    </c:backWall>
    <c:plotArea>
      <c:layout>
        <c:manualLayout>
          <c:layoutTarget val="inner"/>
          <c:xMode val="edge"/>
          <c:yMode val="edge"/>
          <c:x val="8.3197175957475198E-3"/>
          <c:y val="3.8531161233991862E-2"/>
          <c:w val="0.9709761755150571"/>
          <c:h val="0.83579879619570452"/>
        </c:manualLayout>
      </c:layout>
      <c:bar3DChart>
        <c:barDir val="col"/>
        <c:grouping val="standard"/>
        <c:varyColors val="0"/>
        <c:ser>
          <c:idx val="0"/>
          <c:order val="0"/>
          <c:tx>
            <c:strRef>
              <c:f>'III.1.6.Afil. SFS x sexo'!$F$4</c:f>
              <c:strCache>
                <c:ptCount val="1"/>
                <c:pt idx="0">
                  <c:v>Hombres</c:v>
                </c:pt>
              </c:strCache>
            </c:strRef>
          </c:tx>
          <c:invertIfNegative val="0"/>
          <c:dLbls>
            <c:dLbl>
              <c:idx val="0"/>
              <c:layout>
                <c:manualLayout>
                  <c:x val="-6.9247716256664747E-4"/>
                  <c:y val="5.8973871907367935E-2"/>
                </c:manualLayout>
              </c:layout>
              <c:tx>
                <c:rich>
                  <a:bodyPr/>
                  <a:lstStyle/>
                  <a:p>
                    <a:r>
                      <a:rPr lang="en-US"/>
                      <a:t>49.7%</a:t>
                    </a:r>
                  </a:p>
                </c:rich>
              </c:tx>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0"/>
                  <c:y val="6.1716842693757136E-2"/>
                </c:manualLayout>
              </c:layout>
              <c:tx>
                <c:rich>
                  <a:bodyPr/>
                  <a:lstStyle/>
                  <a:p>
                    <a:r>
                      <a:rPr lang="en-US"/>
                      <a:t>49.2%</a:t>
                    </a:r>
                  </a:p>
                </c:rich>
              </c:tx>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3849543251332949E-3"/>
                  <c:y val="7.2688725839313961E-2"/>
                </c:manualLayout>
              </c:layout>
              <c:tx>
                <c:rich>
                  <a:bodyPr/>
                  <a:lstStyle/>
                  <a:p>
                    <a:r>
                      <a:rPr lang="en-US"/>
                      <a:t>48.5%</a:t>
                    </a:r>
                  </a:p>
                </c:rich>
              </c:tx>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0"/>
                  <c:y val="9.6003977523622219E-2"/>
                </c:manualLayout>
              </c:layout>
              <c:tx>
                <c:rich>
                  <a:bodyPr/>
                  <a:lstStyle/>
                  <a:p>
                    <a:r>
                      <a:rPr lang="en-US"/>
                      <a:t>48.3%</a:t>
                    </a:r>
                  </a:p>
                </c:rich>
              </c:tx>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2.0774314876999427E-3"/>
                  <c:y val="9.4632492130427612E-2"/>
                </c:manualLayout>
              </c:layout>
              <c:tx>
                <c:rich>
                  <a:bodyPr/>
                  <a:lstStyle/>
                  <a:p>
                    <a:r>
                      <a:rPr lang="en-US"/>
                      <a:t>48.2%</a:t>
                    </a:r>
                  </a:p>
                </c:rich>
              </c:tx>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3.4623858128332375E-3"/>
                  <c:y val="0.10148991909640062"/>
                </c:manualLayout>
              </c:layout>
              <c:tx>
                <c:rich>
                  <a:bodyPr/>
                  <a:lstStyle/>
                  <a:p>
                    <a:r>
                      <a:rPr lang="en-US"/>
                      <a:t>47.9%</a:t>
                    </a:r>
                  </a:p>
                </c:rich>
              </c:tx>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3849543251332949E-3"/>
                  <c:y val="0.11246180224195745"/>
                </c:manualLayout>
              </c:layout>
              <c:tx>
                <c:rich>
                  <a:bodyPr/>
                  <a:lstStyle/>
                  <a:p>
                    <a:r>
                      <a:rPr lang="en-US"/>
                      <a:t>47.9%</a:t>
                    </a:r>
                  </a:p>
                </c:rich>
              </c:tx>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5.4525760933581633E-8"/>
                  <c:y val="0.11383328763515206"/>
                </c:manualLayout>
              </c:layout>
              <c:tx>
                <c:rich>
                  <a:bodyPr/>
                  <a:lstStyle/>
                  <a:p>
                    <a:r>
                      <a:rPr lang="en-US"/>
                      <a:t>48.4%</a:t>
                    </a:r>
                  </a:p>
                </c:rich>
              </c:tx>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1.0156214392188842E-16"/>
                  <c:y val="9.6003977523622219E-2"/>
                </c:manualLayout>
              </c:layout>
              <c:tx>
                <c:rich>
                  <a:bodyPr/>
                  <a:lstStyle/>
                  <a:p>
                    <a:r>
                      <a:rPr lang="en-US"/>
                      <a:t>48.4%</a:t>
                    </a:r>
                  </a:p>
                </c:rich>
              </c:tx>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'III.1.6.Afil. SFS x sexo'!$A$5:$A$13</c:f>
              <c:strCache>
                <c:ptCount val="9"/>
                <c:pt idx="0">
                  <c:v>Dic. 2007</c:v>
                </c:pt>
                <c:pt idx="1">
                  <c:v>Dic. 2008</c:v>
                </c:pt>
                <c:pt idx="2">
                  <c:v>Dic. 2009</c:v>
                </c:pt>
                <c:pt idx="3">
                  <c:v>Dic. 2010</c:v>
                </c:pt>
                <c:pt idx="4">
                  <c:v>Dic. 2011</c:v>
                </c:pt>
                <c:pt idx="5">
                  <c:v>Dic. 2012</c:v>
                </c:pt>
                <c:pt idx="6">
                  <c:v>Dic. 2013</c:v>
                </c:pt>
                <c:pt idx="7">
                  <c:v>Dic. 2014</c:v>
                </c:pt>
                <c:pt idx="8">
                  <c:v>Nov. 2015</c:v>
                </c:pt>
              </c:strCache>
            </c:strRef>
          </c:cat>
          <c:val>
            <c:numRef>
              <c:f>'III.1.6.Afil. SFS x sexo'!$F$5:$F$13</c:f>
              <c:numCache>
                <c:formatCode>#,##0</c:formatCode>
                <c:ptCount val="9"/>
                <c:pt idx="0">
                  <c:v>1272336</c:v>
                </c:pt>
                <c:pt idx="1">
                  <c:v>1435840</c:v>
                </c:pt>
                <c:pt idx="2">
                  <c:v>1694508</c:v>
                </c:pt>
                <c:pt idx="3">
                  <c:v>2114818</c:v>
                </c:pt>
                <c:pt idx="4">
                  <c:v>2178632</c:v>
                </c:pt>
                <c:pt idx="5">
                  <c:v>2392114</c:v>
                </c:pt>
                <c:pt idx="6">
                  <c:v>2705829</c:v>
                </c:pt>
                <c:pt idx="7">
                  <c:v>2978843</c:v>
                </c:pt>
                <c:pt idx="8">
                  <c:v>3138953</c:v>
                </c:pt>
              </c:numCache>
            </c:numRef>
          </c:val>
        </c:ser>
        <c:ser>
          <c:idx val="1"/>
          <c:order val="1"/>
          <c:tx>
            <c:strRef>
              <c:f>'III.1.6.Afil. SFS x sexo'!$G$4</c:f>
              <c:strCache>
                <c:ptCount val="1"/>
                <c:pt idx="0">
                  <c:v>Mujeres</c:v>
                </c:pt>
              </c:strCache>
            </c:strRef>
          </c:tx>
          <c:spPr>
            <a:solidFill>
              <a:schemeClr val="accent6">
                <a:lumMod val="50000"/>
              </a:schemeClr>
            </a:solidFill>
          </c:spPr>
          <c:invertIfNegative val="0"/>
          <c:dLbls>
            <c:dLbl>
              <c:idx val="0"/>
              <c:layout>
                <c:manualLayout>
                  <c:x val="-6.9247716256663479E-4"/>
                  <c:y val="3.1544164043475868E-2"/>
                </c:manualLayout>
              </c:layout>
              <c:tx>
                <c:rich>
                  <a:bodyPr/>
                  <a:lstStyle/>
                  <a:p>
                    <a:r>
                      <a:rPr lang="en-US"/>
                      <a:t>50.3%</a:t>
                    </a:r>
                  </a:p>
                </c:rich>
              </c:tx>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3849543251332949E-3"/>
                  <c:y val="3.4287134829865076E-2"/>
                </c:manualLayout>
              </c:layout>
              <c:tx>
                <c:rich>
                  <a:bodyPr/>
                  <a:lstStyle/>
                  <a:p>
                    <a:r>
                      <a:rPr lang="en-US"/>
                      <a:t>50.8%</a:t>
                    </a:r>
                  </a:p>
                </c:rich>
              </c:tx>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6.9247716256664747E-4"/>
                  <c:y val="3.5658620223059677E-2"/>
                </c:manualLayout>
              </c:layout>
              <c:tx>
                <c:rich>
                  <a:bodyPr/>
                  <a:lstStyle/>
                  <a:p>
                    <a:r>
                      <a:rPr lang="en-US"/>
                      <a:t>51.5%</a:t>
                    </a:r>
                  </a:p>
                </c:rich>
              </c:tx>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6.9247716256664747E-4"/>
                  <c:y val="4.2516047189032694E-2"/>
                </c:manualLayout>
              </c:layout>
              <c:tx>
                <c:rich>
                  <a:bodyPr/>
                  <a:lstStyle/>
                  <a:p>
                    <a:r>
                      <a:rPr lang="en-US"/>
                      <a:t>51.7%</a:t>
                    </a:r>
                  </a:p>
                </c:rich>
              </c:tx>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2.7699086502665899E-3"/>
                  <c:y val="3.7030105616254284E-2"/>
                </c:manualLayout>
              </c:layout>
              <c:tx>
                <c:rich>
                  <a:bodyPr/>
                  <a:lstStyle/>
                  <a:p>
                    <a:r>
                      <a:rPr lang="en-US"/>
                      <a:t>51.8%</a:t>
                    </a:r>
                  </a:p>
                </c:rich>
              </c:tx>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2.0774314876999427E-3"/>
                  <c:y val="4.2516047189032694E-2"/>
                </c:manualLayout>
              </c:layout>
              <c:tx>
                <c:rich>
                  <a:bodyPr/>
                  <a:lstStyle/>
                  <a:p>
                    <a:r>
                      <a:rPr lang="en-US"/>
                      <a:t>52.1%</a:t>
                    </a:r>
                  </a:p>
                </c:rich>
              </c:tx>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6.9247716256664747E-4"/>
                  <c:y val="3.7030105616254284E-2"/>
                </c:manualLayout>
              </c:layout>
              <c:tx>
                <c:rich>
                  <a:bodyPr/>
                  <a:lstStyle/>
                  <a:p>
                    <a:r>
                      <a:rPr lang="en-US"/>
                      <a:t>52.1%</a:t>
                    </a:r>
                  </a:p>
                </c:rich>
              </c:tx>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2.0774314876999427E-3"/>
                  <c:y val="4.1144561795838093E-2"/>
                </c:manualLayout>
              </c:layout>
              <c:tx>
                <c:rich>
                  <a:bodyPr/>
                  <a:lstStyle/>
                  <a:p>
                    <a:r>
                      <a:rPr lang="en-US"/>
                      <a:t>51.6%</a:t>
                    </a:r>
                  </a:p>
                </c:rich>
              </c:tx>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3.4623858128332375E-3"/>
                  <c:y val="3.1544164043475868E-2"/>
                </c:manualLayout>
              </c:layout>
              <c:tx>
                <c:rich>
                  <a:bodyPr/>
                  <a:lstStyle/>
                  <a:p>
                    <a:r>
                      <a:rPr lang="en-US"/>
                      <a:t>51.6%</a:t>
                    </a:r>
                  </a:p>
                </c:rich>
              </c:tx>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600" b="1"/>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'III.1.6.Afil. SFS x sexo'!$A$5:$A$13</c:f>
              <c:strCache>
                <c:ptCount val="9"/>
                <c:pt idx="0">
                  <c:v>Dic. 2007</c:v>
                </c:pt>
                <c:pt idx="1">
                  <c:v>Dic. 2008</c:v>
                </c:pt>
                <c:pt idx="2">
                  <c:v>Dic. 2009</c:v>
                </c:pt>
                <c:pt idx="3">
                  <c:v>Dic. 2010</c:v>
                </c:pt>
                <c:pt idx="4">
                  <c:v>Dic. 2011</c:v>
                </c:pt>
                <c:pt idx="5">
                  <c:v>Dic. 2012</c:v>
                </c:pt>
                <c:pt idx="6">
                  <c:v>Dic. 2013</c:v>
                </c:pt>
                <c:pt idx="7">
                  <c:v>Dic. 2014</c:v>
                </c:pt>
                <c:pt idx="8">
                  <c:v>Nov. 2015</c:v>
                </c:pt>
              </c:strCache>
            </c:strRef>
          </c:cat>
          <c:val>
            <c:numRef>
              <c:f>'III.1.6.Afil. SFS x sexo'!$G$5:$G$13</c:f>
              <c:numCache>
                <c:formatCode>#,##0</c:formatCode>
                <c:ptCount val="9"/>
                <c:pt idx="0">
                  <c:v>1286781</c:v>
                </c:pt>
                <c:pt idx="1">
                  <c:v>1481062</c:v>
                </c:pt>
                <c:pt idx="2">
                  <c:v>1798016</c:v>
                </c:pt>
                <c:pt idx="3">
                  <c:v>2263051</c:v>
                </c:pt>
                <c:pt idx="4">
                  <c:v>2342218</c:v>
                </c:pt>
                <c:pt idx="5">
                  <c:v>2599648</c:v>
                </c:pt>
                <c:pt idx="6">
                  <c:v>2946900</c:v>
                </c:pt>
                <c:pt idx="7">
                  <c:v>3178402</c:v>
                </c:pt>
                <c:pt idx="8">
                  <c:v>3321422</c:v>
                </c:pt>
              </c:numCache>
            </c:numRef>
          </c:val>
        </c:ser>
        <c:ser>
          <c:idx val="2"/>
          <c:order val="2"/>
          <c:tx>
            <c:strRef>
              <c:f>'III.1.6.Afil. SFS x sexo'!$H$4</c:f>
              <c:strCache>
                <c:ptCount val="1"/>
                <c:pt idx="0">
                  <c:v>Total</c:v>
                </c:pt>
              </c:strCache>
            </c:strRef>
          </c:tx>
          <c:invertIfNegative val="0"/>
          <c:dLbls>
            <c:dLbl>
              <c:idx val="0"/>
              <c:layout>
                <c:manualLayout>
                  <c:x val="-2.0774314876999427E-3"/>
                  <c:y val="3.017267865028126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3849543251332696E-3"/>
                  <c:y val="3.291564943667047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2.0774314876999427E-3"/>
                  <c:y val="3.565862022305967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5.0781071960944208E-17"/>
                  <c:y val="3.154416404347592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0"/>
                  <c:y val="3.291564943667047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6.9247716256664747E-4"/>
                  <c:y val="3.428713482986507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6.9247716256664747E-4"/>
                  <c:y val="3.428713482986507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3.462385812833136E-3"/>
                  <c:y val="3.154416404347586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4.1548629753998855E-3"/>
                  <c:y val="3.4287134829865076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800" b="1"/>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'III.1.6.Afil. SFS x sexo'!$A$5:$A$13</c:f>
              <c:strCache>
                <c:ptCount val="9"/>
                <c:pt idx="0">
                  <c:v>Dic. 2007</c:v>
                </c:pt>
                <c:pt idx="1">
                  <c:v>Dic. 2008</c:v>
                </c:pt>
                <c:pt idx="2">
                  <c:v>Dic. 2009</c:v>
                </c:pt>
                <c:pt idx="3">
                  <c:v>Dic. 2010</c:v>
                </c:pt>
                <c:pt idx="4">
                  <c:v>Dic. 2011</c:v>
                </c:pt>
                <c:pt idx="5">
                  <c:v>Dic. 2012</c:v>
                </c:pt>
                <c:pt idx="6">
                  <c:v>Dic. 2013</c:v>
                </c:pt>
                <c:pt idx="7">
                  <c:v>Dic. 2014</c:v>
                </c:pt>
                <c:pt idx="8">
                  <c:v>Nov. 2015</c:v>
                </c:pt>
              </c:strCache>
            </c:strRef>
          </c:cat>
          <c:val>
            <c:numRef>
              <c:f>'III.1.6.Afil. SFS x sexo'!$H$5:$H$13</c:f>
              <c:numCache>
                <c:formatCode>#,##0</c:formatCode>
                <c:ptCount val="9"/>
                <c:pt idx="0">
                  <c:v>2559117</c:v>
                </c:pt>
                <c:pt idx="1">
                  <c:v>2916902</c:v>
                </c:pt>
                <c:pt idx="2">
                  <c:v>3492524</c:v>
                </c:pt>
                <c:pt idx="3">
                  <c:v>4377869</c:v>
                </c:pt>
                <c:pt idx="4">
                  <c:v>4520850</c:v>
                </c:pt>
                <c:pt idx="5">
                  <c:v>4991762</c:v>
                </c:pt>
                <c:pt idx="6">
                  <c:v>5652729</c:v>
                </c:pt>
                <c:pt idx="7">
                  <c:v>6157245</c:v>
                </c:pt>
                <c:pt idx="8">
                  <c:v>6460375</c:v>
                </c:pt>
              </c:numCache>
            </c:numRef>
          </c:val>
        </c:ser>
        <c:dLbls>
          <c:showLegendKey val="0"/>
          <c:showVal val="0"/>
          <c:showCatName val="0"/>
          <c:showSerName val="0"/>
          <c:showPercent val="0"/>
          <c:showBubbleSize val="0"/>
        </c:dLbls>
        <c:gapWidth val="75"/>
        <c:shape val="box"/>
        <c:axId val="380010816"/>
        <c:axId val="380011208"/>
        <c:axId val="239978840"/>
      </c:bar3DChart>
      <c:catAx>
        <c:axId val="380010816"/>
        <c:scaling>
          <c:orientation val="minMax"/>
        </c:scaling>
        <c:delete val="0"/>
        <c:axPos val="b"/>
        <c:numFmt formatCode="General" sourceLinked="0"/>
        <c:majorTickMark val="none"/>
        <c:minorTickMark val="none"/>
        <c:tickLblPos val="nextTo"/>
        <c:txPr>
          <a:bodyPr/>
          <a:lstStyle/>
          <a:p>
            <a:pPr>
              <a:defRPr sz="1600"/>
            </a:pPr>
            <a:endParaRPr lang="es-ES"/>
          </a:p>
        </c:txPr>
        <c:crossAx val="380011208"/>
        <c:crosses val="autoZero"/>
        <c:auto val="1"/>
        <c:lblAlgn val="ctr"/>
        <c:lblOffset val="100"/>
        <c:noMultiLvlLbl val="0"/>
      </c:catAx>
      <c:valAx>
        <c:axId val="380011208"/>
        <c:scaling>
          <c:orientation val="minMax"/>
        </c:scaling>
        <c:delete val="1"/>
        <c:axPos val="l"/>
        <c:numFmt formatCode="#,##0" sourceLinked="1"/>
        <c:majorTickMark val="none"/>
        <c:minorTickMark val="none"/>
        <c:tickLblPos val="nextTo"/>
        <c:crossAx val="380010816"/>
        <c:crosses val="autoZero"/>
        <c:crossBetween val="between"/>
      </c:valAx>
      <c:serAx>
        <c:axId val="239978840"/>
        <c:scaling>
          <c:orientation val="minMax"/>
        </c:scaling>
        <c:delete val="1"/>
        <c:axPos val="b"/>
        <c:majorTickMark val="out"/>
        <c:minorTickMark val="none"/>
        <c:tickLblPos val="nextTo"/>
        <c:crossAx val="380011208"/>
        <c:crosses val="autoZero"/>
      </c:serAx>
    </c:plotArea>
    <c:legend>
      <c:legendPos val="t"/>
      <c:layout>
        <c:manualLayout>
          <c:xMode val="edge"/>
          <c:yMode val="edge"/>
          <c:x val="0.34695052007387966"/>
          <c:y val="7.7645034970913449E-2"/>
          <c:w val="0.28839577643149938"/>
          <c:h val="4.0329584221908431E-2"/>
        </c:manualLayout>
      </c:layout>
      <c:overlay val="0"/>
      <c:txPr>
        <a:bodyPr/>
        <a:lstStyle/>
        <a:p>
          <a:pPr>
            <a:defRPr sz="2000"/>
          </a:pPr>
          <a:endParaRPr lang="es-ES"/>
        </a:p>
      </c:txPr>
    </c:legend>
    <c:plotVisOnly val="1"/>
    <c:dispBlanksAs val="gap"/>
    <c:showDLblsOverMax val="0"/>
  </c:chart>
  <c:spPr>
    <a:ln>
      <a:noFill/>
    </a:ln>
  </c:spPr>
  <c:txPr>
    <a:bodyPr/>
    <a:lstStyle/>
    <a:p>
      <a:pPr>
        <a:defRPr>
          <a:ln>
            <a:noFill/>
          </a:ln>
        </a:defRPr>
      </a:pPr>
      <a:endParaRPr lang="es-ES"/>
    </a:p>
  </c:txPr>
  <c:printSettings>
    <c:headerFooter/>
    <c:pageMargins b="0.75" l="0.7" r="0.7" t="0.75" header="0.3" footer="0.3"/>
    <c:pageSetup/>
  </c:printSettings>
  <c:userShapes r:id="rId1"/>
</c:chartSpace>
</file>

<file path=xl/charts/chart8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400"/>
            </a:pPr>
            <a:r>
              <a:rPr lang="es-DO" sz="1400"/>
              <a:t>Seguro de Riesgos Laborales</a:t>
            </a:r>
          </a:p>
          <a:p>
            <a:pPr>
              <a:defRPr sz="1400"/>
            </a:pPr>
            <a:r>
              <a:rPr lang="es-DO" sz="1400"/>
              <a:t>Reporte de Accidentes Laborales y Enfermedades Profesionales por Rango de Edad</a:t>
            </a:r>
          </a:p>
        </c:rich>
      </c:tx>
      <c:layout/>
      <c:overlay val="0"/>
    </c:title>
    <c:autoTitleDeleted val="0"/>
    <c:plotArea>
      <c:layout>
        <c:manualLayout>
          <c:layoutTarget val="inner"/>
          <c:xMode val="edge"/>
          <c:yMode val="edge"/>
          <c:x val="0.10059618384665069"/>
          <c:y val="0.17481816601183481"/>
          <c:w val="0.85860443340945714"/>
          <c:h val="0.78336719321604309"/>
        </c:manualLayout>
      </c:layout>
      <c:barChart>
        <c:barDir val="bar"/>
        <c:grouping val="stacked"/>
        <c:varyColors val="0"/>
        <c:ser>
          <c:idx val="0"/>
          <c:order val="0"/>
          <c:tx>
            <c:strRef>
              <c:f>'V.4.8. Accid x rango de edad'!$B$3</c:f>
              <c:strCache>
                <c:ptCount val="1"/>
                <c:pt idx="0">
                  <c:v>Menor de 20 años</c:v>
                </c:pt>
              </c:strCache>
            </c:strRef>
          </c:tx>
          <c:spPr>
            <a:solidFill>
              <a:schemeClr val="accent5"/>
            </a:solidFill>
          </c:spPr>
          <c:invertIfNegative val="0"/>
          <c:dLbls>
            <c:spPr>
              <a:noFill/>
              <a:ln>
                <a:noFill/>
              </a:ln>
              <a:effectLst/>
            </c:spPr>
            <c:txPr>
              <a:bodyPr rot="-5400000" vert="horz"/>
              <a:lstStyle/>
              <a:p>
                <a:pPr>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'V.4.8. Accid x rango de edad'!$A$4:$A$14</c:f>
              <c:strCache>
                <c:ptCount val="11"/>
                <c:pt idx="0">
                  <c:v>2005</c:v>
                </c:pt>
                <c:pt idx="1">
                  <c:v>2006</c:v>
                </c:pt>
                <c:pt idx="2">
                  <c:v>2007</c:v>
                </c:pt>
                <c:pt idx="3">
                  <c:v>2008</c:v>
                </c:pt>
                <c:pt idx="4">
                  <c:v>2009</c:v>
                </c:pt>
                <c:pt idx="5">
                  <c:v>2010</c:v>
                </c:pt>
                <c:pt idx="6">
                  <c:v>2011</c:v>
                </c:pt>
                <c:pt idx="7">
                  <c:v>2012</c:v>
                </c:pt>
                <c:pt idx="8">
                  <c:v>2013</c:v>
                </c:pt>
                <c:pt idx="9">
                  <c:v>2014</c:v>
                </c:pt>
                <c:pt idx="10">
                  <c:v>Ene-Nov. 2015</c:v>
                </c:pt>
              </c:strCache>
            </c:strRef>
          </c:cat>
          <c:val>
            <c:numRef>
              <c:f>'V.4.8. Accid x rango de edad'!$B$4:$B$14</c:f>
              <c:numCache>
                <c:formatCode>_(* #,##0_);_(* \(#,##0\);_(* "-"??_);_(@_)</c:formatCode>
                <c:ptCount val="11"/>
                <c:pt idx="0">
                  <c:v>145</c:v>
                </c:pt>
                <c:pt idx="1">
                  <c:v>37</c:v>
                </c:pt>
                <c:pt idx="2">
                  <c:v>9</c:v>
                </c:pt>
                <c:pt idx="3">
                  <c:v>7</c:v>
                </c:pt>
                <c:pt idx="4">
                  <c:v>2</c:v>
                </c:pt>
                <c:pt idx="5">
                  <c:v>0</c:v>
                </c:pt>
                <c:pt idx="6">
                  <c:v>6</c:v>
                </c:pt>
                <c:pt idx="7">
                  <c:v>18</c:v>
                </c:pt>
                <c:pt idx="8">
                  <c:v>34</c:v>
                </c:pt>
                <c:pt idx="9">
                  <c:v>80</c:v>
                </c:pt>
                <c:pt idx="10">
                  <c:v>135</c:v>
                </c:pt>
              </c:numCache>
            </c:numRef>
          </c:val>
        </c:ser>
        <c:ser>
          <c:idx val="1"/>
          <c:order val="1"/>
          <c:tx>
            <c:strRef>
              <c:f>'V.4.8. Accid x rango de edad'!$C$3</c:f>
              <c:strCache>
                <c:ptCount val="1"/>
                <c:pt idx="0">
                  <c:v>20 - 29</c:v>
                </c:pt>
              </c:strCache>
            </c:strRef>
          </c:tx>
          <c:spPr>
            <a:solidFill>
              <a:schemeClr val="accent2">
                <a:lumMod val="60000"/>
                <a:lumOff val="40000"/>
              </a:schemeClr>
            </a:solidFill>
          </c:spPr>
          <c:invertIfNegative val="0"/>
          <c:dLbls>
            <c:spPr>
              <a:noFill/>
              <a:ln>
                <a:noFill/>
              </a:ln>
              <a:effectLst/>
            </c:spPr>
            <c:txPr>
              <a:bodyPr rot="-5400000" vert="horz"/>
              <a:lstStyle/>
              <a:p>
                <a:pPr>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'V.4.8. Accid x rango de edad'!$A$4:$A$14</c:f>
              <c:strCache>
                <c:ptCount val="11"/>
                <c:pt idx="0">
                  <c:v>2005</c:v>
                </c:pt>
                <c:pt idx="1">
                  <c:v>2006</c:v>
                </c:pt>
                <c:pt idx="2">
                  <c:v>2007</c:v>
                </c:pt>
                <c:pt idx="3">
                  <c:v>2008</c:v>
                </c:pt>
                <c:pt idx="4">
                  <c:v>2009</c:v>
                </c:pt>
                <c:pt idx="5">
                  <c:v>2010</c:v>
                </c:pt>
                <c:pt idx="6">
                  <c:v>2011</c:v>
                </c:pt>
                <c:pt idx="7">
                  <c:v>2012</c:v>
                </c:pt>
                <c:pt idx="8">
                  <c:v>2013</c:v>
                </c:pt>
                <c:pt idx="9">
                  <c:v>2014</c:v>
                </c:pt>
                <c:pt idx="10">
                  <c:v>Ene-Nov. 2015</c:v>
                </c:pt>
              </c:strCache>
            </c:strRef>
          </c:cat>
          <c:val>
            <c:numRef>
              <c:f>'V.4.8. Accid x rango de edad'!$C$4:$C$14</c:f>
              <c:numCache>
                <c:formatCode>_(* #,##0_);_(* \(#,##0\);_(* "-"??_);_(@_)</c:formatCode>
                <c:ptCount val="11"/>
                <c:pt idx="0">
                  <c:v>345</c:v>
                </c:pt>
                <c:pt idx="1">
                  <c:v>740</c:v>
                </c:pt>
                <c:pt idx="2">
                  <c:v>1413</c:v>
                </c:pt>
                <c:pt idx="3">
                  <c:v>1031</c:v>
                </c:pt>
                <c:pt idx="4">
                  <c:v>2024</c:v>
                </c:pt>
                <c:pt idx="5">
                  <c:v>3154</c:v>
                </c:pt>
                <c:pt idx="6">
                  <c:v>4931</c:v>
                </c:pt>
                <c:pt idx="7">
                  <c:v>6875</c:v>
                </c:pt>
                <c:pt idx="8">
                  <c:v>8429</c:v>
                </c:pt>
                <c:pt idx="9">
                  <c:v>9624</c:v>
                </c:pt>
                <c:pt idx="10">
                  <c:v>11020</c:v>
                </c:pt>
              </c:numCache>
            </c:numRef>
          </c:val>
        </c:ser>
        <c:ser>
          <c:idx val="2"/>
          <c:order val="2"/>
          <c:tx>
            <c:strRef>
              <c:f>'V.4.8. Accid x rango de edad'!$D$3</c:f>
              <c:strCache>
                <c:ptCount val="1"/>
                <c:pt idx="0">
                  <c:v>30 - 39</c:v>
                </c:pt>
              </c:strCache>
            </c:strRef>
          </c:tx>
          <c:spPr>
            <a:solidFill>
              <a:srgbClr val="52CE67"/>
            </a:solidFill>
          </c:spPr>
          <c:invertIfNegative val="0"/>
          <c:dLbls>
            <c:spPr>
              <a:noFill/>
              <a:ln>
                <a:noFill/>
              </a:ln>
              <a:effectLst/>
            </c:spPr>
            <c:txPr>
              <a:bodyPr rot="-5400000" vert="horz"/>
              <a:lstStyle/>
              <a:p>
                <a:pPr>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'V.4.8. Accid x rango de edad'!$A$4:$A$14</c:f>
              <c:strCache>
                <c:ptCount val="11"/>
                <c:pt idx="0">
                  <c:v>2005</c:v>
                </c:pt>
                <c:pt idx="1">
                  <c:v>2006</c:v>
                </c:pt>
                <c:pt idx="2">
                  <c:v>2007</c:v>
                </c:pt>
                <c:pt idx="3">
                  <c:v>2008</c:v>
                </c:pt>
                <c:pt idx="4">
                  <c:v>2009</c:v>
                </c:pt>
                <c:pt idx="5">
                  <c:v>2010</c:v>
                </c:pt>
                <c:pt idx="6">
                  <c:v>2011</c:v>
                </c:pt>
                <c:pt idx="7">
                  <c:v>2012</c:v>
                </c:pt>
                <c:pt idx="8">
                  <c:v>2013</c:v>
                </c:pt>
                <c:pt idx="9">
                  <c:v>2014</c:v>
                </c:pt>
                <c:pt idx="10">
                  <c:v>Ene-Nov. 2015</c:v>
                </c:pt>
              </c:strCache>
            </c:strRef>
          </c:cat>
          <c:val>
            <c:numRef>
              <c:f>'V.4.8. Accid x rango de edad'!$D$4:$D$14</c:f>
              <c:numCache>
                <c:formatCode>_(* #,##0_);_(* \(#,##0\);_(* "-"??_);_(@_)</c:formatCode>
                <c:ptCount val="11"/>
                <c:pt idx="0">
                  <c:v>1445</c:v>
                </c:pt>
                <c:pt idx="1">
                  <c:v>2043</c:v>
                </c:pt>
                <c:pt idx="2">
                  <c:v>3274</c:v>
                </c:pt>
                <c:pt idx="3">
                  <c:v>4066</c:v>
                </c:pt>
                <c:pt idx="4">
                  <c:v>5530</c:v>
                </c:pt>
                <c:pt idx="5">
                  <c:v>6350</c:v>
                </c:pt>
                <c:pt idx="6">
                  <c:v>7715</c:v>
                </c:pt>
                <c:pt idx="7">
                  <c:v>8611</c:v>
                </c:pt>
                <c:pt idx="8">
                  <c:v>8946</c:v>
                </c:pt>
                <c:pt idx="9">
                  <c:v>8806</c:v>
                </c:pt>
                <c:pt idx="10">
                  <c:v>9557</c:v>
                </c:pt>
              </c:numCache>
            </c:numRef>
          </c:val>
        </c:ser>
        <c:ser>
          <c:idx val="3"/>
          <c:order val="3"/>
          <c:tx>
            <c:strRef>
              <c:f>'V.4.8. Accid x rango de edad'!$E$3</c:f>
              <c:strCache>
                <c:ptCount val="1"/>
                <c:pt idx="0">
                  <c:v>40 - 49</c:v>
                </c:pt>
              </c:strCache>
            </c:strRef>
          </c:tx>
          <c:spPr>
            <a:solidFill>
              <a:schemeClr val="accent4">
                <a:lumMod val="60000"/>
                <a:lumOff val="40000"/>
              </a:schemeClr>
            </a:solidFill>
          </c:spPr>
          <c:invertIfNegative val="0"/>
          <c:dLbls>
            <c:spPr>
              <a:noFill/>
              <a:ln>
                <a:noFill/>
              </a:ln>
              <a:effectLst/>
            </c:spPr>
            <c:txPr>
              <a:bodyPr rot="-5400000" vert="horz"/>
              <a:lstStyle/>
              <a:p>
                <a:pPr>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'V.4.8. Accid x rango de edad'!$A$4:$A$14</c:f>
              <c:strCache>
                <c:ptCount val="11"/>
                <c:pt idx="0">
                  <c:v>2005</c:v>
                </c:pt>
                <c:pt idx="1">
                  <c:v>2006</c:v>
                </c:pt>
                <c:pt idx="2">
                  <c:v>2007</c:v>
                </c:pt>
                <c:pt idx="3">
                  <c:v>2008</c:v>
                </c:pt>
                <c:pt idx="4">
                  <c:v>2009</c:v>
                </c:pt>
                <c:pt idx="5">
                  <c:v>2010</c:v>
                </c:pt>
                <c:pt idx="6">
                  <c:v>2011</c:v>
                </c:pt>
                <c:pt idx="7">
                  <c:v>2012</c:v>
                </c:pt>
                <c:pt idx="8">
                  <c:v>2013</c:v>
                </c:pt>
                <c:pt idx="9">
                  <c:v>2014</c:v>
                </c:pt>
                <c:pt idx="10">
                  <c:v>Ene-Nov. 2015</c:v>
                </c:pt>
              </c:strCache>
            </c:strRef>
          </c:cat>
          <c:val>
            <c:numRef>
              <c:f>'V.4.8. Accid x rango de edad'!$E$4:$E$14</c:f>
              <c:numCache>
                <c:formatCode>_(* #,##0_);_(* \(#,##0\);_(* "-"??_);_(@_)</c:formatCode>
                <c:ptCount val="11"/>
                <c:pt idx="0">
                  <c:v>1013</c:v>
                </c:pt>
                <c:pt idx="1">
                  <c:v>1536</c:v>
                </c:pt>
                <c:pt idx="2">
                  <c:v>2149</c:v>
                </c:pt>
                <c:pt idx="3">
                  <c:v>3112</c:v>
                </c:pt>
                <c:pt idx="4">
                  <c:v>3839</c:v>
                </c:pt>
                <c:pt idx="5">
                  <c:v>4256</c:v>
                </c:pt>
                <c:pt idx="6">
                  <c:v>5319</c:v>
                </c:pt>
                <c:pt idx="7">
                  <c:v>5883</c:v>
                </c:pt>
                <c:pt idx="8">
                  <c:v>5876</c:v>
                </c:pt>
                <c:pt idx="9">
                  <c:v>6269</c:v>
                </c:pt>
                <c:pt idx="10">
                  <c:v>6105</c:v>
                </c:pt>
              </c:numCache>
            </c:numRef>
          </c:val>
        </c:ser>
        <c:ser>
          <c:idx val="4"/>
          <c:order val="4"/>
          <c:tx>
            <c:strRef>
              <c:f>'V.4.8. Accid x rango de edad'!$F$3</c:f>
              <c:strCache>
                <c:ptCount val="1"/>
                <c:pt idx="0">
                  <c:v>50 - 59</c:v>
                </c:pt>
              </c:strCache>
            </c:strRef>
          </c:tx>
          <c:spPr>
            <a:solidFill>
              <a:schemeClr val="bg2">
                <a:lumMod val="50000"/>
              </a:schemeClr>
            </a:solidFill>
          </c:spPr>
          <c:invertIfNegative val="0"/>
          <c:dLbls>
            <c:spPr>
              <a:noFill/>
              <a:ln>
                <a:noFill/>
              </a:ln>
              <a:effectLst/>
            </c:spPr>
            <c:txPr>
              <a:bodyPr rot="-5400000" vert="horz"/>
              <a:lstStyle/>
              <a:p>
                <a:pPr>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'V.4.8. Accid x rango de edad'!$A$4:$A$14</c:f>
              <c:strCache>
                <c:ptCount val="11"/>
                <c:pt idx="0">
                  <c:v>2005</c:v>
                </c:pt>
                <c:pt idx="1">
                  <c:v>2006</c:v>
                </c:pt>
                <c:pt idx="2">
                  <c:v>2007</c:v>
                </c:pt>
                <c:pt idx="3">
                  <c:v>2008</c:v>
                </c:pt>
                <c:pt idx="4">
                  <c:v>2009</c:v>
                </c:pt>
                <c:pt idx="5">
                  <c:v>2010</c:v>
                </c:pt>
                <c:pt idx="6">
                  <c:v>2011</c:v>
                </c:pt>
                <c:pt idx="7">
                  <c:v>2012</c:v>
                </c:pt>
                <c:pt idx="8">
                  <c:v>2013</c:v>
                </c:pt>
                <c:pt idx="9">
                  <c:v>2014</c:v>
                </c:pt>
                <c:pt idx="10">
                  <c:v>Ene-Nov. 2015</c:v>
                </c:pt>
              </c:strCache>
            </c:strRef>
          </c:cat>
          <c:val>
            <c:numRef>
              <c:f>'V.4.8. Accid x rango de edad'!$F$4:$F$14</c:f>
              <c:numCache>
                <c:formatCode>_(* #,##0_);_(* \(#,##0\);_(* "-"??_);_(@_)</c:formatCode>
                <c:ptCount val="11"/>
                <c:pt idx="0">
                  <c:v>511</c:v>
                </c:pt>
                <c:pt idx="1">
                  <c:v>808</c:v>
                </c:pt>
                <c:pt idx="2">
                  <c:v>1123</c:v>
                </c:pt>
                <c:pt idx="3">
                  <c:v>1708</c:v>
                </c:pt>
                <c:pt idx="4">
                  <c:v>2108</c:v>
                </c:pt>
                <c:pt idx="5">
                  <c:v>2407</c:v>
                </c:pt>
                <c:pt idx="6">
                  <c:v>3017</c:v>
                </c:pt>
                <c:pt idx="7">
                  <c:v>3457</c:v>
                </c:pt>
                <c:pt idx="8">
                  <c:v>3510</c:v>
                </c:pt>
                <c:pt idx="9">
                  <c:v>3876</c:v>
                </c:pt>
                <c:pt idx="10">
                  <c:v>3485</c:v>
                </c:pt>
              </c:numCache>
            </c:numRef>
          </c:val>
        </c:ser>
        <c:ser>
          <c:idx val="5"/>
          <c:order val="5"/>
          <c:tx>
            <c:strRef>
              <c:f>'V.4.8. Accid x rango de edad'!$G$3</c:f>
              <c:strCache>
                <c:ptCount val="1"/>
                <c:pt idx="0">
                  <c:v>Mayor o igual a 60 años</c:v>
                </c:pt>
              </c:strCache>
            </c:strRef>
          </c:tx>
          <c:invertIfNegative val="0"/>
          <c:dLbls>
            <c:spPr>
              <a:noFill/>
              <a:ln>
                <a:noFill/>
              </a:ln>
              <a:effectLst/>
            </c:spPr>
            <c:txPr>
              <a:bodyPr rot="-5400000" vert="horz"/>
              <a:lstStyle/>
              <a:p>
                <a:pPr>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'V.4.8. Accid x rango de edad'!$A$4:$A$14</c:f>
              <c:strCache>
                <c:ptCount val="11"/>
                <c:pt idx="0">
                  <c:v>2005</c:v>
                </c:pt>
                <c:pt idx="1">
                  <c:v>2006</c:v>
                </c:pt>
                <c:pt idx="2">
                  <c:v>2007</c:v>
                </c:pt>
                <c:pt idx="3">
                  <c:v>2008</c:v>
                </c:pt>
                <c:pt idx="4">
                  <c:v>2009</c:v>
                </c:pt>
                <c:pt idx="5">
                  <c:v>2010</c:v>
                </c:pt>
                <c:pt idx="6">
                  <c:v>2011</c:v>
                </c:pt>
                <c:pt idx="7">
                  <c:v>2012</c:v>
                </c:pt>
                <c:pt idx="8">
                  <c:v>2013</c:v>
                </c:pt>
                <c:pt idx="9">
                  <c:v>2014</c:v>
                </c:pt>
                <c:pt idx="10">
                  <c:v>Ene-Nov. 2015</c:v>
                </c:pt>
              </c:strCache>
            </c:strRef>
          </c:cat>
          <c:val>
            <c:numRef>
              <c:f>'V.4.8. Accid x rango de edad'!$G$4:$G$14</c:f>
              <c:numCache>
                <c:formatCode>_(* #,##0_);_(* \(#,##0\);_(* "-"??_);_(@_)</c:formatCode>
                <c:ptCount val="11"/>
                <c:pt idx="0">
                  <c:v>272</c:v>
                </c:pt>
                <c:pt idx="1">
                  <c:v>371</c:v>
                </c:pt>
                <c:pt idx="2">
                  <c:v>576</c:v>
                </c:pt>
                <c:pt idx="3">
                  <c:v>1053</c:v>
                </c:pt>
                <c:pt idx="4">
                  <c:v>1180</c:v>
                </c:pt>
                <c:pt idx="5">
                  <c:v>1289</c:v>
                </c:pt>
                <c:pt idx="6">
                  <c:v>1609</c:v>
                </c:pt>
                <c:pt idx="7">
                  <c:v>1844</c:v>
                </c:pt>
                <c:pt idx="8">
                  <c:v>1840</c:v>
                </c:pt>
                <c:pt idx="9">
                  <c:v>2377</c:v>
                </c:pt>
                <c:pt idx="10">
                  <c:v>1516</c:v>
                </c:pt>
              </c:numCache>
            </c:numRef>
          </c:val>
        </c:ser>
        <c:dLbls>
          <c:showLegendKey val="0"/>
          <c:showVal val="0"/>
          <c:showCatName val="0"/>
          <c:showSerName val="0"/>
          <c:showPercent val="0"/>
          <c:showBubbleSize val="0"/>
        </c:dLbls>
        <c:gapWidth val="19"/>
        <c:overlap val="100"/>
        <c:axId val="369933792"/>
        <c:axId val="369936536"/>
      </c:barChart>
      <c:catAx>
        <c:axId val="369933792"/>
        <c:scaling>
          <c:orientation val="minMax"/>
        </c:scaling>
        <c:delete val="0"/>
        <c:axPos val="l"/>
        <c:numFmt formatCode="General" sourceLinked="1"/>
        <c:majorTickMark val="none"/>
        <c:minorTickMark val="none"/>
        <c:tickLblPos val="nextTo"/>
        <c:crossAx val="369936536"/>
        <c:crosses val="autoZero"/>
        <c:auto val="1"/>
        <c:lblAlgn val="ctr"/>
        <c:lblOffset val="100"/>
        <c:noMultiLvlLbl val="0"/>
      </c:catAx>
      <c:valAx>
        <c:axId val="369936536"/>
        <c:scaling>
          <c:orientation val="minMax"/>
        </c:scaling>
        <c:delete val="1"/>
        <c:axPos val="b"/>
        <c:numFmt formatCode="_(* #,##0_);_(* \(#,##0\);_(* &quot;-&quot;??_);_(@_)" sourceLinked="1"/>
        <c:majorTickMark val="out"/>
        <c:minorTickMark val="none"/>
        <c:tickLblPos val="nextTo"/>
        <c:crossAx val="369933792"/>
        <c:crosses val="autoZero"/>
        <c:crossBetween val="between"/>
      </c:valAx>
    </c:plotArea>
    <c:legend>
      <c:legendPos val="t"/>
      <c:layout>
        <c:manualLayout>
          <c:xMode val="edge"/>
          <c:yMode val="edge"/>
          <c:x val="8.5362963064452457E-2"/>
          <c:y val="6.6603108885681175E-2"/>
          <c:w val="0.83139628608457994"/>
          <c:h val="3.8262321614365921E-2"/>
        </c:manualLayout>
      </c:layout>
      <c:overlay val="0"/>
      <c:txPr>
        <a:bodyPr/>
        <a:lstStyle/>
        <a:p>
          <a:pPr>
            <a:defRPr sz="11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baseline="0">
                <a:solidFill>
                  <a:schemeClr val="tx1">
                    <a:lumMod val="65000"/>
                    <a:lumOff val="35000"/>
                  </a:schemeClr>
                </a:solidFill>
                <a:latin typeface="+mn-lt"/>
                <a:ea typeface="+mn-ea"/>
                <a:cs typeface="+mn-cs"/>
              </a:defRPr>
            </a:pPr>
            <a:r>
              <a:rPr lang="es-ES"/>
              <a:t>Reporte de Accidentes Laborales y Enfermedades Profesionales por Nivel de Escolaridad</a:t>
            </a:r>
          </a:p>
        </c:rich>
      </c:tx>
      <c:layout>
        <c:manualLayout>
          <c:xMode val="edge"/>
          <c:yMode val="edge"/>
          <c:x val="0.12310348041435903"/>
          <c:y val="3.7711586798381373E-2"/>
        </c:manualLayout>
      </c:layout>
      <c:overlay val="0"/>
      <c:spPr>
        <a:noFill/>
        <a:ln>
          <a:noFill/>
        </a:ln>
        <a:effectLst/>
      </c:spPr>
      <c:txPr>
        <a:bodyPr rot="0" spcFirstLastPara="1" vertOverflow="ellipsis" vert="horz" wrap="square" anchor="ctr" anchorCtr="1"/>
        <a:lstStyle/>
        <a:p>
          <a:pPr>
            <a:defRPr sz="1600" b="1" i="0" u="none" strike="noStrike" kern="1200" cap="all" baseline="0">
              <a:solidFill>
                <a:schemeClr val="tx1">
                  <a:lumMod val="65000"/>
                  <a:lumOff val="35000"/>
                </a:schemeClr>
              </a:solidFill>
              <a:latin typeface="+mn-lt"/>
              <a:ea typeface="+mn-ea"/>
              <a:cs typeface="+mn-cs"/>
            </a:defRPr>
          </a:pPr>
          <a:endParaRPr lang="es-ES"/>
        </a:p>
      </c:txPr>
    </c:title>
    <c:autoTitleDeleted val="0"/>
    <c:view3D>
      <c:rotX val="50"/>
      <c:rotY val="5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5925189740323759"/>
          <c:y val="0.3281967110521099"/>
          <c:w val="0.5499639956031368"/>
          <c:h val="0.50634037090039807"/>
        </c:manualLayout>
      </c:layout>
      <c:pie3DChart>
        <c:varyColors val="1"/>
        <c:ser>
          <c:idx val="0"/>
          <c:order val="0"/>
          <c:explosion val="14"/>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Lbls>
            <c:dLbl>
              <c:idx val="0"/>
              <c:layout>
                <c:manualLayout>
                  <c:x val="3.88648571499733E-2"/>
                  <c:y val="-3.6476009352249261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2E1C4733-AC4F-4638-84BF-27879D115361}" type="CATEGORYNAME">
                      <a:rPr lang="en-US" sz="1600"/>
                      <a:pPr>
                        <a:defRPr sz="1600"/>
                      </a:pPr>
                      <a:t>[NOMBRE DE CATEGORÍA]</a:t>
                    </a:fld>
                    <a:r>
                      <a:rPr lang="en-US" sz="1600"/>
                      <a:t> </a:t>
                    </a:r>
                  </a:p>
                  <a:p>
                    <a:pPr>
                      <a:defRPr sz="1600"/>
                    </a:pPr>
                    <a:fld id="{77148070-67BF-4B93-9444-5BDDC7578C9B}" type="VALUE">
                      <a:rPr lang="en-US" sz="1600"/>
                      <a:pPr>
                        <a:defRPr sz="1600"/>
                      </a:pPr>
                      <a:t>[VALOR]</a:t>
                    </a:fld>
                    <a:endParaRPr lang="en-US" sz="1600"/>
                  </a:p>
                  <a:p>
                    <a:pPr>
                      <a:defRPr sz="1600"/>
                    </a:pPr>
                    <a:r>
                      <a:rPr lang="en-US" sz="1600"/>
                      <a:t> </a:t>
                    </a:r>
                    <a:fld id="{97B5176C-91BD-4377-BD3C-E08163AC36F8}" type="PERCENTAGE">
                      <a:rPr lang="en-US" sz="1600"/>
                      <a:pPr>
                        <a:defRPr sz="1600"/>
                      </a:pPr>
                      <a:t>[PORCENTAJE]</a:t>
                    </a:fld>
                    <a:endParaRPr lang="en-US" sz="1600"/>
                  </a:p>
                </c:rich>
              </c:tx>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s-E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1"/>
              <c:layout>
                <c:manualLayout>
                  <c:x val="2.5909904766648843E-2"/>
                  <c:y val="7.6791598636314226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D874521D-ADF8-4DD2-9C66-5F21145465D1}" type="CATEGORYNAME">
                      <a:rPr lang="en-US" sz="1600"/>
                      <a:pPr>
                        <a:defRPr sz="1600">
                          <a:solidFill>
                            <a:schemeClr val="accent1"/>
                          </a:solidFill>
                        </a:defRPr>
                      </a:pPr>
                      <a:t>[NOMBRE DE CATEGORÍA]</a:t>
                    </a:fld>
                    <a:endParaRPr lang="en-US" sz="1600"/>
                  </a:p>
                  <a:p>
                    <a:pPr>
                      <a:defRPr sz="1600">
                        <a:solidFill>
                          <a:schemeClr val="accent1"/>
                        </a:solidFill>
                      </a:defRPr>
                    </a:pPr>
                    <a:r>
                      <a:rPr lang="en-US" sz="1600"/>
                      <a:t> </a:t>
                    </a:r>
                    <a:fld id="{7252C668-E7E1-47C4-BE49-B525DA220A85}" type="VALUE">
                      <a:rPr lang="en-US" sz="1600"/>
                      <a:pPr>
                        <a:defRPr sz="1600">
                          <a:solidFill>
                            <a:schemeClr val="accent1"/>
                          </a:solidFill>
                        </a:defRPr>
                      </a:pPr>
                      <a:t>[VALOR]</a:t>
                    </a:fld>
                    <a:r>
                      <a:rPr lang="en-US" sz="1600"/>
                      <a:t> </a:t>
                    </a:r>
                  </a:p>
                  <a:p>
                    <a:pPr>
                      <a:defRPr sz="1600">
                        <a:solidFill>
                          <a:schemeClr val="accent1"/>
                        </a:solidFill>
                      </a:defRPr>
                    </a:pPr>
                    <a:fld id="{DE1987C8-6FDB-46C8-8052-D2D098013361}" type="PERCENTAGE">
                      <a:rPr lang="en-US" sz="1600"/>
                      <a:pPr>
                        <a:defRPr sz="1600">
                          <a:solidFill>
                            <a:schemeClr val="accent1"/>
                          </a:solidFill>
                        </a:defRPr>
                      </a:pPr>
                      <a:t>[PORCENTAJE]</a:t>
                    </a:fld>
                    <a:endParaRPr lang="es-ES"/>
                  </a:p>
                </c:rich>
              </c:tx>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s-E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2"/>
              <c:layout>
                <c:manualLayout>
                  <c:x val="-6.0456444455514166E-2"/>
                  <c:y val="-3.8395799318157822E-3"/>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A8B7272A-54F6-40DB-BCFD-BE4F79951B5C}" type="CATEGORYNAME">
                      <a:rPr lang="en-US" sz="1600"/>
                      <a:pPr>
                        <a:defRPr sz="1600">
                          <a:solidFill>
                            <a:schemeClr val="accent1"/>
                          </a:solidFill>
                        </a:defRPr>
                      </a:pPr>
                      <a:t>[NOMBRE DE CATEGORÍA]</a:t>
                    </a:fld>
                    <a:endParaRPr lang="en-US" sz="1600"/>
                  </a:p>
                  <a:p>
                    <a:pPr>
                      <a:defRPr sz="1600">
                        <a:solidFill>
                          <a:schemeClr val="accent1"/>
                        </a:solidFill>
                      </a:defRPr>
                    </a:pPr>
                    <a:r>
                      <a:rPr lang="en-US" sz="1600"/>
                      <a:t> </a:t>
                    </a:r>
                    <a:fld id="{B0C1736C-AB1B-4C76-A0CA-295C99A66A48}" type="VALUE">
                      <a:rPr lang="en-US" sz="1600"/>
                      <a:pPr>
                        <a:defRPr sz="1600">
                          <a:solidFill>
                            <a:schemeClr val="accent1"/>
                          </a:solidFill>
                        </a:defRPr>
                      </a:pPr>
                      <a:t>[VALOR]</a:t>
                    </a:fld>
                    <a:endParaRPr lang="en-US" sz="1600"/>
                  </a:p>
                  <a:p>
                    <a:pPr>
                      <a:defRPr sz="1600">
                        <a:solidFill>
                          <a:schemeClr val="accent1"/>
                        </a:solidFill>
                      </a:defRPr>
                    </a:pPr>
                    <a:r>
                      <a:rPr lang="en-US" sz="1600"/>
                      <a:t> </a:t>
                    </a:r>
                    <a:fld id="{BB7F9576-FE1E-450D-846C-194B3E38E595}" type="PERCENTAGE">
                      <a:rPr lang="en-US" sz="1600"/>
                      <a:pPr>
                        <a:defRPr sz="1600">
                          <a:solidFill>
                            <a:schemeClr val="accent1"/>
                          </a:solidFill>
                        </a:defRPr>
                      </a:pPr>
                      <a:t>[PORCENTAJE]</a:t>
                    </a:fld>
                    <a:endParaRPr lang="en-US" sz="1600"/>
                  </a:p>
                </c:rich>
              </c:tx>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s-E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3"/>
              <c:layout>
                <c:manualLayout>
                  <c:x val="-7.5570555569392682E-3"/>
                  <c:y val="-7.4871808670406409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87BB35E3-3920-46D6-AA10-672B28504DBF}" type="CATEGORYNAME">
                      <a:rPr lang="en-US" sz="1600"/>
                      <a:pPr>
                        <a:defRPr sz="1600">
                          <a:solidFill>
                            <a:schemeClr val="accent1"/>
                          </a:solidFill>
                        </a:defRPr>
                      </a:pPr>
                      <a:t>[NOMBRE DE CATEGORÍA]</a:t>
                    </a:fld>
                    <a:r>
                      <a:rPr lang="en-US" sz="1600"/>
                      <a:t> </a:t>
                    </a:r>
                  </a:p>
                  <a:p>
                    <a:pPr>
                      <a:defRPr sz="1600">
                        <a:solidFill>
                          <a:schemeClr val="accent1"/>
                        </a:solidFill>
                      </a:defRPr>
                    </a:pPr>
                    <a:fld id="{32291BB7-B695-49B5-A8F5-4F51EDC63E35}" type="VALUE">
                      <a:rPr lang="en-US" sz="1600"/>
                      <a:pPr>
                        <a:defRPr sz="1600">
                          <a:solidFill>
                            <a:schemeClr val="accent1"/>
                          </a:solidFill>
                        </a:defRPr>
                      </a:pPr>
                      <a:t>[VALOR]</a:t>
                    </a:fld>
                    <a:r>
                      <a:rPr lang="en-US" sz="1600"/>
                      <a:t> </a:t>
                    </a:r>
                  </a:p>
                  <a:p>
                    <a:pPr>
                      <a:defRPr sz="1600">
                        <a:solidFill>
                          <a:schemeClr val="accent1"/>
                        </a:solidFill>
                      </a:defRPr>
                    </a:pPr>
                    <a:fld id="{A18C8E33-2711-4202-B0DF-FED88ABC071A}" type="PERCENTAGE">
                      <a:rPr lang="en-US" sz="1600"/>
                      <a:pPr>
                        <a:defRPr sz="1600">
                          <a:solidFill>
                            <a:schemeClr val="accent1"/>
                          </a:solidFill>
                        </a:defRPr>
                      </a:pPr>
                      <a:t>[PORCENTAJE]</a:t>
                    </a:fld>
                    <a:endParaRPr lang="es-ES"/>
                  </a:p>
                </c:rich>
              </c:tx>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s-E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s-ES"/>
              </a:p>
            </c:txPr>
            <c:dLblPos val="outEnd"/>
            <c:showLegendKey val="0"/>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'V.4.9.Accid x Escolaridad'!$B$3:$E$3</c:f>
              <c:strCache>
                <c:ptCount val="4"/>
                <c:pt idx="0">
                  <c:v>Ninguno</c:v>
                </c:pt>
                <c:pt idx="1">
                  <c:v>Básico</c:v>
                </c:pt>
                <c:pt idx="2">
                  <c:v>Medio</c:v>
                </c:pt>
                <c:pt idx="3">
                  <c:v>Superior</c:v>
                </c:pt>
              </c:strCache>
            </c:strRef>
          </c:cat>
          <c:val>
            <c:numRef>
              <c:f>'V.4.9.Accid x Escolaridad'!$B$15:$E$15</c:f>
              <c:numCache>
                <c:formatCode>_(* #,##0_);_(* \(#,##0\);_(* "-"??_);_(@_)</c:formatCode>
                <c:ptCount val="4"/>
                <c:pt idx="0">
                  <c:v>6390</c:v>
                </c:pt>
                <c:pt idx="1">
                  <c:v>64886</c:v>
                </c:pt>
                <c:pt idx="2">
                  <c:v>94653</c:v>
                </c:pt>
                <c:pt idx="3">
                  <c:v>18764</c:v>
                </c:pt>
              </c:numCache>
            </c:numRef>
          </c:val>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a:pPr>
            <a:r>
              <a:rPr lang="es-DO" sz="1800" b="1">
                <a:effectLst/>
              </a:rPr>
              <a:t>Reporte de Accidentes Laborales y Enfermedades Profesionales y Afiliación</a:t>
            </a:r>
            <a:r>
              <a:rPr lang="es-DO" sz="1800" b="1" baseline="0">
                <a:effectLst/>
              </a:rPr>
              <a:t> al SRL por Sector</a:t>
            </a:r>
            <a:endParaRPr lang="es-ES">
              <a:effectLst/>
            </a:endParaRPr>
          </a:p>
        </c:rich>
      </c:tx>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2.739666758494463E-3"/>
          <c:y val="0.1854823840212188"/>
          <c:w val="0.99302750020335939"/>
          <c:h val="0.67924285873733037"/>
        </c:manualLayout>
      </c:layout>
      <c:bar3DChart>
        <c:barDir val="col"/>
        <c:grouping val="clustered"/>
        <c:varyColors val="0"/>
        <c:ser>
          <c:idx val="0"/>
          <c:order val="0"/>
          <c:tx>
            <c:strRef>
              <c:f>'V.4.10.Accid x sector '!$J$3</c:f>
              <c:strCache>
                <c:ptCount val="1"/>
                <c:pt idx="0">
                  <c:v>%  Accidentado /Afiliado Sector Público</c:v>
                </c:pt>
              </c:strCache>
            </c:strRef>
          </c:tx>
          <c:spPr>
            <a:solidFill>
              <a:srgbClr val="0070C0"/>
            </a:solidFill>
            <a:ln w="47625"/>
          </c:spPr>
          <c:invertIfNegative val="0"/>
          <c:dLbls>
            <c:dLbl>
              <c:idx val="0"/>
              <c:layout>
                <c:manualLayout>
                  <c:x val="1.3870922454990265E-2"/>
                  <c:y val="-2.288140243178369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7.4689582449947297E-3"/>
                  <c:y val="-1.66410199503881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1736850369713512E-2"/>
                  <c:y val="-1.66410199503881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289449689004845E-2"/>
                  <c:y val="-2.3827778546678797E-2"/>
                </c:manualLayout>
              </c:layout>
              <c:spPr/>
              <c:txPr>
                <a:bodyPr/>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9.2310760759873104E-4"/>
                  <c:y val="-6.8798157581729351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9.2310760759873104E-4"/>
                  <c:y val="-9.1730876775638018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spPr/>
              <c:txPr>
                <a:bodyPr/>
                <a:lstStyle/>
                <a:p>
                  <a:pPr>
                    <a:defRPr sz="1400" b="1"/>
                  </a:pPr>
                  <a:endParaRPr lang="es-ES"/>
                </a:p>
              </c:txPr>
              <c:showLegendKey val="0"/>
              <c:showVal val="1"/>
              <c:showCatName val="0"/>
              <c:showSerName val="0"/>
              <c:showPercent val="0"/>
              <c:showBubbleSize val="0"/>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'V.4.10.Accid x sector '!$A$7:$A$14</c:f>
              <c:strCache>
                <c:ptCount val="8"/>
                <c:pt idx="0">
                  <c:v>2008</c:v>
                </c:pt>
                <c:pt idx="1">
                  <c:v>2009</c:v>
                </c:pt>
                <c:pt idx="2">
                  <c:v>2010</c:v>
                </c:pt>
                <c:pt idx="3">
                  <c:v>2011</c:v>
                </c:pt>
                <c:pt idx="4">
                  <c:v>2012</c:v>
                </c:pt>
                <c:pt idx="5">
                  <c:v>2013</c:v>
                </c:pt>
                <c:pt idx="6">
                  <c:v>2014</c:v>
                </c:pt>
                <c:pt idx="7">
                  <c:v>Ene-Nov.2015</c:v>
                </c:pt>
              </c:strCache>
            </c:strRef>
          </c:cat>
          <c:val>
            <c:numRef>
              <c:f>'V.4.10.Accid x sector '!$J$7:$J$14</c:f>
              <c:numCache>
                <c:formatCode>0.00%</c:formatCode>
                <c:ptCount val="8"/>
                <c:pt idx="0">
                  <c:v>2.0314192849404116E-3</c:v>
                </c:pt>
                <c:pt idx="1">
                  <c:v>2.7543822892660101E-3</c:v>
                </c:pt>
                <c:pt idx="2">
                  <c:v>4.1575301399823794E-3</c:v>
                </c:pt>
                <c:pt idx="3">
                  <c:v>5.6707396334329911E-3</c:v>
                </c:pt>
                <c:pt idx="4">
                  <c:v>9.8497768609389202E-3</c:v>
                </c:pt>
                <c:pt idx="5">
                  <c:v>1.0704228061863753E-2</c:v>
                </c:pt>
                <c:pt idx="6">
                  <c:v>1.1170498695464061E-2</c:v>
                </c:pt>
                <c:pt idx="7">
                  <c:v>1.0245321494659877E-2</c:v>
                </c:pt>
              </c:numCache>
            </c:numRef>
          </c:val>
        </c:ser>
        <c:ser>
          <c:idx val="1"/>
          <c:order val="1"/>
          <c:tx>
            <c:strRef>
              <c:f>'V.4.10.Accid x sector '!$K$3</c:f>
              <c:strCache>
                <c:ptCount val="1"/>
                <c:pt idx="0">
                  <c:v>    % Accidentado /Afiliado Sector Privado</c:v>
                </c:pt>
              </c:strCache>
            </c:strRef>
          </c:tx>
          <c:spPr>
            <a:solidFill>
              <a:schemeClr val="accent3">
                <a:lumMod val="75000"/>
              </a:schemeClr>
            </a:solidFill>
            <a:ln w="50800">
              <a:solidFill>
                <a:schemeClr val="accent3">
                  <a:lumMod val="75000"/>
                </a:schemeClr>
              </a:solidFill>
            </a:ln>
          </c:spPr>
          <c:invertIfNegative val="0"/>
          <c:dLbls>
            <c:dLbl>
              <c:idx val="0"/>
              <c:layout>
                <c:manualLayout>
                  <c:x val="9.6029463149932739E-3"/>
                  <c:y val="-1.872114744418665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1736934384991779E-2"/>
                  <c:y val="-1.872114744418665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9.6029463149931958E-3"/>
                  <c:y val="-2.080127493798517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4937916489989538E-2"/>
                  <c:y val="-1.8721147444186657E-2"/>
                </c:manualLayout>
              </c:layout>
              <c:spPr/>
              <c:txPr>
                <a:bodyPr/>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4.2499929515373578E-3"/>
                  <c:y val="-6.696787563309689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5954789617972524E-2"/>
                  <c:y val="-8.9290500844130018E-3"/>
                </c:manualLayout>
              </c:layout>
              <c:spPr/>
              <c:txPr>
                <a:bodyPr/>
                <a:lstStyle/>
                <a:p>
                  <a:pPr>
                    <a:defRPr sz="1400" b="1"/>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'V.4.10.Accid x sector '!$A$7:$A$14</c:f>
              <c:strCache>
                <c:ptCount val="8"/>
                <c:pt idx="0">
                  <c:v>2008</c:v>
                </c:pt>
                <c:pt idx="1">
                  <c:v>2009</c:v>
                </c:pt>
                <c:pt idx="2">
                  <c:v>2010</c:v>
                </c:pt>
                <c:pt idx="3">
                  <c:v>2011</c:v>
                </c:pt>
                <c:pt idx="4">
                  <c:v>2012</c:v>
                </c:pt>
                <c:pt idx="5">
                  <c:v>2013</c:v>
                </c:pt>
                <c:pt idx="6">
                  <c:v>2014</c:v>
                </c:pt>
                <c:pt idx="7">
                  <c:v>Ene-Nov.2015</c:v>
                </c:pt>
              </c:strCache>
            </c:strRef>
          </c:cat>
          <c:val>
            <c:numRef>
              <c:f>'V.4.10.Accid x sector '!$K$7:$K$14</c:f>
              <c:numCache>
                <c:formatCode>0.00%</c:formatCode>
                <c:ptCount val="8"/>
                <c:pt idx="0">
                  <c:v>1.1950197664168983E-2</c:v>
                </c:pt>
                <c:pt idx="1">
                  <c:v>1.5749353262431733E-2</c:v>
                </c:pt>
                <c:pt idx="2">
                  <c:v>1.6929991481498749E-2</c:v>
                </c:pt>
                <c:pt idx="3">
                  <c:v>2.0533245470578162E-2</c:v>
                </c:pt>
                <c:pt idx="4">
                  <c:v>2.2056905463504178E-2</c:v>
                </c:pt>
                <c:pt idx="5">
                  <c:v>2.1770892503967715E-2</c:v>
                </c:pt>
                <c:pt idx="6">
                  <c:v>2.1716399903482668E-2</c:v>
                </c:pt>
                <c:pt idx="7">
                  <c:v>2.1234168773011135E-2</c:v>
                </c:pt>
              </c:numCache>
            </c:numRef>
          </c:val>
        </c:ser>
        <c:dLbls>
          <c:showLegendKey val="0"/>
          <c:showVal val="0"/>
          <c:showCatName val="0"/>
          <c:showSerName val="0"/>
          <c:showPercent val="0"/>
          <c:showBubbleSize val="0"/>
        </c:dLbls>
        <c:gapWidth val="150"/>
        <c:shape val="cylinder"/>
        <c:axId val="369936144"/>
        <c:axId val="369926344"/>
        <c:axId val="0"/>
      </c:bar3DChart>
      <c:catAx>
        <c:axId val="369936144"/>
        <c:scaling>
          <c:orientation val="minMax"/>
        </c:scaling>
        <c:delete val="0"/>
        <c:axPos val="b"/>
        <c:numFmt formatCode="General" sourceLinked="1"/>
        <c:majorTickMark val="none"/>
        <c:minorTickMark val="none"/>
        <c:tickLblPos val="nextTo"/>
        <c:txPr>
          <a:bodyPr/>
          <a:lstStyle/>
          <a:p>
            <a:pPr>
              <a:defRPr sz="1200"/>
            </a:pPr>
            <a:endParaRPr lang="es-ES"/>
          </a:p>
        </c:txPr>
        <c:crossAx val="369926344"/>
        <c:crosses val="autoZero"/>
        <c:auto val="1"/>
        <c:lblAlgn val="ctr"/>
        <c:lblOffset val="100"/>
        <c:noMultiLvlLbl val="0"/>
      </c:catAx>
      <c:valAx>
        <c:axId val="369926344"/>
        <c:scaling>
          <c:orientation val="minMax"/>
        </c:scaling>
        <c:delete val="1"/>
        <c:axPos val="l"/>
        <c:numFmt formatCode="0.00%" sourceLinked="1"/>
        <c:majorTickMark val="out"/>
        <c:minorTickMark val="none"/>
        <c:tickLblPos val="nextTo"/>
        <c:crossAx val="369936144"/>
        <c:crosses val="autoZero"/>
        <c:crossBetween val="between"/>
      </c:valAx>
    </c:plotArea>
    <c:legend>
      <c:legendPos val="t"/>
      <c:layout>
        <c:manualLayout>
          <c:xMode val="edge"/>
          <c:yMode val="edge"/>
          <c:x val="0.19783133747473353"/>
          <c:y val="0.11067105623068667"/>
          <c:w val="0.64991119165002409"/>
          <c:h val="3.7614765301835509E-2"/>
        </c:manualLayout>
      </c:layout>
      <c:overlay val="0"/>
      <c:txPr>
        <a:bodyPr/>
        <a:lstStyle/>
        <a:p>
          <a:pPr>
            <a:defRPr sz="12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1400"/>
            </a:pPr>
            <a:r>
              <a:rPr lang="es-DO" sz="1400" b="1">
                <a:effectLst/>
              </a:rPr>
              <a:t>Comparación Reporte de Accidentes Laborales y Enfermedades Profesionales y Afilación al SRL  por Sexo</a:t>
            </a:r>
            <a:endParaRPr lang="es-ES" sz="1400">
              <a:effectLst/>
            </a:endParaRPr>
          </a:p>
        </c:rich>
      </c:tx>
      <c:layout>
        <c:manualLayout>
          <c:xMode val="edge"/>
          <c:yMode val="edge"/>
          <c:x val="0.16547112096412617"/>
          <c:y val="3.8073703761935092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0"/>
          <c:y val="0.22125453283383445"/>
          <c:w val="0.98659354466300098"/>
          <c:h val="0.65591366307028343"/>
        </c:manualLayout>
      </c:layout>
      <c:bar3DChart>
        <c:barDir val="col"/>
        <c:grouping val="clustered"/>
        <c:varyColors val="0"/>
        <c:ser>
          <c:idx val="0"/>
          <c:order val="0"/>
          <c:tx>
            <c:strRef>
              <c:f>'V.4.11.Accid x sexo'!$J$3</c:f>
              <c:strCache>
                <c:ptCount val="1"/>
                <c:pt idx="0">
                  <c:v>% Accidentados / Afiliados Femenino</c:v>
                </c:pt>
              </c:strCache>
            </c:strRef>
          </c:tx>
          <c:spPr>
            <a:solidFill>
              <a:srgbClr val="0070C0"/>
            </a:solidFill>
          </c:spPr>
          <c:invertIfNegative val="0"/>
          <c:dLbls>
            <c:dLbl>
              <c:idx val="0"/>
              <c:layout>
                <c:manualLayout>
                  <c:x val="1.3250654853142205E-2"/>
                  <c:y val="-1.096650156952707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084071180551438E-2"/>
                  <c:y val="-1.535172178647260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7.2254651945234723E-3"/>
                  <c:y val="-2.411646802554312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3253121432649917E-2"/>
                  <c:y val="-1.7531217991723056E-2"/>
                </c:manualLayout>
              </c:layout>
              <c:spPr/>
              <c:txPr>
                <a:bodyPr/>
                <a:lstStyle/>
                <a:p>
                  <a:pPr>
                    <a:defRPr sz="18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7"/>
              <c:spPr>
                <a:noFill/>
                <a:ln>
                  <a:noFill/>
                </a:ln>
                <a:effectLst/>
              </c:spPr>
              <c:txPr>
                <a:bodyPr/>
                <a:lstStyle/>
                <a:p>
                  <a:pPr>
                    <a:defRPr sz="1800" b="1"/>
                  </a:pPr>
                  <a:endParaRPr lang="es-ES"/>
                </a:p>
              </c:txPr>
              <c:showLegendKey val="0"/>
              <c:showVal val="1"/>
              <c:showCatName val="0"/>
              <c:showSerName val="0"/>
              <c:showPercent val="0"/>
              <c:showBubbleSize val="0"/>
            </c:dLbl>
            <c:spPr>
              <a:noFill/>
              <a:ln>
                <a:noFill/>
              </a:ln>
              <a:effectLst/>
            </c:spPr>
            <c:txPr>
              <a:bodyPr/>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'V.4.11.Accid x sexo'!$A$4:$A$11</c:f>
              <c:strCache>
                <c:ptCount val="8"/>
                <c:pt idx="0">
                  <c:v>2008</c:v>
                </c:pt>
                <c:pt idx="1">
                  <c:v>2009</c:v>
                </c:pt>
                <c:pt idx="2">
                  <c:v>2010</c:v>
                </c:pt>
                <c:pt idx="3">
                  <c:v>2011</c:v>
                </c:pt>
                <c:pt idx="4">
                  <c:v>2012</c:v>
                </c:pt>
                <c:pt idx="5">
                  <c:v>2013</c:v>
                </c:pt>
                <c:pt idx="6">
                  <c:v>2014</c:v>
                </c:pt>
                <c:pt idx="7">
                  <c:v>Ene-Nov. 2015</c:v>
                </c:pt>
              </c:strCache>
            </c:strRef>
          </c:cat>
          <c:val>
            <c:numRef>
              <c:f>'V.4.11.Accid x sexo'!$J$4:$J$11</c:f>
              <c:numCache>
                <c:formatCode>0.0%</c:formatCode>
                <c:ptCount val="8"/>
                <c:pt idx="0">
                  <c:v>4.1262324431000112E-3</c:v>
                </c:pt>
                <c:pt idx="1">
                  <c:v>5.8595387041961615E-3</c:v>
                </c:pt>
                <c:pt idx="2">
                  <c:v>7.0485180750278773E-3</c:v>
                </c:pt>
                <c:pt idx="3">
                  <c:v>9.5494094711578367E-3</c:v>
                </c:pt>
                <c:pt idx="4">
                  <c:v>1.1335899058516615E-2</c:v>
                </c:pt>
                <c:pt idx="5">
                  <c:v>1.1717331156979951E-2</c:v>
                </c:pt>
                <c:pt idx="6">
                  <c:v>1.2129994129985919E-2</c:v>
                </c:pt>
                <c:pt idx="7">
                  <c:v>9.5419533230191901E-3</c:v>
                </c:pt>
              </c:numCache>
            </c:numRef>
          </c:val>
        </c:ser>
        <c:ser>
          <c:idx val="1"/>
          <c:order val="1"/>
          <c:tx>
            <c:strRef>
              <c:f>'V.4.11.Accid x sexo'!$K$3</c:f>
              <c:strCache>
                <c:ptCount val="1"/>
                <c:pt idx="0">
                  <c:v>% Accidentados / Afiliados  Masculino</c:v>
                </c:pt>
              </c:strCache>
            </c:strRef>
          </c:tx>
          <c:spPr>
            <a:solidFill>
              <a:schemeClr val="accent3">
                <a:lumMod val="75000"/>
              </a:schemeClr>
            </a:solidFill>
          </c:spPr>
          <c:invertIfNegative val="0"/>
          <c:dLbls>
            <c:dLbl>
              <c:idx val="0"/>
              <c:layout>
                <c:manualLayout>
                  <c:x val="6.5426005523700776E-3"/>
                  <c:y val="-2.7351109500372518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2046165305595481E-2"/>
                  <c:y val="-2.504103832286500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5.8587371565158369E-3"/>
                  <c:y val="-5.002711460617866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8.2717605281796957E-3"/>
                  <c:y val="-1.1414116650100331E-2"/>
                </c:manualLayout>
              </c:layout>
              <c:spPr/>
              <c:txPr>
                <a:bodyPr/>
                <a:lstStyle/>
                <a:p>
                  <a:pPr>
                    <a:defRPr sz="18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9.6703681982115829E-3"/>
                  <c:y val="-1.4806440351863801E-2"/>
                </c:manualLayout>
              </c:layout>
              <c:spPr>
                <a:noFill/>
                <a:ln>
                  <a:noFill/>
                </a:ln>
                <a:effectLst/>
              </c:spPr>
              <c:txPr>
                <a:bodyPr/>
                <a:lstStyle/>
                <a:p>
                  <a:pPr>
                    <a:defRPr sz="1800" b="1"/>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'V.4.11.Accid x sexo'!$A$4:$A$11</c:f>
              <c:strCache>
                <c:ptCount val="8"/>
                <c:pt idx="0">
                  <c:v>2008</c:v>
                </c:pt>
                <c:pt idx="1">
                  <c:v>2009</c:v>
                </c:pt>
                <c:pt idx="2">
                  <c:v>2010</c:v>
                </c:pt>
                <c:pt idx="3">
                  <c:v>2011</c:v>
                </c:pt>
                <c:pt idx="4">
                  <c:v>2012</c:v>
                </c:pt>
                <c:pt idx="5">
                  <c:v>2013</c:v>
                </c:pt>
                <c:pt idx="6">
                  <c:v>2014</c:v>
                </c:pt>
                <c:pt idx="7">
                  <c:v>Ene-Nov. 2015</c:v>
                </c:pt>
              </c:strCache>
            </c:strRef>
          </c:cat>
          <c:val>
            <c:numRef>
              <c:f>'V.4.11.Accid x sexo'!$K$4:$K$11</c:f>
              <c:numCache>
                <c:formatCode>0.0%</c:formatCode>
                <c:ptCount val="8"/>
                <c:pt idx="0">
                  <c:v>1.2979611588220547E-2</c:v>
                </c:pt>
                <c:pt idx="1">
                  <c:v>1.6517518558729825E-2</c:v>
                </c:pt>
                <c:pt idx="2">
                  <c:v>1.8257994456960403E-2</c:v>
                </c:pt>
                <c:pt idx="3">
                  <c:v>2.1815361183861855E-2</c:v>
                </c:pt>
                <c:pt idx="4">
                  <c:v>2.4360635512073788E-2</c:v>
                </c:pt>
                <c:pt idx="5">
                  <c:v>2.4247681743930209E-2</c:v>
                </c:pt>
                <c:pt idx="6">
                  <c:v>2.4084905076116211E-2</c:v>
                </c:pt>
                <c:pt idx="7">
                  <c:v>2.8953415339324728E-2</c:v>
                </c:pt>
              </c:numCache>
            </c:numRef>
          </c:val>
        </c:ser>
        <c:dLbls>
          <c:showLegendKey val="0"/>
          <c:showVal val="0"/>
          <c:showCatName val="0"/>
          <c:showSerName val="0"/>
          <c:showPercent val="0"/>
          <c:showBubbleSize val="0"/>
        </c:dLbls>
        <c:gapWidth val="150"/>
        <c:shape val="cylinder"/>
        <c:axId val="369922032"/>
        <c:axId val="369922424"/>
        <c:axId val="0"/>
      </c:bar3DChart>
      <c:catAx>
        <c:axId val="369922032"/>
        <c:scaling>
          <c:orientation val="minMax"/>
        </c:scaling>
        <c:delete val="0"/>
        <c:axPos val="b"/>
        <c:numFmt formatCode="General" sourceLinked="1"/>
        <c:majorTickMark val="none"/>
        <c:minorTickMark val="none"/>
        <c:tickLblPos val="nextTo"/>
        <c:txPr>
          <a:bodyPr/>
          <a:lstStyle/>
          <a:p>
            <a:pPr>
              <a:defRPr sz="1600"/>
            </a:pPr>
            <a:endParaRPr lang="es-ES"/>
          </a:p>
        </c:txPr>
        <c:crossAx val="369922424"/>
        <c:crosses val="autoZero"/>
        <c:auto val="1"/>
        <c:lblAlgn val="ctr"/>
        <c:lblOffset val="100"/>
        <c:noMultiLvlLbl val="0"/>
      </c:catAx>
      <c:valAx>
        <c:axId val="369922424"/>
        <c:scaling>
          <c:orientation val="minMax"/>
        </c:scaling>
        <c:delete val="1"/>
        <c:axPos val="l"/>
        <c:numFmt formatCode="0.0%" sourceLinked="1"/>
        <c:majorTickMark val="out"/>
        <c:minorTickMark val="none"/>
        <c:tickLblPos val="nextTo"/>
        <c:crossAx val="369922032"/>
        <c:crosses val="autoZero"/>
        <c:crossBetween val="between"/>
      </c:valAx>
    </c:plotArea>
    <c:legend>
      <c:legendPos val="t"/>
      <c:layout>
        <c:manualLayout>
          <c:xMode val="edge"/>
          <c:yMode val="edge"/>
          <c:x val="0.20233388876041034"/>
          <c:y val="8.5301251935330002E-2"/>
          <c:w val="0.54659541703361969"/>
          <c:h val="4.4931518667903285E-2"/>
        </c:manualLayout>
      </c:layout>
      <c:overlay val="0"/>
      <c:txPr>
        <a:bodyPr/>
        <a:lstStyle/>
        <a:p>
          <a:pPr>
            <a:defRPr sz="12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600"/>
            </a:pPr>
            <a:r>
              <a:rPr lang="en-US" sz="1600"/>
              <a:t>Seguro de Riesgos Laborales</a:t>
            </a:r>
          </a:p>
          <a:p>
            <a:pPr>
              <a:defRPr sz="1600"/>
            </a:pPr>
            <a:r>
              <a:rPr lang="en-US" sz="1600"/>
              <a:t>Comparación Reporte de Accidentes Laborales y Enfermedades Profesionales y Afilación al SRL por edad</a:t>
            </a:r>
          </a:p>
        </c:rich>
      </c:tx>
      <c:layout>
        <c:manualLayout>
          <c:xMode val="edge"/>
          <c:yMode val="edge"/>
          <c:x val="0.24448025284452674"/>
          <c:y val="1.5203198138347111E-2"/>
        </c:manualLayout>
      </c:layout>
      <c:overlay val="0"/>
    </c:title>
    <c:autoTitleDeleted val="0"/>
    <c:plotArea>
      <c:layout>
        <c:manualLayout>
          <c:layoutTarget val="inner"/>
          <c:xMode val="edge"/>
          <c:yMode val="edge"/>
          <c:x val="7.8155898079663791E-2"/>
          <c:y val="0.16912319684136348"/>
          <c:w val="0.86406135392400929"/>
          <c:h val="0.72911230134378513"/>
        </c:manualLayout>
      </c:layout>
      <c:barChart>
        <c:barDir val="bar"/>
        <c:grouping val="stacked"/>
        <c:varyColors val="0"/>
        <c:ser>
          <c:idx val="0"/>
          <c:order val="0"/>
          <c:tx>
            <c:strRef>
              <c:f>'V.4.12.Accid x edad'!$P$3</c:f>
              <c:strCache>
                <c:ptCount val="1"/>
                <c:pt idx="0">
                  <c:v>% Accid./Afil. menor de 20 años</c:v>
                </c:pt>
              </c:strCache>
            </c:strRef>
          </c:tx>
          <c:invertIfNegative val="0"/>
          <c:dLbls>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'V.4.12.Accid x edad'!$A$4:$A$11</c:f>
              <c:strCache>
                <c:ptCount val="8"/>
                <c:pt idx="0">
                  <c:v>2008</c:v>
                </c:pt>
                <c:pt idx="1">
                  <c:v>2009</c:v>
                </c:pt>
                <c:pt idx="2">
                  <c:v>2010</c:v>
                </c:pt>
                <c:pt idx="3">
                  <c:v>2011</c:v>
                </c:pt>
                <c:pt idx="4">
                  <c:v>2012</c:v>
                </c:pt>
                <c:pt idx="5">
                  <c:v>2013</c:v>
                </c:pt>
                <c:pt idx="6">
                  <c:v>2014</c:v>
                </c:pt>
                <c:pt idx="7">
                  <c:v>Ene- Nov. 2015</c:v>
                </c:pt>
              </c:strCache>
            </c:strRef>
          </c:cat>
          <c:val>
            <c:numRef>
              <c:f>'V.4.12.Accid x edad'!$P$4:$P$11</c:f>
              <c:numCache>
                <c:formatCode>0.00%</c:formatCode>
                <c:ptCount val="8"/>
                <c:pt idx="0">
                  <c:v>3.0449345339075211E-4</c:v>
                </c:pt>
                <c:pt idx="1">
                  <c:v>8.9968511021142601E-5</c:v>
                </c:pt>
                <c:pt idx="2">
                  <c:v>0</c:v>
                </c:pt>
                <c:pt idx="3">
                  <c:v>2.5826446280991736E-4</c:v>
                </c:pt>
                <c:pt idx="4">
                  <c:v>8.3818393480791613E-4</c:v>
                </c:pt>
                <c:pt idx="5">
                  <c:v>1.651367234931274E-3</c:v>
                </c:pt>
                <c:pt idx="6">
                  <c:v>3.8024620942059984E-3</c:v>
                </c:pt>
                <c:pt idx="7">
                  <c:v>5.3757018277386217E-3</c:v>
                </c:pt>
              </c:numCache>
            </c:numRef>
          </c:val>
        </c:ser>
        <c:ser>
          <c:idx val="1"/>
          <c:order val="1"/>
          <c:tx>
            <c:strRef>
              <c:f>'V.4.12.Accid x edad'!$Q$3</c:f>
              <c:strCache>
                <c:ptCount val="1"/>
                <c:pt idx="0">
                  <c:v>% Accid./Afil.  de 20 - 29 años</c:v>
                </c:pt>
              </c:strCache>
            </c:strRef>
          </c:tx>
          <c:spPr>
            <a:solidFill>
              <a:schemeClr val="accent2">
                <a:lumMod val="60000"/>
                <a:lumOff val="40000"/>
              </a:schemeClr>
            </a:solidFill>
          </c:spPr>
          <c:invertIfNegative val="0"/>
          <c:dLbls>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'V.4.12.Accid x edad'!$A$4:$A$11</c:f>
              <c:strCache>
                <c:ptCount val="8"/>
                <c:pt idx="0">
                  <c:v>2008</c:v>
                </c:pt>
                <c:pt idx="1">
                  <c:v>2009</c:v>
                </c:pt>
                <c:pt idx="2">
                  <c:v>2010</c:v>
                </c:pt>
                <c:pt idx="3">
                  <c:v>2011</c:v>
                </c:pt>
                <c:pt idx="4">
                  <c:v>2012</c:v>
                </c:pt>
                <c:pt idx="5">
                  <c:v>2013</c:v>
                </c:pt>
                <c:pt idx="6">
                  <c:v>2014</c:v>
                </c:pt>
                <c:pt idx="7">
                  <c:v>Ene- Nov. 2015</c:v>
                </c:pt>
              </c:strCache>
            </c:strRef>
          </c:cat>
          <c:val>
            <c:numRef>
              <c:f>'V.4.12.Accid x edad'!$Q$4:$Q$11</c:f>
              <c:numCache>
                <c:formatCode>0.00%</c:formatCode>
                <c:ptCount val="8"/>
                <c:pt idx="0">
                  <c:v>2.9357829513873071E-3</c:v>
                </c:pt>
                <c:pt idx="1">
                  <c:v>5.7924229155576924E-3</c:v>
                </c:pt>
                <c:pt idx="2">
                  <c:v>8.4947533989786911E-3</c:v>
                </c:pt>
                <c:pt idx="3">
                  <c:v>1.2757491242322479E-2</c:v>
                </c:pt>
                <c:pt idx="4">
                  <c:v>1.7182087642392645E-2</c:v>
                </c:pt>
                <c:pt idx="5">
                  <c:v>1.9743237197579935E-2</c:v>
                </c:pt>
                <c:pt idx="6">
                  <c:v>2.0935574814660123E-2</c:v>
                </c:pt>
                <c:pt idx="7">
                  <c:v>2.2434853420195439E-2</c:v>
                </c:pt>
              </c:numCache>
            </c:numRef>
          </c:val>
        </c:ser>
        <c:ser>
          <c:idx val="2"/>
          <c:order val="2"/>
          <c:tx>
            <c:strRef>
              <c:f>'V.4.12.Accid x edad'!$R$3</c:f>
              <c:strCache>
                <c:ptCount val="1"/>
                <c:pt idx="0">
                  <c:v>% Accid./Afil.  de 30 - 39 años</c:v>
                </c:pt>
              </c:strCache>
            </c:strRef>
          </c:tx>
          <c:spPr>
            <a:solidFill>
              <a:schemeClr val="accent3"/>
            </a:solidFill>
          </c:spPr>
          <c:invertIfNegative val="0"/>
          <c:dLbls>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'V.4.12.Accid x edad'!$A$4:$A$11</c:f>
              <c:strCache>
                <c:ptCount val="8"/>
                <c:pt idx="0">
                  <c:v>2008</c:v>
                </c:pt>
                <c:pt idx="1">
                  <c:v>2009</c:v>
                </c:pt>
                <c:pt idx="2">
                  <c:v>2010</c:v>
                </c:pt>
                <c:pt idx="3">
                  <c:v>2011</c:v>
                </c:pt>
                <c:pt idx="4">
                  <c:v>2012</c:v>
                </c:pt>
                <c:pt idx="5">
                  <c:v>2013</c:v>
                </c:pt>
                <c:pt idx="6">
                  <c:v>2014</c:v>
                </c:pt>
                <c:pt idx="7">
                  <c:v>Ene- Nov. 2015</c:v>
                </c:pt>
              </c:strCache>
            </c:strRef>
          </c:cat>
          <c:val>
            <c:numRef>
              <c:f>'V.4.12.Accid x edad'!$R$4:$R$11</c:f>
              <c:numCache>
                <c:formatCode>0.00%</c:formatCode>
                <c:ptCount val="8"/>
                <c:pt idx="0">
                  <c:v>1.1604510518549807E-2</c:v>
                </c:pt>
                <c:pt idx="1">
                  <c:v>1.5467795936976423E-2</c:v>
                </c:pt>
                <c:pt idx="2">
                  <c:v>1.6738850212332974E-2</c:v>
                </c:pt>
                <c:pt idx="3">
                  <c:v>1.9368460163483359E-2</c:v>
                </c:pt>
                <c:pt idx="4">
                  <c:v>2.0784305206575864E-2</c:v>
                </c:pt>
                <c:pt idx="5">
                  <c:v>2.0315473459989009E-2</c:v>
                </c:pt>
                <c:pt idx="6">
                  <c:v>1.8615486410441247E-2</c:v>
                </c:pt>
                <c:pt idx="7">
                  <c:v>1.9276500902608993E-2</c:v>
                </c:pt>
              </c:numCache>
            </c:numRef>
          </c:val>
        </c:ser>
        <c:ser>
          <c:idx val="3"/>
          <c:order val="3"/>
          <c:tx>
            <c:strRef>
              <c:f>'V.4.12.Accid x edad'!$S$3</c:f>
              <c:strCache>
                <c:ptCount val="1"/>
                <c:pt idx="0">
                  <c:v>% Accid./Afil.  de 40 - 49 años</c:v>
                </c:pt>
              </c:strCache>
            </c:strRef>
          </c:tx>
          <c:spPr>
            <a:solidFill>
              <a:schemeClr val="accent4">
                <a:lumMod val="60000"/>
                <a:lumOff val="40000"/>
              </a:schemeClr>
            </a:solidFill>
          </c:spPr>
          <c:invertIfNegative val="0"/>
          <c:dLbls>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'V.4.12.Accid x edad'!$A$4:$A$11</c:f>
              <c:strCache>
                <c:ptCount val="8"/>
                <c:pt idx="0">
                  <c:v>2008</c:v>
                </c:pt>
                <c:pt idx="1">
                  <c:v>2009</c:v>
                </c:pt>
                <c:pt idx="2">
                  <c:v>2010</c:v>
                </c:pt>
                <c:pt idx="3">
                  <c:v>2011</c:v>
                </c:pt>
                <c:pt idx="4">
                  <c:v>2012</c:v>
                </c:pt>
                <c:pt idx="5">
                  <c:v>2013</c:v>
                </c:pt>
                <c:pt idx="6">
                  <c:v>2014</c:v>
                </c:pt>
                <c:pt idx="7">
                  <c:v>Ene- Nov. 2015</c:v>
                </c:pt>
              </c:strCache>
            </c:strRef>
          </c:cat>
          <c:val>
            <c:numRef>
              <c:f>'V.4.12.Accid x edad'!$S$4:$S$11</c:f>
              <c:numCache>
                <c:formatCode>0.00%</c:formatCode>
                <c:ptCount val="8"/>
                <c:pt idx="0">
                  <c:v>1.1948734094591585E-2</c:v>
                </c:pt>
                <c:pt idx="1">
                  <c:v>1.4201634353231898E-2</c:v>
                </c:pt>
                <c:pt idx="2">
                  <c:v>1.5027346522277971E-2</c:v>
                </c:pt>
                <c:pt idx="3">
                  <c:v>1.7819632752746315E-2</c:v>
                </c:pt>
                <c:pt idx="4">
                  <c:v>1.8781905774406422E-2</c:v>
                </c:pt>
                <c:pt idx="5">
                  <c:v>1.7674785156308749E-2</c:v>
                </c:pt>
                <c:pt idx="6">
                  <c:v>1.7604457137401257E-2</c:v>
                </c:pt>
                <c:pt idx="7">
                  <c:v>1.6343193682237987E-2</c:v>
                </c:pt>
              </c:numCache>
            </c:numRef>
          </c:val>
        </c:ser>
        <c:ser>
          <c:idx val="4"/>
          <c:order val="4"/>
          <c:tx>
            <c:strRef>
              <c:f>'V.4.12.Accid x edad'!$T$3</c:f>
              <c:strCache>
                <c:ptCount val="1"/>
                <c:pt idx="0">
                  <c:v>%  Accid./Afil.  de 50 - 59 años</c:v>
                </c:pt>
              </c:strCache>
            </c:strRef>
          </c:tx>
          <c:spPr>
            <a:solidFill>
              <a:schemeClr val="bg2">
                <a:lumMod val="75000"/>
              </a:schemeClr>
            </a:solidFill>
          </c:spPr>
          <c:invertIfNegative val="0"/>
          <c:dLbls>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'V.4.12.Accid x edad'!$A$4:$A$11</c:f>
              <c:strCache>
                <c:ptCount val="8"/>
                <c:pt idx="0">
                  <c:v>2008</c:v>
                </c:pt>
                <c:pt idx="1">
                  <c:v>2009</c:v>
                </c:pt>
                <c:pt idx="2">
                  <c:v>2010</c:v>
                </c:pt>
                <c:pt idx="3">
                  <c:v>2011</c:v>
                </c:pt>
                <c:pt idx="4">
                  <c:v>2012</c:v>
                </c:pt>
                <c:pt idx="5">
                  <c:v>2013</c:v>
                </c:pt>
                <c:pt idx="6">
                  <c:v>2014</c:v>
                </c:pt>
                <c:pt idx="7">
                  <c:v>Ene- Nov. 2015</c:v>
                </c:pt>
              </c:strCache>
            </c:strRef>
          </c:cat>
          <c:val>
            <c:numRef>
              <c:f>'V.4.12.Accid x edad'!$T$4:$T$11</c:f>
              <c:numCache>
                <c:formatCode>0.00%</c:formatCode>
                <c:ptCount val="8"/>
                <c:pt idx="0">
                  <c:v>1.2258842443729904E-2</c:v>
                </c:pt>
                <c:pt idx="1">
                  <c:v>1.3721278396146586E-2</c:v>
                </c:pt>
                <c:pt idx="2">
                  <c:v>1.4867385637870758E-2</c:v>
                </c:pt>
                <c:pt idx="3">
                  <c:v>1.7458682468404242E-2</c:v>
                </c:pt>
                <c:pt idx="4">
                  <c:v>1.8911275102433796E-2</c:v>
                </c:pt>
                <c:pt idx="5">
                  <c:v>1.7448276547726752E-2</c:v>
                </c:pt>
                <c:pt idx="6">
                  <c:v>1.751579404029175E-2</c:v>
                </c:pt>
                <c:pt idx="7">
                  <c:v>1.4833637667649901E-2</c:v>
                </c:pt>
              </c:numCache>
            </c:numRef>
          </c:val>
        </c:ser>
        <c:ser>
          <c:idx val="5"/>
          <c:order val="5"/>
          <c:tx>
            <c:strRef>
              <c:f>'V.4.12.Accid x edad'!$U$3</c:f>
              <c:strCache>
                <c:ptCount val="1"/>
                <c:pt idx="0">
                  <c:v>%  Accid./Afil. mayor de 60 años</c:v>
                </c:pt>
              </c:strCache>
            </c:strRef>
          </c:tx>
          <c:invertIfNegative val="0"/>
          <c:dLbls>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'V.4.12.Accid x edad'!$A$4:$A$11</c:f>
              <c:strCache>
                <c:ptCount val="8"/>
                <c:pt idx="0">
                  <c:v>2008</c:v>
                </c:pt>
                <c:pt idx="1">
                  <c:v>2009</c:v>
                </c:pt>
                <c:pt idx="2">
                  <c:v>2010</c:v>
                </c:pt>
                <c:pt idx="3">
                  <c:v>2011</c:v>
                </c:pt>
                <c:pt idx="4">
                  <c:v>2012</c:v>
                </c:pt>
                <c:pt idx="5">
                  <c:v>2013</c:v>
                </c:pt>
                <c:pt idx="6">
                  <c:v>2014</c:v>
                </c:pt>
                <c:pt idx="7">
                  <c:v>Ene- Nov. 2015</c:v>
                </c:pt>
              </c:strCache>
            </c:strRef>
          </c:cat>
          <c:val>
            <c:numRef>
              <c:f>'V.4.12.Accid x edad'!$U$4:$U$11</c:f>
              <c:numCache>
                <c:formatCode>0.00%</c:formatCode>
                <c:ptCount val="8"/>
                <c:pt idx="0">
                  <c:v>1.6478615358132109E-2</c:v>
                </c:pt>
                <c:pt idx="1">
                  <c:v>1.5830038201192949E-2</c:v>
                </c:pt>
                <c:pt idx="2">
                  <c:v>1.6085155236098634E-2</c:v>
                </c:pt>
                <c:pt idx="3">
                  <c:v>1.8198475354581852E-2</c:v>
                </c:pt>
                <c:pt idx="4">
                  <c:v>1.9451066433197613E-2</c:v>
                </c:pt>
                <c:pt idx="5">
                  <c:v>1.7495982580086909E-2</c:v>
                </c:pt>
                <c:pt idx="6">
                  <c:v>1.9803217502145278E-2</c:v>
                </c:pt>
                <c:pt idx="7">
                  <c:v>1.1652395812516333E-2</c:v>
                </c:pt>
              </c:numCache>
            </c:numRef>
          </c:val>
        </c:ser>
        <c:dLbls>
          <c:showLegendKey val="0"/>
          <c:showVal val="1"/>
          <c:showCatName val="0"/>
          <c:showSerName val="0"/>
          <c:showPercent val="0"/>
          <c:showBubbleSize val="0"/>
        </c:dLbls>
        <c:gapWidth val="95"/>
        <c:overlap val="100"/>
        <c:axId val="369923208"/>
        <c:axId val="369923600"/>
      </c:barChart>
      <c:catAx>
        <c:axId val="369923208"/>
        <c:scaling>
          <c:orientation val="minMax"/>
        </c:scaling>
        <c:delete val="0"/>
        <c:axPos val="l"/>
        <c:numFmt formatCode="General" sourceLinked="1"/>
        <c:majorTickMark val="none"/>
        <c:minorTickMark val="none"/>
        <c:tickLblPos val="nextTo"/>
        <c:txPr>
          <a:bodyPr/>
          <a:lstStyle/>
          <a:p>
            <a:pPr>
              <a:defRPr sz="1200"/>
            </a:pPr>
            <a:endParaRPr lang="es-ES"/>
          </a:p>
        </c:txPr>
        <c:crossAx val="369923600"/>
        <c:crosses val="autoZero"/>
        <c:auto val="1"/>
        <c:lblAlgn val="ctr"/>
        <c:lblOffset val="100"/>
        <c:noMultiLvlLbl val="0"/>
      </c:catAx>
      <c:valAx>
        <c:axId val="369923600"/>
        <c:scaling>
          <c:orientation val="minMax"/>
        </c:scaling>
        <c:delete val="1"/>
        <c:axPos val="b"/>
        <c:numFmt formatCode="0.00%" sourceLinked="1"/>
        <c:majorTickMark val="out"/>
        <c:minorTickMark val="none"/>
        <c:tickLblPos val="nextTo"/>
        <c:crossAx val="369923208"/>
        <c:crosses val="autoZero"/>
        <c:crossBetween val="between"/>
      </c:valAx>
    </c:plotArea>
    <c:legend>
      <c:legendPos val="t"/>
      <c:layout>
        <c:manualLayout>
          <c:xMode val="edge"/>
          <c:yMode val="edge"/>
          <c:x val="1.1463211751097008E-2"/>
          <c:y val="0.10780876494023905"/>
          <c:w val="0.97620710756164319"/>
          <c:h val="2.722914117806987E-2"/>
        </c:manualLayout>
      </c:layout>
      <c:overlay val="0"/>
      <c:txPr>
        <a:bodyPr/>
        <a:lstStyle/>
        <a:p>
          <a:pPr>
            <a:defRPr sz="12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8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sz="1800" b="1">
                <a:effectLst/>
              </a:rPr>
              <a:t>Seguro de Riesgos Laborales</a:t>
            </a:r>
            <a:endParaRPr lang="es-ES">
              <a:effectLst/>
            </a:endParaRPr>
          </a:p>
          <a:p>
            <a:pPr>
              <a:defRPr/>
            </a:pPr>
            <a:r>
              <a:rPr lang="es-DO" sz="1800" b="1">
                <a:effectLst/>
              </a:rPr>
              <a:t>Cantidad de Expedientes Calificados  por la ARL Vs. Casos Reportados</a:t>
            </a:r>
            <a:endParaRPr lang="es-ES">
              <a:effectLst/>
            </a:endParaRPr>
          </a:p>
        </c:rich>
      </c:tx>
      <c:layout>
        <c:manualLayout>
          <c:xMode val="edge"/>
          <c:yMode val="edge"/>
          <c:x val="0.2101450691297789"/>
          <c:y val="4.1175542103399583E-2"/>
        </c:manualLayout>
      </c:layout>
      <c:overlay val="0"/>
    </c:title>
    <c:autoTitleDeleted val="0"/>
    <c:view3D>
      <c:rotX val="10"/>
      <c:rotY val="0"/>
      <c:rAngAx val="0"/>
      <c:perspective val="0"/>
    </c:view3D>
    <c:floor>
      <c:thickness val="0"/>
    </c:floor>
    <c:sideWall>
      <c:thickness val="0"/>
    </c:sideWall>
    <c:backWall>
      <c:thickness val="0"/>
    </c:backWall>
    <c:plotArea>
      <c:layout>
        <c:manualLayout>
          <c:layoutTarget val="inner"/>
          <c:xMode val="edge"/>
          <c:yMode val="edge"/>
          <c:x val="1.4259167979974865E-2"/>
          <c:y val="0.22146000613843153"/>
          <c:w val="0.96978524774876029"/>
          <c:h val="0.61658458518205261"/>
        </c:manualLayout>
      </c:layout>
      <c:bar3DChart>
        <c:barDir val="col"/>
        <c:grouping val="clustered"/>
        <c:varyColors val="0"/>
        <c:ser>
          <c:idx val="0"/>
          <c:order val="0"/>
          <c:tx>
            <c:strRef>
              <c:f>'V.4.13.EC. Accid. Lab'!$B$3</c:f>
              <c:strCache>
                <c:ptCount val="1"/>
                <c:pt idx="0">
                  <c:v>Total Casos Calificados</c:v>
                </c:pt>
              </c:strCache>
            </c:strRef>
          </c:tx>
          <c:invertIfNegative val="0"/>
          <c:dLbls>
            <c:dLbl>
              <c:idx val="0"/>
              <c:layout>
                <c:manualLayout>
                  <c:x val="2.8501636632705021E-3"/>
                  <c:y val="-1.065041846863731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4010108256903454E-3"/>
                  <c:y val="-8.0239202143412465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2.3255918629823545E-3"/>
                  <c:y val="-1.392126238434547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5.2331932518205971E-3"/>
                  <c:y val="-2.04215032151551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9.8823524529331082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9.882352452933188E-3"/>
                  <c:y val="-1.0835668974578917E-2"/>
                </c:manualLayout>
              </c:layout>
              <c:spPr>
                <a:noFill/>
                <a:ln>
                  <a:noFill/>
                </a:ln>
                <a:effectLst/>
              </c:spPr>
              <c:txPr>
                <a:bodyPr/>
                <a:lstStyle/>
                <a:p>
                  <a:pPr>
                    <a:defRPr sz="1600" b="1"/>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'V.4.13.EC. Accid. Lab'!$A$4:$A$10</c:f>
              <c:strCache>
                <c:ptCount val="7"/>
                <c:pt idx="0">
                  <c:v>2009</c:v>
                </c:pt>
                <c:pt idx="1">
                  <c:v>2010</c:v>
                </c:pt>
                <c:pt idx="2">
                  <c:v>2011</c:v>
                </c:pt>
                <c:pt idx="3">
                  <c:v>2012</c:v>
                </c:pt>
                <c:pt idx="4">
                  <c:v>2013</c:v>
                </c:pt>
                <c:pt idx="5">
                  <c:v>2014</c:v>
                </c:pt>
                <c:pt idx="6">
                  <c:v>Ene.Nov. 2015</c:v>
                </c:pt>
              </c:strCache>
            </c:strRef>
          </c:cat>
          <c:val>
            <c:numRef>
              <c:f>'V.4.13.EC. Accid. Lab'!$B$4:$B$10</c:f>
              <c:numCache>
                <c:formatCode>_(* #,##0_);_(* \(#,##0\);_(* "-"??_);_(@_)</c:formatCode>
                <c:ptCount val="7"/>
                <c:pt idx="0">
                  <c:v>14329</c:v>
                </c:pt>
                <c:pt idx="1">
                  <c:v>16871</c:v>
                </c:pt>
                <c:pt idx="2">
                  <c:v>21189</c:v>
                </c:pt>
                <c:pt idx="3">
                  <c:v>26301</c:v>
                </c:pt>
                <c:pt idx="4">
                  <c:v>28752</c:v>
                </c:pt>
                <c:pt idx="5">
                  <c:v>30331</c:v>
                </c:pt>
                <c:pt idx="6">
                  <c:v>30981</c:v>
                </c:pt>
              </c:numCache>
            </c:numRef>
          </c:val>
        </c:ser>
        <c:ser>
          <c:idx val="1"/>
          <c:order val="1"/>
          <c:tx>
            <c:strRef>
              <c:f>'V.4.13.EC. Accid. Lab'!$C$3</c:f>
              <c:strCache>
                <c:ptCount val="1"/>
                <c:pt idx="0">
                  <c:v>Total Casos Reportados</c:v>
                </c:pt>
              </c:strCache>
            </c:strRef>
          </c:tx>
          <c:spPr>
            <a:solidFill>
              <a:schemeClr val="accent3">
                <a:lumMod val="75000"/>
              </a:schemeClr>
            </a:solidFill>
          </c:spPr>
          <c:invertIfNegative val="0"/>
          <c:dLbls>
            <c:dLbl>
              <c:idx val="0"/>
              <c:layout>
                <c:manualLayout>
                  <c:x val="1.6423621137741821E-2"/>
                  <c:y val="-2.939940963564024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8.0130976975102946E-3"/>
                  <c:y val="-1.7459347034953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5296854667075357E-2"/>
                  <c:y val="-1.037999578513226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6.9218703488290092E-3"/>
                  <c:y val="-1.513215307607553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8.8471695490050552E-3"/>
                  <c:y val="-3.033987312882074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1.2769485737069434E-2"/>
                  <c:y val="-1.516993656441037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6.4325209111613813E-3"/>
                  <c:y val="-1.5169936564410293E-2"/>
                </c:manualLayout>
              </c:layout>
              <c:spPr>
                <a:noFill/>
                <a:ln>
                  <a:noFill/>
                </a:ln>
                <a:effectLst/>
              </c:spPr>
              <c:txPr>
                <a:bodyPr/>
                <a:lstStyle/>
                <a:p>
                  <a:pPr>
                    <a:defRPr sz="1600" b="1"/>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'V.4.13.EC. Accid. Lab'!$A$4:$A$10</c:f>
              <c:strCache>
                <c:ptCount val="7"/>
                <c:pt idx="0">
                  <c:v>2009</c:v>
                </c:pt>
                <c:pt idx="1">
                  <c:v>2010</c:v>
                </c:pt>
                <c:pt idx="2">
                  <c:v>2011</c:v>
                </c:pt>
                <c:pt idx="3">
                  <c:v>2012</c:v>
                </c:pt>
                <c:pt idx="4">
                  <c:v>2013</c:v>
                </c:pt>
                <c:pt idx="5">
                  <c:v>2014</c:v>
                </c:pt>
                <c:pt idx="6">
                  <c:v>Ene.Nov. 2015</c:v>
                </c:pt>
              </c:strCache>
            </c:strRef>
          </c:cat>
          <c:val>
            <c:numRef>
              <c:f>'V.4.13.EC. Accid. Lab'!$C$4:$C$10</c:f>
              <c:numCache>
                <c:formatCode>_(* #,##0_);_(* \(#,##0\);_(* "-"??_);_(@_)</c:formatCode>
                <c:ptCount val="7"/>
                <c:pt idx="0">
                  <c:v>14683</c:v>
                </c:pt>
                <c:pt idx="1">
                  <c:v>17456</c:v>
                </c:pt>
                <c:pt idx="2">
                  <c:v>22597</c:v>
                </c:pt>
                <c:pt idx="3">
                  <c:v>26688</c:v>
                </c:pt>
                <c:pt idx="4">
                  <c:v>28635</c:v>
                </c:pt>
                <c:pt idx="5">
                  <c:v>31032</c:v>
                </c:pt>
                <c:pt idx="6">
                  <c:v>31818</c:v>
                </c:pt>
              </c:numCache>
            </c:numRef>
          </c:val>
        </c:ser>
        <c:dLbls>
          <c:showLegendKey val="0"/>
          <c:showVal val="0"/>
          <c:showCatName val="0"/>
          <c:showSerName val="0"/>
          <c:showPercent val="0"/>
          <c:showBubbleSize val="0"/>
        </c:dLbls>
        <c:gapWidth val="150"/>
        <c:shape val="cylinder"/>
        <c:axId val="369924384"/>
        <c:axId val="369924776"/>
        <c:axId val="0"/>
      </c:bar3DChart>
      <c:catAx>
        <c:axId val="369924384"/>
        <c:scaling>
          <c:orientation val="minMax"/>
        </c:scaling>
        <c:delete val="0"/>
        <c:axPos val="b"/>
        <c:numFmt formatCode="General" sourceLinked="1"/>
        <c:majorTickMark val="none"/>
        <c:minorTickMark val="none"/>
        <c:tickLblPos val="nextTo"/>
        <c:txPr>
          <a:bodyPr/>
          <a:lstStyle/>
          <a:p>
            <a:pPr>
              <a:defRPr sz="1400"/>
            </a:pPr>
            <a:endParaRPr lang="es-ES"/>
          </a:p>
        </c:txPr>
        <c:crossAx val="369924776"/>
        <c:crosses val="autoZero"/>
        <c:auto val="1"/>
        <c:lblAlgn val="ctr"/>
        <c:lblOffset val="100"/>
        <c:noMultiLvlLbl val="0"/>
      </c:catAx>
      <c:valAx>
        <c:axId val="369924776"/>
        <c:scaling>
          <c:orientation val="minMax"/>
        </c:scaling>
        <c:delete val="1"/>
        <c:axPos val="l"/>
        <c:numFmt formatCode="_(* #,##0_);_(* \(#,##0\);_(* &quot;-&quot;??_);_(@_)" sourceLinked="1"/>
        <c:majorTickMark val="out"/>
        <c:minorTickMark val="none"/>
        <c:tickLblPos val="nextTo"/>
        <c:crossAx val="369924384"/>
        <c:crosses val="autoZero"/>
        <c:crossBetween val="between"/>
      </c:valAx>
    </c:plotArea>
    <c:legend>
      <c:legendPos val="t"/>
      <c:layout>
        <c:manualLayout>
          <c:xMode val="edge"/>
          <c:yMode val="edge"/>
          <c:x val="0.21971971123818007"/>
          <c:y val="0.14060722406371717"/>
          <c:w val="0.5357628982271988"/>
          <c:h val="5.3145462174225659E-2"/>
        </c:manualLayout>
      </c:layout>
      <c:overlay val="0"/>
      <c:txPr>
        <a:bodyPr/>
        <a:lstStyle/>
        <a:p>
          <a:pPr>
            <a:defRPr sz="1400"/>
          </a:pPr>
          <a:endParaRPr lang="es-ES"/>
        </a:p>
      </c:txPr>
    </c:legend>
    <c:plotVisOnly val="1"/>
    <c:dispBlanksAs val="gap"/>
    <c:showDLblsOverMax val="0"/>
  </c:chart>
  <c:spPr>
    <a:ln>
      <a:solidFill>
        <a:schemeClr val="bg1"/>
      </a:solidFill>
    </a:ln>
  </c:spPr>
  <c:printSettings>
    <c:headerFooter/>
    <c:pageMargins b="0.75" l="0.7" r="0.7" t="0.75" header="0.3" footer="0.3"/>
    <c:pageSetup/>
  </c:printSettings>
  <c:userShapes r:id="rId1"/>
</c:chartSpace>
</file>

<file path=xl/charts/chart8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sz="1800" b="1">
                <a:effectLst/>
              </a:rPr>
              <a:t>Cantidad de Expedientes de Accidentes Laborales Calificados por la ARL</a:t>
            </a:r>
            <a:endParaRPr lang="es-ES">
              <a:effectLst/>
            </a:endParaRPr>
          </a:p>
        </c:rich>
      </c:tx>
      <c:layout>
        <c:manualLayout>
          <c:xMode val="edge"/>
          <c:yMode val="edge"/>
          <c:x val="0.20983837334229827"/>
          <c:y val="3.2524672653255232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2.4854912157380872E-2"/>
          <c:y val="0.22072403848189512"/>
          <c:w val="0.94053769241660767"/>
          <c:h val="0.55472529947722282"/>
        </c:manualLayout>
      </c:layout>
      <c:bar3DChart>
        <c:barDir val="col"/>
        <c:grouping val="clustered"/>
        <c:varyColors val="0"/>
        <c:ser>
          <c:idx val="0"/>
          <c:order val="0"/>
          <c:tx>
            <c:strRef>
              <c:f>'V.4.14.EC. Accid. Lab.'!$E$3</c:f>
              <c:strCache>
                <c:ptCount val="1"/>
                <c:pt idx="0">
                  <c:v>% Aprobado</c:v>
                </c:pt>
              </c:strCache>
            </c:strRef>
          </c:tx>
          <c:invertIfNegative val="0"/>
          <c:dLbls>
            <c:dLbl>
              <c:idx val="0"/>
              <c:layout>
                <c:manualLayout>
                  <c:x val="6.5426097451349741E-3"/>
                  <c:y val="-1.5153537828235579E-2"/>
                </c:manualLayout>
              </c:layout>
              <c:tx>
                <c:rich>
                  <a:bodyPr/>
                  <a:lstStyle/>
                  <a:p>
                    <a:r>
                      <a:rPr lang="en-US" sz="1600"/>
                      <a:t>93.0%</a:t>
                    </a:r>
                    <a:endParaRPr lang="en-US"/>
                  </a:p>
                </c:rich>
              </c:tx>
              <c:showLegendKey val="0"/>
              <c:showVal val="0"/>
              <c:showCatName val="0"/>
              <c:showSerName val="0"/>
              <c:showPercent val="0"/>
              <c:showBubbleSize val="0"/>
              <c:extLst>
                <c:ext xmlns:c15="http://schemas.microsoft.com/office/drawing/2012/chart" uri="{CE6537A1-D6FC-4f65-9D91-7224C49458BB}">
                  <c15:layout/>
                </c:ext>
              </c:extLst>
            </c:dLbl>
            <c:dLbl>
              <c:idx val="1"/>
              <c:layout>
                <c:manualLayout>
                  <c:x val="1.1951908281082495E-2"/>
                  <c:y val="-1.293672135351933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8.4327174221033446E-3"/>
                  <c:y val="-1.62578236324880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2214219063590014E-2"/>
                  <c:y val="-1.240782195720142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4.7770962683637268E-3"/>
                  <c:y val="-1.734649208173612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3.5005396895048859E-3"/>
                  <c:y val="-1.113934051946520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5.8342328158414768E-3"/>
                  <c:y val="-1.5595076727251231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'V.4.14.EC. Accid. Lab.'!$A$4:$A$10</c:f>
              <c:strCache>
                <c:ptCount val="7"/>
                <c:pt idx="0">
                  <c:v>2009</c:v>
                </c:pt>
                <c:pt idx="1">
                  <c:v>2010</c:v>
                </c:pt>
                <c:pt idx="2">
                  <c:v>2011</c:v>
                </c:pt>
                <c:pt idx="3">
                  <c:v>2012</c:v>
                </c:pt>
                <c:pt idx="4">
                  <c:v>2013</c:v>
                </c:pt>
                <c:pt idx="5">
                  <c:v>2014</c:v>
                </c:pt>
                <c:pt idx="6">
                  <c:v>Ene-Nov. 2015</c:v>
                </c:pt>
              </c:strCache>
            </c:strRef>
          </c:cat>
          <c:val>
            <c:numRef>
              <c:f>'V.4.14.EC. Accid. Lab.'!$E$4:$E$10</c:f>
              <c:numCache>
                <c:formatCode>0.00%</c:formatCode>
                <c:ptCount val="7"/>
                <c:pt idx="0">
                  <c:v>0.93000209365622166</c:v>
                </c:pt>
                <c:pt idx="1">
                  <c:v>0.92744946950388241</c:v>
                </c:pt>
                <c:pt idx="2">
                  <c:v>0.96894615130492234</c:v>
                </c:pt>
                <c:pt idx="3">
                  <c:v>0.95943120033458806</c:v>
                </c:pt>
                <c:pt idx="4">
                  <c:v>0.94156928213689484</c:v>
                </c:pt>
                <c:pt idx="5">
                  <c:v>0.94695196333783915</c:v>
                </c:pt>
                <c:pt idx="6">
                  <c:v>0.94412704560859884</c:v>
                </c:pt>
              </c:numCache>
            </c:numRef>
          </c:val>
        </c:ser>
        <c:ser>
          <c:idx val="1"/>
          <c:order val="1"/>
          <c:tx>
            <c:strRef>
              <c:f>'V.4.14.EC. Accid. Lab.'!$F$3</c:f>
              <c:strCache>
                <c:ptCount val="1"/>
                <c:pt idx="0">
                  <c:v>% Declinado</c:v>
                </c:pt>
              </c:strCache>
            </c:strRef>
          </c:tx>
          <c:spPr>
            <a:solidFill>
              <a:schemeClr val="accent3">
                <a:lumMod val="75000"/>
              </a:schemeClr>
            </a:solidFill>
          </c:spPr>
          <c:invertIfNegative val="0"/>
          <c:dLbls>
            <c:dLbl>
              <c:idx val="0"/>
              <c:layout>
                <c:manualLayout>
                  <c:x val="8.4297882044277479E-3"/>
                  <c:y val="-2.0444616543499664E-2"/>
                </c:manualLayout>
              </c:layout>
              <c:tx>
                <c:rich>
                  <a:bodyPr/>
                  <a:lstStyle/>
                  <a:p>
                    <a:r>
                      <a:rPr lang="en-US" sz="1800"/>
                      <a:t>7.0%</a:t>
                    </a:r>
                    <a:endParaRPr lang="en-US"/>
                  </a:p>
                </c:rich>
              </c:tx>
              <c:showLegendKey val="0"/>
              <c:showVal val="0"/>
              <c:showCatName val="0"/>
              <c:showSerName val="0"/>
              <c:showPercent val="0"/>
              <c:showBubbleSize val="0"/>
              <c:extLst>
                <c:ext xmlns:c15="http://schemas.microsoft.com/office/drawing/2012/chart" uri="{CE6537A1-D6FC-4f65-9D91-7224C49458BB}">
                  <c15:layout/>
                </c:ext>
              </c:extLst>
            </c:dLbl>
            <c:dLbl>
              <c:idx val="1"/>
              <c:layout>
                <c:manualLayout>
                  <c:x val="1.7208360858842919E-2"/>
                  <c:y val="-1.407046363622084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5352158039133633E-2"/>
                  <c:y val="-1.598352902771546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7243060632918323E-2"/>
                  <c:y val="-2.177838422206787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1.1942740670909318E-2"/>
                  <c:y val="-1.734649208173612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6114016910836016E-2"/>
                  <c:y val="-6.5681444991789817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'V.4.14.EC. Accid. Lab.'!$A$4:$A$10</c:f>
              <c:strCache>
                <c:ptCount val="7"/>
                <c:pt idx="0">
                  <c:v>2009</c:v>
                </c:pt>
                <c:pt idx="1">
                  <c:v>2010</c:v>
                </c:pt>
                <c:pt idx="2">
                  <c:v>2011</c:v>
                </c:pt>
                <c:pt idx="3">
                  <c:v>2012</c:v>
                </c:pt>
                <c:pt idx="4">
                  <c:v>2013</c:v>
                </c:pt>
                <c:pt idx="5">
                  <c:v>2014</c:v>
                </c:pt>
                <c:pt idx="6">
                  <c:v>Ene-Nov. 2015</c:v>
                </c:pt>
              </c:strCache>
            </c:strRef>
          </c:cat>
          <c:val>
            <c:numRef>
              <c:f>'V.4.14.EC. Accid. Lab.'!$F$4:$F$10</c:f>
              <c:numCache>
                <c:formatCode>0.00%</c:formatCode>
                <c:ptCount val="7"/>
                <c:pt idx="0">
                  <c:v>6.9997906343778352E-2</c:v>
                </c:pt>
                <c:pt idx="1">
                  <c:v>7.2550530496117593E-2</c:v>
                </c:pt>
                <c:pt idx="2">
                  <c:v>3.1053848695077636E-2</c:v>
                </c:pt>
                <c:pt idx="3">
                  <c:v>4.0568799665411964E-2</c:v>
                </c:pt>
                <c:pt idx="4">
                  <c:v>5.8430717863105178E-2</c:v>
                </c:pt>
                <c:pt idx="5">
                  <c:v>5.3048036662160826E-2</c:v>
                </c:pt>
                <c:pt idx="6">
                  <c:v>5.5872954391401185E-2</c:v>
                </c:pt>
              </c:numCache>
            </c:numRef>
          </c:val>
        </c:ser>
        <c:dLbls>
          <c:showLegendKey val="0"/>
          <c:showVal val="0"/>
          <c:showCatName val="0"/>
          <c:showSerName val="0"/>
          <c:showPercent val="0"/>
          <c:showBubbleSize val="0"/>
        </c:dLbls>
        <c:gapWidth val="75"/>
        <c:shape val="cylinder"/>
        <c:axId val="369925560"/>
        <c:axId val="369925952"/>
        <c:axId val="0"/>
      </c:bar3DChart>
      <c:catAx>
        <c:axId val="369925560"/>
        <c:scaling>
          <c:orientation val="minMax"/>
        </c:scaling>
        <c:delete val="0"/>
        <c:axPos val="b"/>
        <c:numFmt formatCode="General" sourceLinked="1"/>
        <c:majorTickMark val="none"/>
        <c:minorTickMark val="none"/>
        <c:tickLblPos val="nextTo"/>
        <c:txPr>
          <a:bodyPr/>
          <a:lstStyle/>
          <a:p>
            <a:pPr>
              <a:defRPr sz="1600"/>
            </a:pPr>
            <a:endParaRPr lang="es-ES"/>
          </a:p>
        </c:txPr>
        <c:crossAx val="369925952"/>
        <c:crosses val="autoZero"/>
        <c:auto val="1"/>
        <c:lblAlgn val="ctr"/>
        <c:lblOffset val="100"/>
        <c:noMultiLvlLbl val="0"/>
      </c:catAx>
      <c:valAx>
        <c:axId val="369925952"/>
        <c:scaling>
          <c:orientation val="minMax"/>
        </c:scaling>
        <c:delete val="1"/>
        <c:axPos val="l"/>
        <c:numFmt formatCode="0.00%" sourceLinked="1"/>
        <c:majorTickMark val="out"/>
        <c:minorTickMark val="none"/>
        <c:tickLblPos val="nextTo"/>
        <c:crossAx val="369925560"/>
        <c:crosses val="autoZero"/>
        <c:crossBetween val="between"/>
      </c:valAx>
    </c:plotArea>
    <c:legend>
      <c:legendPos val="t"/>
      <c:layout>
        <c:manualLayout>
          <c:xMode val="edge"/>
          <c:yMode val="edge"/>
          <c:x val="0.28542087581665537"/>
          <c:y val="8.5263813510185596E-2"/>
          <c:w val="0.44740132280776618"/>
          <c:h val="4.7188078366333305E-2"/>
        </c:manualLayout>
      </c:layout>
      <c:overlay val="0"/>
      <c:txPr>
        <a:bodyPr/>
        <a:lstStyle/>
        <a:p>
          <a:pPr>
            <a:defRPr sz="14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8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n-US" sz="1600"/>
              <a:t>Cantidad de Expedientes Calificados por la ARL por Tipo de Accidente</a:t>
            </a:r>
          </a:p>
        </c:rich>
      </c:tx>
      <c:layout>
        <c:manualLayout>
          <c:xMode val="edge"/>
          <c:yMode val="edge"/>
          <c:x val="0.28013282636810632"/>
          <c:y val="4.1554149993545883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6.1080968380781482E-2"/>
          <c:y val="0.28608220436041204"/>
          <c:w val="0.91908742986902914"/>
          <c:h val="0.53777980979535078"/>
        </c:manualLayout>
      </c:layout>
      <c:bar3DChart>
        <c:barDir val="col"/>
        <c:grouping val="clustered"/>
        <c:varyColors val="0"/>
        <c:ser>
          <c:idx val="0"/>
          <c:order val="0"/>
          <c:tx>
            <c:strRef>
              <c:f>'V.4.15.EC. Accid. Lab x tipo'!$G$3</c:f>
              <c:strCache>
                <c:ptCount val="1"/>
                <c:pt idx="0">
                  <c:v>%   Trabajo</c:v>
                </c:pt>
              </c:strCache>
            </c:strRef>
          </c:tx>
          <c:spPr>
            <a:solidFill>
              <a:srgbClr val="0070C0"/>
            </a:solidFill>
          </c:spPr>
          <c:invertIfNegative val="0"/>
          <c:dLbls>
            <c:dLbl>
              <c:idx val="0"/>
              <c:layout>
                <c:manualLayout>
                  <c:x val="8.5452357238351082E-3"/>
                  <c:y val="-9.884823055448755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8.0380017627992937E-3"/>
                  <c:y val="-1.400912722956821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7.4505113397241828E-3"/>
                  <c:y val="-1.000668661506832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5257365744551991E-2"/>
                  <c:y val="-1.090586917637615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'V.4.15.EC. Accid. Lab x tipo'!$A$4:$A$10</c:f>
              <c:strCache>
                <c:ptCount val="7"/>
                <c:pt idx="0">
                  <c:v>2009</c:v>
                </c:pt>
                <c:pt idx="1">
                  <c:v>2010</c:v>
                </c:pt>
                <c:pt idx="2">
                  <c:v>2011</c:v>
                </c:pt>
                <c:pt idx="3">
                  <c:v>2012</c:v>
                </c:pt>
                <c:pt idx="4">
                  <c:v>2013</c:v>
                </c:pt>
                <c:pt idx="5">
                  <c:v>2014</c:v>
                </c:pt>
                <c:pt idx="6">
                  <c:v>Ene-Nov. 2015</c:v>
                </c:pt>
              </c:strCache>
            </c:strRef>
          </c:cat>
          <c:val>
            <c:numRef>
              <c:f>'V.4.15.EC. Accid. Lab x tipo'!$G$4:$G$10</c:f>
              <c:numCache>
                <c:formatCode>0.00%</c:formatCode>
                <c:ptCount val="7"/>
                <c:pt idx="0">
                  <c:v>0.76865098750785121</c:v>
                </c:pt>
                <c:pt idx="1">
                  <c:v>0.77037520004741866</c:v>
                </c:pt>
                <c:pt idx="2">
                  <c:v>0.74137524187078196</c:v>
                </c:pt>
                <c:pt idx="3">
                  <c:v>0.72179765027945708</c:v>
                </c:pt>
                <c:pt idx="4">
                  <c:v>0.68743043962159156</c:v>
                </c:pt>
                <c:pt idx="5">
                  <c:v>0.68853648082819563</c:v>
                </c:pt>
                <c:pt idx="6">
                  <c:v>0.67260579064587978</c:v>
                </c:pt>
              </c:numCache>
            </c:numRef>
          </c:val>
        </c:ser>
        <c:ser>
          <c:idx val="1"/>
          <c:order val="1"/>
          <c:tx>
            <c:strRef>
              <c:f>'V.4.15.EC. Accid. Lab x tipo'!$H$3</c:f>
              <c:strCache>
                <c:ptCount val="1"/>
                <c:pt idx="0">
                  <c:v>%   Trayecto</c:v>
                </c:pt>
              </c:strCache>
            </c:strRef>
          </c:tx>
          <c:spPr>
            <a:solidFill>
              <a:schemeClr val="accent3">
                <a:lumMod val="75000"/>
              </a:schemeClr>
            </a:solidFill>
          </c:spPr>
          <c:invertIfNegative val="0"/>
          <c:dLbls>
            <c:dLbl>
              <c:idx val="0"/>
              <c:layout>
                <c:manualLayout>
                  <c:x val="1.8582334012152917E-2"/>
                  <c:y val="-8.233085567378249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4618227421122067E-2"/>
                  <c:y val="-1.15476525650692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4233261873467754E-2"/>
                  <c:y val="-7.782836791400796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6747527233969134E-2"/>
                  <c:y val="-8.6211973179931116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'V.4.15.EC. Accid. Lab x tipo'!$A$4:$A$10</c:f>
              <c:strCache>
                <c:ptCount val="7"/>
                <c:pt idx="0">
                  <c:v>2009</c:v>
                </c:pt>
                <c:pt idx="1">
                  <c:v>2010</c:v>
                </c:pt>
                <c:pt idx="2">
                  <c:v>2011</c:v>
                </c:pt>
                <c:pt idx="3">
                  <c:v>2012</c:v>
                </c:pt>
                <c:pt idx="4">
                  <c:v>2013</c:v>
                </c:pt>
                <c:pt idx="5">
                  <c:v>2014</c:v>
                </c:pt>
                <c:pt idx="6">
                  <c:v>Ene-Nov. 2015</c:v>
                </c:pt>
              </c:strCache>
            </c:strRef>
          </c:cat>
          <c:val>
            <c:numRef>
              <c:f>'V.4.15.EC. Accid. Lab x tipo'!$H$4:$H$10</c:f>
              <c:numCache>
                <c:formatCode>0.00%</c:formatCode>
                <c:ptCount val="7"/>
                <c:pt idx="0">
                  <c:v>0.15192965315095261</c:v>
                </c:pt>
                <c:pt idx="1">
                  <c:v>0.14960583249362813</c:v>
                </c:pt>
                <c:pt idx="2">
                  <c:v>0.21987823870876397</c:v>
                </c:pt>
                <c:pt idx="3">
                  <c:v>0.22945895593323448</c:v>
                </c:pt>
                <c:pt idx="4">
                  <c:v>0.24568725653867557</c:v>
                </c:pt>
                <c:pt idx="5">
                  <c:v>0.24878836833602586</c:v>
                </c:pt>
                <c:pt idx="6">
                  <c:v>0.26299990316645688</c:v>
                </c:pt>
              </c:numCache>
            </c:numRef>
          </c:val>
        </c:ser>
        <c:ser>
          <c:idx val="2"/>
          <c:order val="2"/>
          <c:tx>
            <c:strRef>
              <c:f>'V.4.15.EC. Accid. Lab x tipo'!$I$3</c:f>
              <c:strCache>
                <c:ptCount val="1"/>
                <c:pt idx="0">
                  <c:v>%  Conexo</c:v>
                </c:pt>
              </c:strCache>
            </c:strRef>
          </c:tx>
          <c:spPr>
            <a:solidFill>
              <a:schemeClr val="accent6">
                <a:lumMod val="75000"/>
              </a:schemeClr>
            </a:solidFill>
          </c:spPr>
          <c:invertIfNegative val="0"/>
          <c:dLbls>
            <c:dLbl>
              <c:idx val="0"/>
              <c:layout>
                <c:manualLayout>
                  <c:x val="6.3889824814756958E-3"/>
                  <c:y val="-2.060214346058518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9.9162416550379537E-3"/>
                  <c:y val="-1.153458500220536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8.9672340040111848E-3"/>
                  <c:y val="-1.574250995298562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4507910704238814E-2"/>
                  <c:y val="-1.1047686437431672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'V.4.15.EC. Accid. Lab x tipo'!$A$4:$A$10</c:f>
              <c:strCache>
                <c:ptCount val="7"/>
                <c:pt idx="0">
                  <c:v>2009</c:v>
                </c:pt>
                <c:pt idx="1">
                  <c:v>2010</c:v>
                </c:pt>
                <c:pt idx="2">
                  <c:v>2011</c:v>
                </c:pt>
                <c:pt idx="3">
                  <c:v>2012</c:v>
                </c:pt>
                <c:pt idx="4">
                  <c:v>2013</c:v>
                </c:pt>
                <c:pt idx="5">
                  <c:v>2014</c:v>
                </c:pt>
                <c:pt idx="6">
                  <c:v>Ene-Nov. 2015</c:v>
                </c:pt>
              </c:strCache>
            </c:strRef>
          </c:cat>
          <c:val>
            <c:numRef>
              <c:f>'V.4.15.EC. Accid. Lab x tipo'!$I$4:$I$10</c:f>
              <c:numCache>
                <c:formatCode>0.00%</c:formatCode>
                <c:ptCount val="7"/>
                <c:pt idx="0">
                  <c:v>8.9329332123665294E-3</c:v>
                </c:pt>
                <c:pt idx="1">
                  <c:v>7.4684369628356352E-3</c:v>
                </c:pt>
                <c:pt idx="2">
                  <c:v>7.6926707253763748E-3</c:v>
                </c:pt>
                <c:pt idx="3">
                  <c:v>8.1745941218965053E-3</c:v>
                </c:pt>
                <c:pt idx="4">
                  <c:v>8.451585976627712E-3</c:v>
                </c:pt>
                <c:pt idx="5">
                  <c:v>9.6271141736177512E-3</c:v>
                </c:pt>
                <c:pt idx="6">
                  <c:v>8.4890739485491105E-3</c:v>
                </c:pt>
              </c:numCache>
            </c:numRef>
          </c:val>
        </c:ser>
        <c:ser>
          <c:idx val="3"/>
          <c:order val="3"/>
          <c:tx>
            <c:strRef>
              <c:f>'V.4.15.EC. Accid. Lab x tipo'!$J$3</c:f>
              <c:strCache>
                <c:ptCount val="1"/>
                <c:pt idx="0">
                  <c:v>% No Especificados</c:v>
                </c:pt>
              </c:strCache>
            </c:strRef>
          </c:tx>
          <c:spPr>
            <a:solidFill>
              <a:schemeClr val="accent5">
                <a:lumMod val="75000"/>
              </a:schemeClr>
            </a:solidFill>
          </c:spPr>
          <c:invertIfNegative val="0"/>
          <c:dLbls>
            <c:dLbl>
              <c:idx val="0"/>
              <c:layout>
                <c:manualLayout>
                  <c:x val="1.6229021483815755E-2"/>
                  <c:y val="-3.301087338962426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8.758947151925156E-3"/>
                  <c:y val="-1.190709539813045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5447900296970072E-2"/>
                  <c:y val="-1.613011488318058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2.9251955839648659E-2"/>
                  <c:y val="-1.9216874012670339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'V.4.15.EC. Accid. Lab x tipo'!$A$4:$A$10</c:f>
              <c:strCache>
                <c:ptCount val="7"/>
                <c:pt idx="0">
                  <c:v>2009</c:v>
                </c:pt>
                <c:pt idx="1">
                  <c:v>2010</c:v>
                </c:pt>
                <c:pt idx="2">
                  <c:v>2011</c:v>
                </c:pt>
                <c:pt idx="3">
                  <c:v>2012</c:v>
                </c:pt>
                <c:pt idx="4">
                  <c:v>2013</c:v>
                </c:pt>
                <c:pt idx="5">
                  <c:v>2014</c:v>
                </c:pt>
                <c:pt idx="6">
                  <c:v>Ene-Nov. 2015</c:v>
                </c:pt>
              </c:strCache>
            </c:strRef>
          </c:cat>
          <c:val>
            <c:numRef>
              <c:f>'V.4.15.EC. Accid. Lab x tipo'!$J$4:$J$10</c:f>
              <c:numCache>
                <c:formatCode>0.00%</c:formatCode>
                <c:ptCount val="7"/>
                <c:pt idx="0">
                  <c:v>7.0486426128829646E-2</c:v>
                </c:pt>
                <c:pt idx="1">
                  <c:v>7.2550530496117593E-2</c:v>
                </c:pt>
                <c:pt idx="2">
                  <c:v>3.1053848695077636E-2</c:v>
                </c:pt>
                <c:pt idx="3">
                  <c:v>4.0568799665411964E-2</c:v>
                </c:pt>
                <c:pt idx="4">
                  <c:v>5.8430717863105178E-2</c:v>
                </c:pt>
                <c:pt idx="5">
                  <c:v>5.3048036662160826E-2</c:v>
                </c:pt>
                <c:pt idx="6">
                  <c:v>5.5905232239114297E-2</c:v>
                </c:pt>
              </c:numCache>
            </c:numRef>
          </c:val>
        </c:ser>
        <c:dLbls>
          <c:showLegendKey val="0"/>
          <c:showVal val="0"/>
          <c:showCatName val="0"/>
          <c:showSerName val="0"/>
          <c:showPercent val="0"/>
          <c:showBubbleSize val="0"/>
        </c:dLbls>
        <c:gapWidth val="75"/>
        <c:shape val="cylinder"/>
        <c:axId val="369929088"/>
        <c:axId val="238666976"/>
        <c:axId val="0"/>
      </c:bar3DChart>
      <c:catAx>
        <c:axId val="369929088"/>
        <c:scaling>
          <c:orientation val="minMax"/>
        </c:scaling>
        <c:delete val="0"/>
        <c:axPos val="b"/>
        <c:numFmt formatCode="General" sourceLinked="1"/>
        <c:majorTickMark val="none"/>
        <c:minorTickMark val="none"/>
        <c:tickLblPos val="nextTo"/>
        <c:txPr>
          <a:bodyPr/>
          <a:lstStyle/>
          <a:p>
            <a:pPr>
              <a:defRPr sz="1600"/>
            </a:pPr>
            <a:endParaRPr lang="es-ES"/>
          </a:p>
        </c:txPr>
        <c:crossAx val="238666976"/>
        <c:crosses val="autoZero"/>
        <c:auto val="1"/>
        <c:lblAlgn val="ctr"/>
        <c:lblOffset val="100"/>
        <c:noMultiLvlLbl val="0"/>
      </c:catAx>
      <c:valAx>
        <c:axId val="238666976"/>
        <c:scaling>
          <c:orientation val="minMax"/>
        </c:scaling>
        <c:delete val="0"/>
        <c:axPos val="l"/>
        <c:numFmt formatCode="0.00%" sourceLinked="1"/>
        <c:majorTickMark val="none"/>
        <c:minorTickMark val="none"/>
        <c:tickLblPos val="nextTo"/>
        <c:spPr>
          <a:ln w="9525">
            <a:noFill/>
          </a:ln>
        </c:spPr>
        <c:crossAx val="369929088"/>
        <c:crosses val="autoZero"/>
        <c:crossBetween val="between"/>
      </c:valAx>
      <c:spPr>
        <a:noFill/>
        <a:ln w="25400">
          <a:noFill/>
        </a:ln>
      </c:spPr>
    </c:plotArea>
    <c:legend>
      <c:legendPos val="t"/>
      <c:layout>
        <c:manualLayout>
          <c:xMode val="edge"/>
          <c:yMode val="edge"/>
          <c:x val="0.12966732603072423"/>
          <c:y val="0.10475284599053844"/>
          <c:w val="0.77548790516529054"/>
          <c:h val="4.4191273142102278E-2"/>
        </c:manualLayout>
      </c:layout>
      <c:overlay val="0"/>
      <c:txPr>
        <a:bodyPr/>
        <a:lstStyle/>
        <a:p>
          <a:pPr>
            <a:defRPr sz="14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8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a:t>Cantidad de Expedientes  Calificados  por la ARL por Grado de Lesión</a:t>
            </a:r>
          </a:p>
        </c:rich>
      </c:tx>
      <c:layout>
        <c:manualLayout>
          <c:xMode val="edge"/>
          <c:yMode val="edge"/>
          <c:x val="0.26714109387326168"/>
          <c:y val="2.0634293609101191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3.7311831931430777E-5"/>
          <c:y val="0.22125564713450474"/>
          <c:w val="0.98135898122372089"/>
          <c:h val="0.57794735888683757"/>
        </c:manualLayout>
      </c:layout>
      <c:bar3DChart>
        <c:barDir val="col"/>
        <c:grouping val="clustered"/>
        <c:varyColors val="0"/>
        <c:ser>
          <c:idx val="0"/>
          <c:order val="0"/>
          <c:tx>
            <c:strRef>
              <c:f>'V.4.16. EC. Accid. Lab x Lesión'!$I$3</c:f>
              <c:strCache>
                <c:ptCount val="1"/>
                <c:pt idx="0">
                  <c:v>% Leve</c:v>
                </c:pt>
              </c:strCache>
            </c:strRef>
          </c:tx>
          <c:spPr>
            <a:solidFill>
              <a:schemeClr val="accent3">
                <a:lumMod val="75000"/>
              </a:schemeClr>
            </a:solidFill>
          </c:spPr>
          <c:invertIfNegative val="0"/>
          <c:dLbls>
            <c:dLbl>
              <c:idx val="0"/>
              <c:layout>
                <c:manualLayout>
                  <c:x val="7.7231085388628305E-3"/>
                  <c:y val="-1.7211479428980022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9.9297205135515931E-3"/>
                  <c:y val="-8.0838273803689031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8.826418234268163E-3"/>
                  <c:y val="-1.616765476073780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2805793315229224E-2"/>
                  <c:y val="-1.8678039299379067E-2"/>
                </c:manualLayout>
              </c:layout>
              <c:spPr/>
              <c:txPr>
                <a:bodyPr rot="-5400000" vert="horz"/>
                <a:lstStyle/>
                <a:p>
                  <a:pPr>
                    <a:defRPr sz="1200" b="1"/>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'V.4.16. EC. Accid. Lab x Lesión'!$A$4:$A$10</c:f>
              <c:strCache>
                <c:ptCount val="7"/>
                <c:pt idx="0">
                  <c:v>2009</c:v>
                </c:pt>
                <c:pt idx="1">
                  <c:v>2010</c:v>
                </c:pt>
                <c:pt idx="2">
                  <c:v>2011</c:v>
                </c:pt>
                <c:pt idx="3">
                  <c:v>2012</c:v>
                </c:pt>
                <c:pt idx="4">
                  <c:v>2013</c:v>
                </c:pt>
                <c:pt idx="5">
                  <c:v>2014</c:v>
                </c:pt>
                <c:pt idx="6">
                  <c:v>Ene-Nov.2015</c:v>
                </c:pt>
              </c:strCache>
            </c:strRef>
          </c:cat>
          <c:val>
            <c:numRef>
              <c:f>'V.4.16. EC. Accid. Lab x Lesión'!$I$4:$I$10</c:f>
              <c:numCache>
                <c:formatCode>0.0%</c:formatCode>
                <c:ptCount val="7"/>
                <c:pt idx="0">
                  <c:v>0.47721404145439317</c:v>
                </c:pt>
                <c:pt idx="1">
                  <c:v>0.52800663861063368</c:v>
                </c:pt>
                <c:pt idx="2">
                  <c:v>0.53867572797206098</c:v>
                </c:pt>
                <c:pt idx="3">
                  <c:v>0.57488308429337287</c:v>
                </c:pt>
                <c:pt idx="4">
                  <c:v>0.5688647746243739</c:v>
                </c:pt>
                <c:pt idx="5">
                  <c:v>0.55289967360126602</c:v>
                </c:pt>
                <c:pt idx="6">
                  <c:v>0.56725089571027398</c:v>
                </c:pt>
              </c:numCache>
            </c:numRef>
          </c:val>
        </c:ser>
        <c:ser>
          <c:idx val="1"/>
          <c:order val="1"/>
          <c:tx>
            <c:strRef>
              <c:f>'V.4.16. EC. Accid. Lab x Lesión'!$J$3</c:f>
              <c:strCache>
                <c:ptCount val="1"/>
                <c:pt idx="0">
                  <c:v>% Moderado</c:v>
                </c:pt>
              </c:strCache>
            </c:strRef>
          </c:tx>
          <c:spPr>
            <a:solidFill>
              <a:srgbClr val="0070C0"/>
            </a:solidFill>
          </c:spPr>
          <c:invertIfNegative val="0"/>
          <c:dLbls>
            <c:dLbl>
              <c:idx val="0"/>
              <c:layout>
                <c:manualLayout>
                  <c:x val="3.1553899533194566E-3"/>
                  <c:y val="-1.721148223556526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4.1814939975313558E-3"/>
                  <c:y val="-3.6921116132417691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4.7058365423902704E-3"/>
                  <c:y val="-1.21434304318573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6.312380138210223E-3"/>
                  <c:y val="-1.0403203634908506E-2"/>
                </c:manualLayout>
              </c:layout>
              <c:spPr/>
              <c:txPr>
                <a:bodyPr rot="-5400000" vert="horz"/>
                <a:lstStyle/>
                <a:p>
                  <a:pPr>
                    <a:defRPr sz="1200" b="1"/>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3.3871568258943665E-3"/>
                  <c:y val="-2.07092206908269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5.6452613764905839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5.6452613764905839E-3"/>
                  <c:y val="0"/>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'V.4.16. EC. Accid. Lab x Lesión'!$A$4:$A$10</c:f>
              <c:strCache>
                <c:ptCount val="7"/>
                <c:pt idx="0">
                  <c:v>2009</c:v>
                </c:pt>
                <c:pt idx="1">
                  <c:v>2010</c:v>
                </c:pt>
                <c:pt idx="2">
                  <c:v>2011</c:v>
                </c:pt>
                <c:pt idx="3">
                  <c:v>2012</c:v>
                </c:pt>
                <c:pt idx="4">
                  <c:v>2013</c:v>
                </c:pt>
                <c:pt idx="5">
                  <c:v>2014</c:v>
                </c:pt>
                <c:pt idx="6">
                  <c:v>Ene-Nov.2015</c:v>
                </c:pt>
              </c:strCache>
            </c:strRef>
          </c:cat>
          <c:val>
            <c:numRef>
              <c:f>'V.4.16. EC. Accid. Lab x Lesión'!$J$4:$J$10</c:f>
              <c:numCache>
                <c:formatCode>0.0%</c:formatCode>
                <c:ptCount val="7"/>
                <c:pt idx="0">
                  <c:v>0.36185358364156606</c:v>
                </c:pt>
                <c:pt idx="1">
                  <c:v>0.3096437674115346</c:v>
                </c:pt>
                <c:pt idx="2">
                  <c:v>0.33692010005191375</c:v>
                </c:pt>
                <c:pt idx="3">
                  <c:v>0.31964564085015779</c:v>
                </c:pt>
                <c:pt idx="4">
                  <c:v>0.31872565386755702</c:v>
                </c:pt>
                <c:pt idx="5">
                  <c:v>0.34598265800665984</c:v>
                </c:pt>
                <c:pt idx="6">
                  <c:v>0.33568961621639071</c:v>
                </c:pt>
              </c:numCache>
            </c:numRef>
          </c:val>
        </c:ser>
        <c:ser>
          <c:idx val="2"/>
          <c:order val="2"/>
          <c:tx>
            <c:strRef>
              <c:f>'V.4.16. EC. Accid. Lab x Lesión'!$K$3</c:f>
              <c:strCache>
                <c:ptCount val="1"/>
                <c:pt idx="0">
                  <c:v>%  Grave</c:v>
                </c:pt>
              </c:strCache>
            </c:strRef>
          </c:tx>
          <c:invertIfNegative val="0"/>
          <c:dLbls>
            <c:dLbl>
              <c:idx val="0"/>
              <c:layout>
                <c:manualLayout>
                  <c:x val="7.758064059307508E-3"/>
                  <c:y val="-3.842130538186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8.8264182342680814E-3"/>
                  <c:y val="-1.212574107055335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1333195594882531E-3"/>
                  <c:y val="-1.6992975497567564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4.6271584901352832E-3"/>
                  <c:y val="-6.2127662072480969E-3"/>
                </c:manualLayout>
              </c:layout>
              <c:spPr/>
              <c:txPr>
                <a:bodyPr rot="-5400000" vert="horz"/>
                <a:lstStyle/>
                <a:p>
                  <a:pPr>
                    <a:defRPr sz="12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'V.4.16. EC. Accid. Lab x Lesión'!$A$4:$A$10</c:f>
              <c:strCache>
                <c:ptCount val="7"/>
                <c:pt idx="0">
                  <c:v>2009</c:v>
                </c:pt>
                <c:pt idx="1">
                  <c:v>2010</c:v>
                </c:pt>
                <c:pt idx="2">
                  <c:v>2011</c:v>
                </c:pt>
                <c:pt idx="3">
                  <c:v>2012</c:v>
                </c:pt>
                <c:pt idx="4">
                  <c:v>2013</c:v>
                </c:pt>
                <c:pt idx="5">
                  <c:v>2014</c:v>
                </c:pt>
                <c:pt idx="6">
                  <c:v>Ene-Nov.2015</c:v>
                </c:pt>
              </c:strCache>
            </c:strRef>
          </c:cat>
          <c:val>
            <c:numRef>
              <c:f>'V.4.16. EC. Accid. Lab x Lesión'!$K$4:$K$10</c:f>
              <c:numCache>
                <c:formatCode>0.0%</c:formatCode>
                <c:ptCount val="7"/>
                <c:pt idx="0">
                  <c:v>5.9529625235536322E-2</c:v>
                </c:pt>
                <c:pt idx="1">
                  <c:v>5.2160512121391736E-2</c:v>
                </c:pt>
                <c:pt idx="2">
                  <c:v>5.2338477511916559E-2</c:v>
                </c:pt>
                <c:pt idx="3">
                  <c:v>3.562602182426524E-2</c:v>
                </c:pt>
                <c:pt idx="4">
                  <c:v>3.5858375069560376E-2</c:v>
                </c:pt>
                <c:pt idx="5">
                  <c:v>2.9507764333520162E-2</c:v>
                </c:pt>
                <c:pt idx="6">
                  <c:v>3.0954455956876795E-2</c:v>
                </c:pt>
              </c:numCache>
            </c:numRef>
          </c:val>
        </c:ser>
        <c:ser>
          <c:idx val="3"/>
          <c:order val="3"/>
          <c:tx>
            <c:strRef>
              <c:f>'V.4.16. EC. Accid. Lab x Lesión'!$L$3</c:f>
              <c:strCache>
                <c:ptCount val="1"/>
                <c:pt idx="0">
                  <c:v>% Mortal</c:v>
                </c:pt>
              </c:strCache>
            </c:strRef>
          </c:tx>
          <c:invertIfNegative val="0"/>
          <c:dLbls>
            <c:dLbl>
              <c:idx val="0"/>
              <c:layout>
                <c:manualLayout>
                  <c:x val="3.1811714619679973E-3"/>
                  <c:y val="-5.763033682324620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9.0556047142016632E-3"/>
                  <c:y val="-7.733997072009711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4.6912566547407924E-3"/>
                  <c:y val="-1.394676327925780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7.2177771945882404E-3"/>
                  <c:y val="-1.0376622391881987E-2"/>
                </c:manualLayout>
              </c:layout>
              <c:spPr/>
              <c:txPr>
                <a:bodyPr rot="-5400000" vert="horz"/>
                <a:lstStyle/>
                <a:p>
                  <a:pPr>
                    <a:defRPr sz="12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200" b="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'V.4.16. EC. Accid. Lab x Lesión'!$A$4:$A$10</c:f>
              <c:strCache>
                <c:ptCount val="7"/>
                <c:pt idx="0">
                  <c:v>2009</c:v>
                </c:pt>
                <c:pt idx="1">
                  <c:v>2010</c:v>
                </c:pt>
                <c:pt idx="2">
                  <c:v>2011</c:v>
                </c:pt>
                <c:pt idx="3">
                  <c:v>2012</c:v>
                </c:pt>
                <c:pt idx="4">
                  <c:v>2013</c:v>
                </c:pt>
                <c:pt idx="5">
                  <c:v>2014</c:v>
                </c:pt>
                <c:pt idx="6">
                  <c:v>Ene-Nov.2015</c:v>
                </c:pt>
              </c:strCache>
            </c:strRef>
          </c:cat>
          <c:val>
            <c:numRef>
              <c:f>'V.4.16. EC. Accid. Lab x Lesión'!$L$4:$L$10</c:f>
              <c:numCache>
                <c:formatCode>0.0%</c:formatCode>
                <c:ptCount val="7"/>
                <c:pt idx="0">
                  <c:v>9.7703957010258913E-3</c:v>
                </c:pt>
                <c:pt idx="1">
                  <c:v>8.7724497658704277E-3</c:v>
                </c:pt>
                <c:pt idx="2">
                  <c:v>8.4949738071640954E-3</c:v>
                </c:pt>
                <c:pt idx="3">
                  <c:v>5.8552906733584272E-3</c:v>
                </c:pt>
                <c:pt idx="4">
                  <c:v>5.4952698942682251E-3</c:v>
                </c:pt>
                <c:pt idx="5">
                  <c:v>7.2533051993010451E-3</c:v>
                </c:pt>
                <c:pt idx="6">
                  <c:v>5.1644556340983182E-3</c:v>
                </c:pt>
              </c:numCache>
            </c:numRef>
          </c:val>
        </c:ser>
        <c:ser>
          <c:idx val="4"/>
          <c:order val="4"/>
          <c:tx>
            <c:strRef>
              <c:f>'V.4.16. EC. Accid. Lab x Lesión'!$M$3</c:f>
              <c:strCache>
                <c:ptCount val="1"/>
                <c:pt idx="0">
                  <c:v>% Sin lesión</c:v>
                </c:pt>
              </c:strCache>
            </c:strRef>
          </c:tx>
          <c:spPr>
            <a:solidFill>
              <a:schemeClr val="accent2">
                <a:lumMod val="60000"/>
                <a:lumOff val="40000"/>
              </a:schemeClr>
            </a:solidFill>
          </c:spPr>
          <c:invertIfNegative val="0"/>
          <c:dLbls>
            <c:dLbl>
              <c:idx val="0"/>
              <c:layout>
                <c:manualLayout>
                  <c:x val="3.2427803774626022E-3"/>
                  <c:y val="-1.7359871139727885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6.348908437689006E-3"/>
                  <c:y val="-1.6948945256733145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5.6662421904255062E-3"/>
                  <c:y val="-1.010332759671613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3702026237075868E-2"/>
                  <c:y val="-4.1420065274800711E-3"/>
                </c:manualLayout>
              </c:layout>
              <c:spPr/>
              <c:txPr>
                <a:bodyPr rot="-5400000" vert="horz"/>
                <a:lstStyle/>
                <a:p>
                  <a:pPr>
                    <a:defRPr sz="12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'V.4.16. EC. Accid. Lab x Lesión'!$A$4:$A$10</c:f>
              <c:strCache>
                <c:ptCount val="7"/>
                <c:pt idx="0">
                  <c:v>2009</c:v>
                </c:pt>
                <c:pt idx="1">
                  <c:v>2010</c:v>
                </c:pt>
                <c:pt idx="2">
                  <c:v>2011</c:v>
                </c:pt>
                <c:pt idx="3">
                  <c:v>2012</c:v>
                </c:pt>
                <c:pt idx="4">
                  <c:v>2013</c:v>
                </c:pt>
                <c:pt idx="5">
                  <c:v>2014</c:v>
                </c:pt>
                <c:pt idx="6">
                  <c:v>Ene-Nov.2015</c:v>
                </c:pt>
              </c:strCache>
            </c:strRef>
          </c:cat>
          <c:val>
            <c:numRef>
              <c:f>'V.4.16. EC. Accid. Lab x Lesión'!$M$4:$M$10</c:f>
              <c:numCache>
                <c:formatCode>0.0%</c:formatCode>
                <c:ptCount val="7"/>
                <c:pt idx="0">
                  <c:v>2.163444762370019E-2</c:v>
                </c:pt>
                <c:pt idx="1">
                  <c:v>2.8866101594452017E-2</c:v>
                </c:pt>
                <c:pt idx="2">
                  <c:v>3.2516871961867005E-2</c:v>
                </c:pt>
                <c:pt idx="3">
                  <c:v>2.3421162693433709E-2</c:v>
                </c:pt>
                <c:pt idx="4">
                  <c:v>1.2625208681135225E-2</c:v>
                </c:pt>
                <c:pt idx="5">
                  <c:v>1.1308562197092083E-2</c:v>
                </c:pt>
                <c:pt idx="6">
                  <c:v>5.0676220909589747E-3</c:v>
                </c:pt>
              </c:numCache>
            </c:numRef>
          </c:val>
        </c:ser>
        <c:ser>
          <c:idx val="5"/>
          <c:order val="5"/>
          <c:tx>
            <c:strRef>
              <c:f>'V.4.16. EC. Accid. Lab x Lesión'!$N$3</c:f>
              <c:strCache>
                <c:ptCount val="1"/>
                <c:pt idx="0">
                  <c:v>% No Especificados</c:v>
                </c:pt>
              </c:strCache>
            </c:strRef>
          </c:tx>
          <c:spPr>
            <a:solidFill>
              <a:schemeClr val="accent6">
                <a:lumMod val="50000"/>
              </a:schemeClr>
            </a:solidFill>
          </c:spPr>
          <c:invertIfNegative val="0"/>
          <c:dLbls>
            <c:dLbl>
              <c:idx val="0"/>
              <c:layout>
                <c:manualLayout>
                  <c:x val="6.6198585359050557E-3"/>
                  <c:y val="-3.874417349432167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1243129447641829E-2"/>
                  <c:y val="-8.0118580652209885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4.4412649226039111E-3"/>
                  <c:y val="-1.202586076163621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8471393298363472E-2"/>
                  <c:y val="-6.2391816760931657E-3"/>
                </c:manualLayout>
              </c:layout>
              <c:spPr/>
              <c:txPr>
                <a:bodyPr rot="-5400000" vert="horz"/>
                <a:lstStyle/>
                <a:p>
                  <a:pPr>
                    <a:defRPr sz="12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'V.4.16. EC. Accid. Lab x Lesión'!$A$4:$A$10</c:f>
              <c:strCache>
                <c:ptCount val="7"/>
                <c:pt idx="0">
                  <c:v>2009</c:v>
                </c:pt>
                <c:pt idx="1">
                  <c:v>2010</c:v>
                </c:pt>
                <c:pt idx="2">
                  <c:v>2011</c:v>
                </c:pt>
                <c:pt idx="3">
                  <c:v>2012</c:v>
                </c:pt>
                <c:pt idx="4">
                  <c:v>2013</c:v>
                </c:pt>
                <c:pt idx="5">
                  <c:v>2014</c:v>
                </c:pt>
                <c:pt idx="6">
                  <c:v>Ene-Nov.2015</c:v>
                </c:pt>
              </c:strCache>
            </c:strRef>
          </c:cat>
          <c:val>
            <c:numRef>
              <c:f>'V.4.16. EC. Accid. Lab x Lesión'!$N$4:$N$10</c:f>
              <c:numCache>
                <c:formatCode>0.0%</c:formatCode>
                <c:ptCount val="7"/>
                <c:pt idx="0">
                  <c:v>6.9997906343778352E-2</c:v>
                </c:pt>
                <c:pt idx="1">
                  <c:v>7.2550530496117593E-2</c:v>
                </c:pt>
                <c:pt idx="2">
                  <c:v>3.1053848695077636E-2</c:v>
                </c:pt>
                <c:pt idx="3">
                  <c:v>4.0568799665411964E-2</c:v>
                </c:pt>
                <c:pt idx="4">
                  <c:v>5.8430717863105178E-2</c:v>
                </c:pt>
                <c:pt idx="5">
                  <c:v>5.3048036662160826E-2</c:v>
                </c:pt>
                <c:pt idx="6">
                  <c:v>5.5872954391401185E-2</c:v>
                </c:pt>
              </c:numCache>
            </c:numRef>
          </c:val>
        </c:ser>
        <c:dLbls>
          <c:showLegendKey val="0"/>
          <c:showVal val="0"/>
          <c:showCatName val="0"/>
          <c:showSerName val="0"/>
          <c:showPercent val="0"/>
          <c:showBubbleSize val="0"/>
        </c:dLbls>
        <c:gapWidth val="75"/>
        <c:shape val="cylinder"/>
        <c:axId val="238666192"/>
        <c:axId val="238665800"/>
        <c:axId val="0"/>
      </c:bar3DChart>
      <c:catAx>
        <c:axId val="238666192"/>
        <c:scaling>
          <c:orientation val="minMax"/>
        </c:scaling>
        <c:delete val="0"/>
        <c:axPos val="b"/>
        <c:numFmt formatCode="General" sourceLinked="1"/>
        <c:majorTickMark val="none"/>
        <c:minorTickMark val="none"/>
        <c:tickLblPos val="nextTo"/>
        <c:txPr>
          <a:bodyPr/>
          <a:lstStyle/>
          <a:p>
            <a:pPr>
              <a:defRPr sz="1600"/>
            </a:pPr>
            <a:endParaRPr lang="es-ES"/>
          </a:p>
        </c:txPr>
        <c:crossAx val="238665800"/>
        <c:crosses val="autoZero"/>
        <c:auto val="1"/>
        <c:lblAlgn val="ctr"/>
        <c:lblOffset val="100"/>
        <c:noMultiLvlLbl val="0"/>
      </c:catAx>
      <c:valAx>
        <c:axId val="238665800"/>
        <c:scaling>
          <c:orientation val="minMax"/>
        </c:scaling>
        <c:delete val="1"/>
        <c:axPos val="l"/>
        <c:numFmt formatCode="0.0%" sourceLinked="1"/>
        <c:majorTickMark val="out"/>
        <c:minorTickMark val="none"/>
        <c:tickLblPos val="nextTo"/>
        <c:crossAx val="238666192"/>
        <c:crosses val="autoZero"/>
        <c:crossBetween val="between"/>
      </c:valAx>
      <c:spPr>
        <a:noFill/>
        <a:ln w="25400">
          <a:noFill/>
        </a:ln>
      </c:spPr>
    </c:plotArea>
    <c:legend>
      <c:legendPos val="t"/>
      <c:layout>
        <c:manualLayout>
          <c:xMode val="edge"/>
          <c:yMode val="edge"/>
          <c:x val="6.467828910832589E-2"/>
          <c:y val="0.12779723230279158"/>
          <c:w val="0.8463244180622882"/>
          <c:h val="4.2461240329038537E-2"/>
        </c:manualLayout>
      </c:layout>
      <c:overlay val="0"/>
      <c:txPr>
        <a:bodyPr/>
        <a:lstStyle/>
        <a:p>
          <a:pPr>
            <a:defRPr sz="12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8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a:t>Cantidad de Expedientes Calificados  por la ARL </a:t>
            </a:r>
            <a:r>
              <a:rPr lang="en-US" sz="1400" baseline="0"/>
              <a:t> S</a:t>
            </a:r>
            <a:r>
              <a:rPr lang="en-US" sz="1400"/>
              <a:t>egún Circunstancia del Suceso</a:t>
            </a:r>
          </a:p>
        </c:rich>
      </c:tx>
      <c:layout>
        <c:manualLayout>
          <c:xMode val="edge"/>
          <c:yMode val="edge"/>
          <c:x val="0.26854740603961869"/>
          <c:y val="4.2005023668829647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3.396076791496564E-4"/>
          <c:y val="0.29728741961444999"/>
          <c:w val="0.98807242521277006"/>
          <c:h val="0.52556212294639237"/>
        </c:manualLayout>
      </c:layout>
      <c:bar3DChart>
        <c:barDir val="col"/>
        <c:grouping val="clustered"/>
        <c:varyColors val="0"/>
        <c:ser>
          <c:idx val="0"/>
          <c:order val="0"/>
          <c:tx>
            <c:strRef>
              <c:f>'V.4.17. Accid.Lab suceso'!$I$3</c:f>
              <c:strCache>
                <c:ptCount val="1"/>
                <c:pt idx="0">
                  <c:v>% Acto Fuera de Norma</c:v>
                </c:pt>
              </c:strCache>
            </c:strRef>
          </c:tx>
          <c:invertIfNegative val="0"/>
          <c:dLbls>
            <c:dLbl>
              <c:idx val="0"/>
              <c:layout>
                <c:manualLayout>
                  <c:x val="-5.856751113678978E-3"/>
                  <c:y val="-3.689407755279707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4.9434761871692762E-3"/>
                  <c:y val="2.38013699466667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3709258667167587E-3"/>
                  <c:y val="4.922467232812279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5.680299504749446E-3"/>
                  <c:y val="0"/>
                </c:manualLayout>
              </c:layout>
              <c:spPr/>
              <c:txPr>
                <a:bodyPr rot="-5400000" vert="horz"/>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400" b="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'V.4.17. Accid.Lab suceso'!$A$4:$A$10</c:f>
              <c:strCache>
                <c:ptCount val="7"/>
                <c:pt idx="0">
                  <c:v>2009</c:v>
                </c:pt>
                <c:pt idx="1">
                  <c:v>2010</c:v>
                </c:pt>
                <c:pt idx="2">
                  <c:v>2011</c:v>
                </c:pt>
                <c:pt idx="3">
                  <c:v>2012</c:v>
                </c:pt>
                <c:pt idx="4">
                  <c:v>2013</c:v>
                </c:pt>
                <c:pt idx="5">
                  <c:v>2014</c:v>
                </c:pt>
                <c:pt idx="6">
                  <c:v>Ene-Nov. 2015</c:v>
                </c:pt>
              </c:strCache>
            </c:strRef>
          </c:cat>
          <c:val>
            <c:numRef>
              <c:f>'V.4.17. Accid.Lab suceso'!$I$4:$I$10</c:f>
              <c:numCache>
                <c:formatCode>0.00%</c:formatCode>
                <c:ptCount val="7"/>
                <c:pt idx="0">
                  <c:v>2.5961337148440226E-2</c:v>
                </c:pt>
                <c:pt idx="1">
                  <c:v>2.4598423329974514E-2</c:v>
                </c:pt>
                <c:pt idx="2">
                  <c:v>2.2275709094341404E-2</c:v>
                </c:pt>
                <c:pt idx="3">
                  <c:v>2.1063837876886812E-2</c:v>
                </c:pt>
                <c:pt idx="4">
                  <c:v>4.013633834168058E-2</c:v>
                </c:pt>
                <c:pt idx="5">
                  <c:v>3.8970030661699254E-2</c:v>
                </c:pt>
                <c:pt idx="6">
                  <c:v>3.1987347083696459E-2</c:v>
                </c:pt>
              </c:numCache>
            </c:numRef>
          </c:val>
        </c:ser>
        <c:ser>
          <c:idx val="1"/>
          <c:order val="1"/>
          <c:tx>
            <c:strRef>
              <c:f>'V.4.17. Accid.Lab suceso'!$J$3</c:f>
              <c:strCache>
                <c:ptCount val="1"/>
                <c:pt idx="0">
                  <c:v>% Condición Fuera de Norma</c:v>
                </c:pt>
              </c:strCache>
            </c:strRef>
          </c:tx>
          <c:spPr>
            <a:solidFill>
              <a:srgbClr val="0070C0"/>
            </a:solidFill>
          </c:spPr>
          <c:invertIfNegative val="0"/>
          <c:dLbls>
            <c:dLbl>
              <c:idx val="0"/>
              <c:layout>
                <c:manualLayout>
                  <c:x val="4.2092520305530888E-3"/>
                  <c:y val="-1.202024589370637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6.138145192646576E-4"/>
                  <c:y val="-2.835417988761441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3.1397515976803185E-3"/>
                  <c:y val="-1.661243126532062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9.0884792075991132E-3"/>
                  <c:y val="-6.2968795243327292E-3"/>
                </c:manualLayout>
              </c:layout>
              <c:spPr/>
              <c:txPr>
                <a:bodyPr rot="-5400000" vert="horz"/>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400" b="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'V.4.17. Accid.Lab suceso'!$A$4:$A$10</c:f>
              <c:strCache>
                <c:ptCount val="7"/>
                <c:pt idx="0">
                  <c:v>2009</c:v>
                </c:pt>
                <c:pt idx="1">
                  <c:v>2010</c:v>
                </c:pt>
                <c:pt idx="2">
                  <c:v>2011</c:v>
                </c:pt>
                <c:pt idx="3">
                  <c:v>2012</c:v>
                </c:pt>
                <c:pt idx="4">
                  <c:v>2013</c:v>
                </c:pt>
                <c:pt idx="5">
                  <c:v>2014</c:v>
                </c:pt>
                <c:pt idx="6">
                  <c:v>Ene-Nov. 2015</c:v>
                </c:pt>
              </c:strCache>
            </c:strRef>
          </c:cat>
          <c:val>
            <c:numRef>
              <c:f>'V.4.17. Accid.Lab suceso'!$J$4:$J$10</c:f>
              <c:numCache>
                <c:formatCode>0.00%</c:formatCode>
                <c:ptCount val="7"/>
                <c:pt idx="0">
                  <c:v>2.3658315304626979E-2</c:v>
                </c:pt>
                <c:pt idx="1">
                  <c:v>2.1160571394700966E-2</c:v>
                </c:pt>
                <c:pt idx="2">
                  <c:v>3.770824484402284E-2</c:v>
                </c:pt>
                <c:pt idx="3">
                  <c:v>4.5739705714611611E-2</c:v>
                </c:pt>
                <c:pt idx="4">
                  <c:v>3.3180300500834724E-2</c:v>
                </c:pt>
                <c:pt idx="5">
                  <c:v>3.7156704361873988E-2</c:v>
                </c:pt>
                <c:pt idx="6">
                  <c:v>3.5925244504696426E-2</c:v>
                </c:pt>
              </c:numCache>
            </c:numRef>
          </c:val>
        </c:ser>
        <c:ser>
          <c:idx val="2"/>
          <c:order val="2"/>
          <c:tx>
            <c:strRef>
              <c:f>'V.4.17. Accid.Lab suceso'!$K$3</c:f>
              <c:strCache>
                <c:ptCount val="1"/>
                <c:pt idx="0">
                  <c:v>%  Factor de Organizacion</c:v>
                </c:pt>
              </c:strCache>
            </c:strRef>
          </c:tx>
          <c:invertIfNegative val="0"/>
          <c:dLbls>
            <c:dLbl>
              <c:idx val="0"/>
              <c:layout>
                <c:manualLayout>
                  <c:x val="7.7639417228718552E-3"/>
                  <c:y val="-2.913796550468891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7.7070956429656822E-3"/>
                  <c:y val="2.117468619434235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4.4132074201318474E-3"/>
                  <c:y val="-1.7380406502516032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8.0522947057021562E-3"/>
                  <c:y val="4.1054757644048692E-3"/>
                </c:manualLayout>
              </c:layout>
              <c:spPr/>
              <c:txPr>
                <a:bodyPr rot="-5400000" vert="horz"/>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400" b="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'V.4.17. Accid.Lab suceso'!$A$4:$A$10</c:f>
              <c:strCache>
                <c:ptCount val="7"/>
                <c:pt idx="0">
                  <c:v>2009</c:v>
                </c:pt>
                <c:pt idx="1">
                  <c:v>2010</c:v>
                </c:pt>
                <c:pt idx="2">
                  <c:v>2011</c:v>
                </c:pt>
                <c:pt idx="3">
                  <c:v>2012</c:v>
                </c:pt>
                <c:pt idx="4">
                  <c:v>2013</c:v>
                </c:pt>
                <c:pt idx="5">
                  <c:v>2014</c:v>
                </c:pt>
                <c:pt idx="6">
                  <c:v>Ene-Nov. 2015</c:v>
                </c:pt>
              </c:strCache>
            </c:strRef>
          </c:cat>
          <c:val>
            <c:numRef>
              <c:f>'V.4.17. Accid.Lab suceso'!$K$4:$K$10</c:f>
              <c:numCache>
                <c:formatCode>0.00%</c:formatCode>
                <c:ptCount val="7"/>
                <c:pt idx="0">
                  <c:v>3.4754693279363529E-2</c:v>
                </c:pt>
                <c:pt idx="1">
                  <c:v>2.8688281666765455E-2</c:v>
                </c:pt>
                <c:pt idx="2">
                  <c:v>2.5956864410779178E-2</c:v>
                </c:pt>
                <c:pt idx="3">
                  <c:v>2.0569560092772138E-2</c:v>
                </c:pt>
                <c:pt idx="4">
                  <c:v>1.4885920979410128E-2</c:v>
                </c:pt>
                <c:pt idx="5">
                  <c:v>2.070488938709571E-2</c:v>
                </c:pt>
                <c:pt idx="6">
                  <c:v>6.5524030857622411E-3</c:v>
                </c:pt>
              </c:numCache>
            </c:numRef>
          </c:val>
        </c:ser>
        <c:ser>
          <c:idx val="3"/>
          <c:order val="3"/>
          <c:tx>
            <c:strRef>
              <c:f>'V.4.17. Accid.Lab suceso'!$L$3</c:f>
              <c:strCache>
                <c:ptCount val="1"/>
                <c:pt idx="0">
                  <c:v>% Factor de Trabajo</c:v>
                </c:pt>
              </c:strCache>
            </c:strRef>
          </c:tx>
          <c:spPr>
            <a:solidFill>
              <a:schemeClr val="accent3">
                <a:lumMod val="75000"/>
              </a:schemeClr>
            </a:solidFill>
          </c:spPr>
          <c:invertIfNegative val="0"/>
          <c:dLbls>
            <c:dLbl>
              <c:idx val="0"/>
              <c:layout>
                <c:manualLayout>
                  <c:x val="1.2276135545254236E-2"/>
                  <c:y val="-3.495842406789655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7.8162759117238068E-3"/>
                  <c:y val="-7.537744917211735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7.8162759117238068E-3"/>
                  <c:y val="-1.173566460010022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8.049242167018968E-3"/>
                  <c:y val="-1.0494799207221215E-2"/>
                </c:manualLayout>
              </c:layout>
              <c:spPr/>
              <c:txPr>
                <a:bodyPr rot="-5400000" vert="horz"/>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400" b="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'V.4.17. Accid.Lab suceso'!$A$4:$A$10</c:f>
              <c:strCache>
                <c:ptCount val="7"/>
                <c:pt idx="0">
                  <c:v>2009</c:v>
                </c:pt>
                <c:pt idx="1">
                  <c:v>2010</c:v>
                </c:pt>
                <c:pt idx="2">
                  <c:v>2011</c:v>
                </c:pt>
                <c:pt idx="3">
                  <c:v>2012</c:v>
                </c:pt>
                <c:pt idx="4">
                  <c:v>2013</c:v>
                </c:pt>
                <c:pt idx="5">
                  <c:v>2014</c:v>
                </c:pt>
                <c:pt idx="6">
                  <c:v>Ene-Nov. 2015</c:v>
                </c:pt>
              </c:strCache>
            </c:strRef>
          </c:cat>
          <c:val>
            <c:numRef>
              <c:f>'V.4.17. Accid.Lab suceso'!$L$4:$L$10</c:f>
              <c:numCache>
                <c:formatCode>0.00%</c:formatCode>
                <c:ptCount val="7"/>
                <c:pt idx="0">
                  <c:v>0.81394375043617839</c:v>
                </c:pt>
                <c:pt idx="1">
                  <c:v>0.80510935925552729</c:v>
                </c:pt>
                <c:pt idx="2">
                  <c:v>0.82910944357921568</c:v>
                </c:pt>
                <c:pt idx="3">
                  <c:v>0.83993004068286381</c:v>
                </c:pt>
                <c:pt idx="4">
                  <c:v>0.82644685587089595</c:v>
                </c:pt>
                <c:pt idx="5">
                  <c:v>0.82331607925884409</c:v>
                </c:pt>
                <c:pt idx="6">
                  <c:v>0.84758400309867343</c:v>
                </c:pt>
              </c:numCache>
            </c:numRef>
          </c:val>
        </c:ser>
        <c:ser>
          <c:idx val="4"/>
          <c:order val="4"/>
          <c:tx>
            <c:strRef>
              <c:f>'V.4.17. Accid.Lab suceso'!$M$3</c:f>
              <c:strCache>
                <c:ptCount val="1"/>
                <c:pt idx="0">
                  <c:v>%Factor Personal</c:v>
                </c:pt>
              </c:strCache>
            </c:strRef>
          </c:tx>
          <c:spPr>
            <a:solidFill>
              <a:schemeClr val="accent2">
                <a:lumMod val="60000"/>
                <a:lumOff val="40000"/>
              </a:schemeClr>
            </a:solidFill>
          </c:spPr>
          <c:invertIfNegative val="0"/>
          <c:dLbls>
            <c:dLbl>
              <c:idx val="0"/>
              <c:layout>
                <c:manualLayout>
                  <c:x val="6.6198136757010615E-3"/>
                  <c:y val="-1.212574107055335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7.7231159549845723E-3"/>
                  <c:y val="-1.41466979156455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6.619853958548169E-3"/>
                  <c:y val="6.3343767278046484E-4"/>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8.0346690195784234E-3"/>
                  <c:y val="-1.0171926466533884E-2"/>
                </c:manualLayout>
              </c:layout>
              <c:spPr/>
              <c:txPr>
                <a:bodyPr rot="-5400000" vert="horz"/>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400" b="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'V.4.17. Accid.Lab suceso'!$A$4:$A$10</c:f>
              <c:strCache>
                <c:ptCount val="7"/>
                <c:pt idx="0">
                  <c:v>2009</c:v>
                </c:pt>
                <c:pt idx="1">
                  <c:v>2010</c:v>
                </c:pt>
                <c:pt idx="2">
                  <c:v>2011</c:v>
                </c:pt>
                <c:pt idx="3">
                  <c:v>2012</c:v>
                </c:pt>
                <c:pt idx="4">
                  <c:v>2013</c:v>
                </c:pt>
                <c:pt idx="5">
                  <c:v>2014</c:v>
                </c:pt>
                <c:pt idx="6">
                  <c:v>Ene-Nov. 2015</c:v>
                </c:pt>
              </c:strCache>
            </c:strRef>
          </c:cat>
          <c:val>
            <c:numRef>
              <c:f>'V.4.17. Accid.Lab suceso'!$M$4:$M$10</c:f>
              <c:numCache>
                <c:formatCode>0.00%</c:formatCode>
                <c:ptCount val="7"/>
                <c:pt idx="0">
                  <c:v>3.196315165049899E-2</c:v>
                </c:pt>
                <c:pt idx="1">
                  <c:v>3.0762847489775355E-2</c:v>
                </c:pt>
                <c:pt idx="2">
                  <c:v>2.5484921421492283E-2</c:v>
                </c:pt>
                <c:pt idx="3">
                  <c:v>2.4751910573742444E-2</c:v>
                </c:pt>
                <c:pt idx="4">
                  <c:v>2.2607122982749025E-2</c:v>
                </c:pt>
                <c:pt idx="5">
                  <c:v>2.5617355181167784E-2</c:v>
                </c:pt>
                <c:pt idx="6">
                  <c:v>2.2078047835770311E-2</c:v>
                </c:pt>
              </c:numCache>
            </c:numRef>
          </c:val>
        </c:ser>
        <c:ser>
          <c:idx val="5"/>
          <c:order val="5"/>
          <c:tx>
            <c:strRef>
              <c:f>'V.4.17. Accid.Lab suceso'!$N$3</c:f>
              <c:strCache>
                <c:ptCount val="1"/>
                <c:pt idx="0">
                  <c:v>% No Especificados</c:v>
                </c:pt>
              </c:strCache>
            </c:strRef>
          </c:tx>
          <c:invertIfNegative val="0"/>
          <c:dLbls>
            <c:dLbl>
              <c:idx val="0"/>
              <c:layout>
                <c:manualLayout>
                  <c:x val="6.6198136757011023E-3"/>
                  <c:y val="-1.010478422546112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5.5165113964175515E-3"/>
                  <c:y val="-1.010478422546112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1033022792835103E-2"/>
                  <c:y val="-1.616765476073780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3798709024245541E-2"/>
                  <c:y val="-1.6637509337103513E-2"/>
                </c:manualLayout>
              </c:layout>
              <c:spPr/>
              <c:txPr>
                <a:bodyPr rot="-5400000" vert="horz"/>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400" b="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'V.4.17. Accid.Lab suceso'!$A$4:$A$10</c:f>
              <c:strCache>
                <c:ptCount val="7"/>
                <c:pt idx="0">
                  <c:v>2009</c:v>
                </c:pt>
                <c:pt idx="1">
                  <c:v>2010</c:v>
                </c:pt>
                <c:pt idx="2">
                  <c:v>2011</c:v>
                </c:pt>
                <c:pt idx="3">
                  <c:v>2012</c:v>
                </c:pt>
                <c:pt idx="4">
                  <c:v>2013</c:v>
                </c:pt>
                <c:pt idx="5">
                  <c:v>2014</c:v>
                </c:pt>
                <c:pt idx="6">
                  <c:v>Ene-Nov. 2015</c:v>
                </c:pt>
              </c:strCache>
            </c:strRef>
          </c:cat>
          <c:val>
            <c:numRef>
              <c:f>'V.4.17. Accid.Lab suceso'!$N$4:$N$10</c:f>
              <c:numCache>
                <c:formatCode>0.00%</c:formatCode>
                <c:ptCount val="7"/>
                <c:pt idx="0">
                  <c:v>6.9718752180891894E-2</c:v>
                </c:pt>
                <c:pt idx="1">
                  <c:v>8.9680516863256482E-2</c:v>
                </c:pt>
                <c:pt idx="2">
                  <c:v>5.9464816650148661E-2</c:v>
                </c:pt>
                <c:pt idx="3">
                  <c:v>4.794494505912323E-2</c:v>
                </c:pt>
                <c:pt idx="4">
                  <c:v>6.2743461324429609E-2</c:v>
                </c:pt>
                <c:pt idx="5">
                  <c:v>5.4234941149319177E-2</c:v>
                </c:pt>
                <c:pt idx="6">
                  <c:v>5.5872954391401185E-2</c:v>
                </c:pt>
              </c:numCache>
            </c:numRef>
          </c:val>
        </c:ser>
        <c:dLbls>
          <c:showLegendKey val="0"/>
          <c:showVal val="0"/>
          <c:showCatName val="0"/>
          <c:showSerName val="0"/>
          <c:showPercent val="0"/>
          <c:showBubbleSize val="0"/>
        </c:dLbls>
        <c:gapWidth val="75"/>
        <c:shape val="cylinder"/>
        <c:axId val="238665016"/>
        <c:axId val="238664624"/>
        <c:axId val="0"/>
      </c:bar3DChart>
      <c:catAx>
        <c:axId val="238665016"/>
        <c:scaling>
          <c:orientation val="minMax"/>
        </c:scaling>
        <c:delete val="0"/>
        <c:axPos val="b"/>
        <c:numFmt formatCode="General" sourceLinked="1"/>
        <c:majorTickMark val="none"/>
        <c:minorTickMark val="none"/>
        <c:tickLblPos val="nextTo"/>
        <c:txPr>
          <a:bodyPr/>
          <a:lstStyle/>
          <a:p>
            <a:pPr>
              <a:defRPr sz="1800"/>
            </a:pPr>
            <a:endParaRPr lang="es-ES"/>
          </a:p>
        </c:txPr>
        <c:crossAx val="238664624"/>
        <c:crosses val="autoZero"/>
        <c:auto val="1"/>
        <c:lblAlgn val="ctr"/>
        <c:lblOffset val="100"/>
        <c:noMultiLvlLbl val="0"/>
      </c:catAx>
      <c:valAx>
        <c:axId val="238664624"/>
        <c:scaling>
          <c:orientation val="minMax"/>
        </c:scaling>
        <c:delete val="1"/>
        <c:axPos val="l"/>
        <c:numFmt formatCode="0.00%" sourceLinked="1"/>
        <c:majorTickMark val="out"/>
        <c:minorTickMark val="none"/>
        <c:tickLblPos val="nextTo"/>
        <c:crossAx val="238665016"/>
        <c:crosses val="autoZero"/>
        <c:crossBetween val="between"/>
      </c:valAx>
      <c:spPr>
        <a:noFill/>
        <a:ln w="25400">
          <a:noFill/>
        </a:ln>
      </c:spPr>
    </c:plotArea>
    <c:legend>
      <c:legendPos val="t"/>
      <c:layout>
        <c:manualLayout>
          <c:xMode val="edge"/>
          <c:yMode val="edge"/>
          <c:x val="2.8096018082347475E-3"/>
          <c:y val="0.12480221193939781"/>
          <c:w val="0.98284047651466699"/>
          <c:h val="4.677181243659128E-2"/>
        </c:manualLayout>
      </c:layout>
      <c:overlay val="0"/>
      <c:txPr>
        <a:bodyPr/>
        <a:lstStyle/>
        <a:p>
          <a:pPr>
            <a:defRPr sz="12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s-DO" sz="2000" b="1">
                <a:effectLst/>
              </a:rPr>
              <a:t>Proyección de Crecimiento de la Afiliación en Función de la Tendencia Actual</a:t>
            </a:r>
            <a:endParaRPr lang="es-ES" sz="2000">
              <a:effectLst/>
            </a:endParaRPr>
          </a:p>
        </c:rich>
      </c:tx>
      <c:layout>
        <c:manualLayout>
          <c:xMode val="edge"/>
          <c:yMode val="edge"/>
          <c:x val="0.2968120502911204"/>
          <c:y val="2.6026447403189813E-2"/>
        </c:manualLayout>
      </c:layout>
      <c:overlay val="0"/>
    </c:title>
    <c:autoTitleDeleted val="0"/>
    <c:plotArea>
      <c:layout>
        <c:manualLayout>
          <c:layoutTarget val="inner"/>
          <c:xMode val="edge"/>
          <c:yMode val="edge"/>
          <c:x val="5.0055036444718079E-2"/>
          <c:y val="0.25885770282277892"/>
          <c:w val="0.91398210014340475"/>
          <c:h val="0.53545167301040819"/>
        </c:manualLayout>
      </c:layout>
      <c:barChart>
        <c:barDir val="col"/>
        <c:grouping val="clustered"/>
        <c:varyColors val="0"/>
        <c:ser>
          <c:idx val="0"/>
          <c:order val="0"/>
          <c:tx>
            <c:strRef>
              <c:f>'III.1.7.Proy. afil.Vs pobl.'!$B$4</c:f>
              <c:strCache>
                <c:ptCount val="1"/>
                <c:pt idx="0">
                  <c:v>Población Total</c:v>
                </c:pt>
              </c:strCache>
            </c:strRef>
          </c:tx>
          <c:invertIfNegative val="0"/>
          <c:dPt>
            <c:idx val="0"/>
            <c:invertIfNegative val="0"/>
            <c:bubble3D val="0"/>
            <c:spPr>
              <a:solidFill>
                <a:srgbClr val="0070C0"/>
              </a:solidFill>
            </c:spPr>
          </c:dPt>
          <c:dPt>
            <c:idx val="1"/>
            <c:invertIfNegative val="0"/>
            <c:bubble3D val="0"/>
            <c:spPr>
              <a:solidFill>
                <a:srgbClr val="0070C0"/>
              </a:solidFill>
            </c:spPr>
          </c:dPt>
          <c:dPt>
            <c:idx val="2"/>
            <c:invertIfNegative val="0"/>
            <c:bubble3D val="0"/>
            <c:spPr>
              <a:solidFill>
                <a:srgbClr val="0070C0"/>
              </a:solidFill>
            </c:spPr>
          </c:dPt>
          <c:dPt>
            <c:idx val="3"/>
            <c:invertIfNegative val="0"/>
            <c:bubble3D val="0"/>
            <c:spPr>
              <a:solidFill>
                <a:srgbClr val="0070C0"/>
              </a:solidFill>
            </c:spPr>
          </c:dPt>
          <c:dPt>
            <c:idx val="4"/>
            <c:invertIfNegative val="0"/>
            <c:bubble3D val="0"/>
            <c:spPr>
              <a:solidFill>
                <a:srgbClr val="0070C0"/>
              </a:solidFill>
            </c:spPr>
          </c:dPt>
          <c:dPt>
            <c:idx val="5"/>
            <c:invertIfNegative val="0"/>
            <c:bubble3D val="0"/>
            <c:spPr>
              <a:solidFill>
                <a:srgbClr val="0070C0"/>
              </a:solidFill>
            </c:spPr>
          </c:dPt>
          <c:dPt>
            <c:idx val="6"/>
            <c:invertIfNegative val="0"/>
            <c:bubble3D val="0"/>
            <c:spPr>
              <a:solidFill>
                <a:srgbClr val="0070C0"/>
              </a:solidFill>
            </c:spPr>
          </c:dPt>
          <c:dPt>
            <c:idx val="7"/>
            <c:invertIfNegative val="0"/>
            <c:bubble3D val="0"/>
            <c:spPr>
              <a:solidFill>
                <a:srgbClr val="0070C0"/>
              </a:solidFill>
            </c:spPr>
          </c:dPt>
          <c:dPt>
            <c:idx val="8"/>
            <c:invertIfNegative val="0"/>
            <c:bubble3D val="0"/>
            <c:spPr>
              <a:solidFill>
                <a:srgbClr val="0070C0"/>
              </a:solidFill>
            </c:spPr>
          </c:dPt>
          <c:dPt>
            <c:idx val="9"/>
            <c:invertIfNegative val="0"/>
            <c:bubble3D val="0"/>
            <c:spPr>
              <a:solidFill>
                <a:srgbClr val="0070C0"/>
              </a:solidFill>
            </c:spPr>
          </c:dPt>
          <c:dPt>
            <c:idx val="10"/>
            <c:invertIfNegative val="0"/>
            <c:bubble3D val="0"/>
            <c:spPr>
              <a:pattFill prst="pct70">
                <a:fgClr>
                  <a:schemeClr val="tx2">
                    <a:lumMod val="40000"/>
                    <a:lumOff val="60000"/>
                  </a:schemeClr>
                </a:fgClr>
                <a:bgClr>
                  <a:schemeClr val="bg1"/>
                </a:bgClr>
              </a:pattFill>
            </c:spPr>
          </c:dPt>
          <c:dPt>
            <c:idx val="11"/>
            <c:invertIfNegative val="0"/>
            <c:bubble3D val="0"/>
            <c:spPr>
              <a:pattFill prst="pct70">
                <a:fgClr>
                  <a:schemeClr val="tx2">
                    <a:lumMod val="40000"/>
                    <a:lumOff val="60000"/>
                  </a:schemeClr>
                </a:fgClr>
                <a:bgClr>
                  <a:schemeClr val="bg1"/>
                </a:bgClr>
              </a:pattFill>
            </c:spPr>
          </c:dPt>
          <c:dPt>
            <c:idx val="12"/>
            <c:invertIfNegative val="0"/>
            <c:bubble3D val="0"/>
            <c:spPr>
              <a:pattFill prst="pct70">
                <a:fgClr>
                  <a:schemeClr val="tx2">
                    <a:lumMod val="40000"/>
                    <a:lumOff val="60000"/>
                  </a:schemeClr>
                </a:fgClr>
                <a:bgClr>
                  <a:schemeClr val="bg1"/>
                </a:bgClr>
              </a:pattFill>
            </c:spPr>
          </c:dPt>
          <c:dPt>
            <c:idx val="13"/>
            <c:invertIfNegative val="0"/>
            <c:bubble3D val="0"/>
            <c:spPr>
              <a:pattFill prst="pct70">
                <a:fgClr>
                  <a:schemeClr val="tx2">
                    <a:lumMod val="40000"/>
                    <a:lumOff val="60000"/>
                  </a:schemeClr>
                </a:fgClr>
                <a:bgClr>
                  <a:schemeClr val="bg1"/>
                </a:bgClr>
              </a:pattFill>
            </c:spPr>
          </c:dPt>
          <c:dPt>
            <c:idx val="14"/>
            <c:invertIfNegative val="0"/>
            <c:bubble3D val="0"/>
            <c:spPr>
              <a:pattFill prst="pct70">
                <a:fgClr>
                  <a:schemeClr val="tx2">
                    <a:lumMod val="40000"/>
                    <a:lumOff val="60000"/>
                  </a:schemeClr>
                </a:fgClr>
                <a:bgClr>
                  <a:schemeClr val="bg1"/>
                </a:bgClr>
              </a:pattFill>
            </c:spPr>
          </c:dPt>
          <c:dPt>
            <c:idx val="15"/>
            <c:invertIfNegative val="0"/>
            <c:bubble3D val="0"/>
            <c:spPr>
              <a:pattFill prst="pct70">
                <a:fgClr>
                  <a:schemeClr val="tx2">
                    <a:lumMod val="40000"/>
                    <a:lumOff val="60000"/>
                  </a:schemeClr>
                </a:fgClr>
                <a:bgClr>
                  <a:schemeClr val="bg1"/>
                </a:bgClr>
              </a:pattFill>
            </c:spPr>
          </c:dPt>
          <c:dPt>
            <c:idx val="16"/>
            <c:invertIfNegative val="0"/>
            <c:bubble3D val="0"/>
            <c:spPr>
              <a:pattFill prst="pct70">
                <a:fgClr>
                  <a:schemeClr val="tx2">
                    <a:lumMod val="40000"/>
                    <a:lumOff val="60000"/>
                  </a:schemeClr>
                </a:fgClr>
                <a:bgClr>
                  <a:schemeClr val="bg1"/>
                </a:bgClr>
              </a:pattFill>
            </c:spPr>
          </c:dPt>
          <c:dLbls>
            <c:spPr>
              <a:noFill/>
              <a:ln>
                <a:noFill/>
              </a:ln>
              <a:effectLst/>
            </c:spPr>
            <c:txPr>
              <a:bodyPr rot="-5400000" vert="horz"/>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'III.1.7.Proy. afil.Vs pobl.'!$A$5:$A$21</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Dic.  2020</c:v>
                </c:pt>
                <c:pt idx="16">
                  <c:v>Dic.  2021</c:v>
                </c:pt>
              </c:strCache>
            </c:strRef>
          </c:cat>
          <c:val>
            <c:numRef>
              <c:f>'III.1.7.Proy. afil.Vs pobl.'!$B$5:$B$21</c:f>
              <c:numCache>
                <c:formatCode>#,##0</c:formatCode>
                <c:ptCount val="17"/>
                <c:pt idx="0">
                  <c:v>9020226.0000000037</c:v>
                </c:pt>
                <c:pt idx="1">
                  <c:v>9123786.5</c:v>
                </c:pt>
                <c:pt idx="2">
                  <c:v>9226223</c:v>
                </c:pt>
                <c:pt idx="3">
                  <c:v>9327818</c:v>
                </c:pt>
                <c:pt idx="4">
                  <c:v>9428533.4999999963</c:v>
                </c:pt>
                <c:pt idx="5">
                  <c:v>9529297.5000000037</c:v>
                </c:pt>
                <c:pt idx="6">
                  <c:v>9630258.5</c:v>
                </c:pt>
                <c:pt idx="7">
                  <c:v>9730638.5</c:v>
                </c:pt>
                <c:pt idx="8">
                  <c:v>9830624</c:v>
                </c:pt>
                <c:pt idx="9">
                  <c:v>9930374</c:v>
                </c:pt>
                <c:pt idx="10">
                  <c:v>10028011.5</c:v>
                </c:pt>
                <c:pt idx="11">
                  <c:v>10123138.999999996</c:v>
                </c:pt>
                <c:pt idx="12">
                  <c:v>10217441.000000004</c:v>
                </c:pt>
                <c:pt idx="13">
                  <c:v>10310702.5</c:v>
                </c:pt>
                <c:pt idx="14">
                  <c:v>10402759</c:v>
                </c:pt>
                <c:pt idx="15">
                  <c:v>10492689.000000004</c:v>
                </c:pt>
                <c:pt idx="16">
                  <c:v>10580622.5</c:v>
                </c:pt>
              </c:numCache>
            </c:numRef>
          </c:val>
        </c:ser>
        <c:ser>
          <c:idx val="2"/>
          <c:order val="1"/>
          <c:tx>
            <c:strRef>
              <c:f>'III.1.7.Proy. afil.Vs pobl.'!$D$4</c:f>
              <c:strCache>
                <c:ptCount val="1"/>
                <c:pt idx="0">
                  <c:v>% Afiliación SFS /Pob. Total</c:v>
                </c:pt>
              </c:strCache>
            </c:strRef>
          </c:tx>
          <c:invertIfNegative val="0"/>
          <c:cat>
            <c:strRef>
              <c:f>'III.1.7.Proy. afil.Vs pobl.'!$A$5:$A$21</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Dic.  2020</c:v>
                </c:pt>
                <c:pt idx="16">
                  <c:v>Dic.  2021</c:v>
                </c:pt>
              </c:strCache>
            </c:strRef>
          </c:cat>
          <c:val>
            <c:numRef>
              <c:f>'III.1.7.Proy. afil.Vs pobl.'!$D$5:$D$21</c:f>
              <c:numCache>
                <c:formatCode>0.0%</c:formatCode>
                <c:ptCount val="17"/>
                <c:pt idx="0">
                  <c:v>0.18710307258376888</c:v>
                </c:pt>
                <c:pt idx="1">
                  <c:v>0.23044456377842687</c:v>
                </c:pt>
                <c:pt idx="2">
                  <c:v>0.26550496340701935</c:v>
                </c:pt>
                <c:pt idx="3">
                  <c:v>0.31464378914768704</c:v>
                </c:pt>
                <c:pt idx="4">
                  <c:v>0.37348682061743765</c:v>
                </c:pt>
                <c:pt idx="5">
                  <c:v>0.46326059187468943</c:v>
                </c:pt>
                <c:pt idx="6">
                  <c:v>0.47398229237564082</c:v>
                </c:pt>
                <c:pt idx="7">
                  <c:v>0.51943210098700099</c:v>
                </c:pt>
                <c:pt idx="8">
                  <c:v>0.57354772189435788</c:v>
                </c:pt>
                <c:pt idx="9">
                  <c:v>0.62309989533123322</c:v>
                </c:pt>
                <c:pt idx="10">
                  <c:v>0.68058707351901226</c:v>
                </c:pt>
                <c:pt idx="11">
                  <c:v>0.73714832918919737</c:v>
                </c:pt>
                <c:pt idx="12">
                  <c:v>0.79272050604451716</c:v>
                </c:pt>
                <c:pt idx="13">
                  <c:v>0.84736175832830019</c:v>
                </c:pt>
                <c:pt idx="14">
                  <c:v>0.90112776812382178</c:v>
                </c:pt>
                <c:pt idx="15">
                  <c:v>0.95414388056293253</c:v>
                </c:pt>
                <c:pt idx="16">
                  <c:v>1.0064488171655306</c:v>
                </c:pt>
              </c:numCache>
            </c:numRef>
          </c:val>
        </c:ser>
        <c:dLbls>
          <c:showLegendKey val="0"/>
          <c:showVal val="0"/>
          <c:showCatName val="0"/>
          <c:showSerName val="0"/>
          <c:showPercent val="0"/>
          <c:showBubbleSize val="0"/>
        </c:dLbls>
        <c:gapWidth val="29"/>
        <c:overlap val="82"/>
        <c:axId val="380011992"/>
        <c:axId val="379999056"/>
      </c:barChart>
      <c:lineChart>
        <c:grouping val="standard"/>
        <c:varyColors val="0"/>
        <c:ser>
          <c:idx val="3"/>
          <c:order val="2"/>
          <c:tx>
            <c:strRef>
              <c:f>'III.1.7.Proy. afil.Vs pobl.'!$D$4</c:f>
              <c:strCache>
                <c:ptCount val="1"/>
                <c:pt idx="0">
                  <c:v>% Afiliación SFS /Pob. Total</c:v>
                </c:pt>
              </c:strCache>
            </c:strRef>
          </c:tx>
          <c:spPr>
            <a:ln>
              <a:solidFill>
                <a:schemeClr val="accent6">
                  <a:lumMod val="50000"/>
                </a:schemeClr>
              </a:solidFill>
              <a:prstDash val="solid"/>
            </a:ln>
          </c:spPr>
          <c:marker>
            <c:symbol val="circle"/>
            <c:size val="6"/>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olid"/>
              </a:ln>
            </c:spPr>
          </c:marker>
          <c:dPt>
            <c:idx val="0"/>
            <c:marker>
              <c:spPr>
                <a:solidFill>
                  <a:schemeClr val="accent6">
                    <a:lumMod val="50000"/>
                  </a:schemeClr>
                </a:solidFill>
                <a:ln>
                  <a:solidFill>
                    <a:schemeClr val="tx1"/>
                  </a:solidFill>
                  <a:prstDash val="solid"/>
                </a:ln>
              </c:spPr>
            </c:marker>
            <c:bubble3D val="0"/>
            <c:spPr>
              <a:ln>
                <a:solidFill>
                  <a:schemeClr val="tx1"/>
                </a:solidFill>
                <a:prstDash val="solid"/>
              </a:ln>
            </c:spPr>
          </c:dPt>
          <c:dPt>
            <c:idx val="1"/>
            <c:marker>
              <c:spPr>
                <a:solidFill>
                  <a:schemeClr val="accent6">
                    <a:lumMod val="50000"/>
                  </a:schemeClr>
                </a:solidFill>
                <a:ln>
                  <a:solidFill>
                    <a:schemeClr val="tx1"/>
                  </a:solidFill>
                  <a:prstDash val="solid"/>
                </a:ln>
              </c:spPr>
            </c:marker>
            <c:bubble3D val="0"/>
            <c:spPr>
              <a:ln>
                <a:solidFill>
                  <a:schemeClr val="tx1"/>
                </a:solidFill>
                <a:prstDash val="solid"/>
              </a:ln>
            </c:spPr>
          </c:dPt>
          <c:dPt>
            <c:idx val="2"/>
            <c:marker>
              <c:spPr>
                <a:solidFill>
                  <a:schemeClr val="accent6">
                    <a:lumMod val="50000"/>
                  </a:schemeClr>
                </a:solidFill>
                <a:ln>
                  <a:solidFill>
                    <a:schemeClr val="tx1"/>
                  </a:solidFill>
                  <a:prstDash val="solid"/>
                </a:ln>
              </c:spPr>
            </c:marker>
            <c:bubble3D val="0"/>
            <c:spPr>
              <a:ln>
                <a:solidFill>
                  <a:schemeClr val="tx1"/>
                </a:solidFill>
                <a:prstDash val="solid"/>
              </a:ln>
            </c:spPr>
          </c:dPt>
          <c:dPt>
            <c:idx val="3"/>
            <c:marker>
              <c:spPr>
                <a:solidFill>
                  <a:schemeClr val="accent6">
                    <a:lumMod val="50000"/>
                  </a:schemeClr>
                </a:solidFill>
                <a:ln>
                  <a:solidFill>
                    <a:schemeClr val="tx1"/>
                  </a:solidFill>
                  <a:prstDash val="solid"/>
                </a:ln>
              </c:spPr>
            </c:marker>
            <c:bubble3D val="0"/>
            <c:spPr>
              <a:ln>
                <a:solidFill>
                  <a:schemeClr val="tx1"/>
                </a:solidFill>
                <a:prstDash val="solid"/>
              </a:ln>
            </c:spPr>
          </c:dPt>
          <c:dPt>
            <c:idx val="4"/>
            <c:marker>
              <c:spPr>
                <a:solidFill>
                  <a:schemeClr val="accent6">
                    <a:lumMod val="50000"/>
                  </a:schemeClr>
                </a:solidFill>
                <a:ln>
                  <a:solidFill>
                    <a:schemeClr val="tx1"/>
                  </a:solidFill>
                  <a:prstDash val="solid"/>
                </a:ln>
              </c:spPr>
            </c:marker>
            <c:bubble3D val="0"/>
            <c:spPr>
              <a:ln>
                <a:solidFill>
                  <a:schemeClr val="tx1"/>
                </a:solidFill>
                <a:prstDash val="solid"/>
              </a:ln>
            </c:spPr>
          </c:dPt>
          <c:dPt>
            <c:idx val="5"/>
            <c:marker>
              <c:spPr>
                <a:solidFill>
                  <a:schemeClr val="accent6">
                    <a:lumMod val="50000"/>
                  </a:schemeClr>
                </a:solidFill>
                <a:ln>
                  <a:solidFill>
                    <a:schemeClr val="tx1"/>
                  </a:solidFill>
                  <a:prstDash val="solid"/>
                </a:ln>
              </c:spPr>
            </c:marker>
            <c:bubble3D val="0"/>
            <c:spPr>
              <a:ln>
                <a:solidFill>
                  <a:schemeClr val="tx1"/>
                </a:solidFill>
                <a:prstDash val="solid"/>
              </a:ln>
            </c:spPr>
          </c:dPt>
          <c:dPt>
            <c:idx val="6"/>
            <c:marker>
              <c:spPr>
                <a:solidFill>
                  <a:schemeClr val="accent6">
                    <a:lumMod val="50000"/>
                  </a:schemeClr>
                </a:solidFill>
                <a:ln>
                  <a:solidFill>
                    <a:sysClr val="windowText" lastClr="000000"/>
                  </a:solidFill>
                  <a:prstDash val="solid"/>
                </a:ln>
              </c:spPr>
            </c:marker>
            <c:bubble3D val="0"/>
            <c:spPr>
              <a:ln>
                <a:solidFill>
                  <a:sysClr val="windowText" lastClr="000000"/>
                </a:solidFill>
                <a:prstDash val="solid"/>
              </a:ln>
            </c:spPr>
          </c:dPt>
          <c:dPt>
            <c:idx val="7"/>
            <c:marker>
              <c:spPr>
                <a:solidFill>
                  <a:schemeClr val="accent6">
                    <a:lumMod val="50000"/>
                  </a:schemeClr>
                </a:solidFill>
                <a:ln>
                  <a:solidFill>
                    <a:sysClr val="windowText" lastClr="000000"/>
                  </a:solidFill>
                  <a:prstDash val="solid"/>
                </a:ln>
              </c:spPr>
            </c:marker>
            <c:bubble3D val="0"/>
            <c:spPr>
              <a:ln>
                <a:solidFill>
                  <a:sysClr val="windowText" lastClr="000000"/>
                </a:solidFill>
                <a:prstDash val="solid"/>
              </a:ln>
            </c:spPr>
          </c:dPt>
          <c:dPt>
            <c:idx val="8"/>
            <c:marker>
              <c:spPr>
                <a:solidFill>
                  <a:schemeClr val="accent6">
                    <a:lumMod val="50000"/>
                  </a:schemeClr>
                </a:solidFill>
                <a:ln>
                  <a:solidFill>
                    <a:sysClr val="windowText" lastClr="000000"/>
                  </a:solidFill>
                  <a:prstDash val="solid"/>
                </a:ln>
              </c:spPr>
            </c:marker>
            <c:bubble3D val="0"/>
            <c:spPr>
              <a:ln>
                <a:solidFill>
                  <a:sysClr val="windowText" lastClr="000000"/>
                </a:solidFill>
                <a:prstDash val="solid"/>
              </a:ln>
            </c:spPr>
          </c:dPt>
          <c:dPt>
            <c:idx val="9"/>
            <c:marker>
              <c:spPr>
                <a:solidFill>
                  <a:schemeClr val="accent6">
                    <a:lumMod val="50000"/>
                  </a:schemeClr>
                </a:solidFill>
                <a:ln>
                  <a:solidFill>
                    <a:sysClr val="windowText" lastClr="000000"/>
                  </a:solidFill>
                  <a:prstDash val="solid"/>
                </a:ln>
              </c:spPr>
            </c:marker>
            <c:bubble3D val="0"/>
            <c:spPr>
              <a:ln>
                <a:solidFill>
                  <a:sysClr val="windowText" lastClr="000000"/>
                </a:solidFill>
                <a:prstDash val="solid"/>
              </a:ln>
            </c:spPr>
          </c:dPt>
          <c:dPt>
            <c:idx val="10"/>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dPt>
          <c:dPt>
            <c:idx val="11"/>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dPt>
          <c:dPt>
            <c:idx val="12"/>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dPt>
          <c:dPt>
            <c:idx val="13"/>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dPt>
          <c:dPt>
            <c:idx val="14"/>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dPt>
          <c:dPt>
            <c:idx val="15"/>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dPt>
          <c:dPt>
            <c:idx val="16"/>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dPt>
          <c:dPt>
            <c:idx val="17"/>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dPt>
          <c:dPt>
            <c:idx val="18"/>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dPt>
          <c:dLbls>
            <c:spPr>
              <a:noFill/>
              <a:ln>
                <a:noFill/>
              </a:ln>
              <a:effectLst/>
            </c:spPr>
            <c:txPr>
              <a:bodyPr/>
              <a:lstStyle/>
              <a:p>
                <a:pPr>
                  <a:defRPr sz="1800" b="1">
                    <a:solidFill>
                      <a:schemeClr val="tx1"/>
                    </a:solidFill>
                  </a:defRPr>
                </a:pPr>
                <a:endParaRPr lang="es-ES"/>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'III.1.7.Proy. afil.Vs pobl.'!$A$5:$A$21</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Dic.  2020</c:v>
                </c:pt>
                <c:pt idx="16">
                  <c:v>Dic.  2021</c:v>
                </c:pt>
              </c:strCache>
            </c:strRef>
          </c:cat>
          <c:val>
            <c:numRef>
              <c:f>'III.1.7.Proy. afil.Vs pobl.'!$D$5:$D$21</c:f>
              <c:numCache>
                <c:formatCode>0.0%</c:formatCode>
                <c:ptCount val="17"/>
                <c:pt idx="0">
                  <c:v>0.18710307258376888</c:v>
                </c:pt>
                <c:pt idx="1">
                  <c:v>0.23044456377842687</c:v>
                </c:pt>
                <c:pt idx="2">
                  <c:v>0.26550496340701935</c:v>
                </c:pt>
                <c:pt idx="3">
                  <c:v>0.31464378914768704</c:v>
                </c:pt>
                <c:pt idx="4">
                  <c:v>0.37348682061743765</c:v>
                </c:pt>
                <c:pt idx="5">
                  <c:v>0.46326059187468943</c:v>
                </c:pt>
                <c:pt idx="6">
                  <c:v>0.47398229237564082</c:v>
                </c:pt>
                <c:pt idx="7">
                  <c:v>0.51943210098700099</c:v>
                </c:pt>
                <c:pt idx="8">
                  <c:v>0.57354772189435788</c:v>
                </c:pt>
                <c:pt idx="9">
                  <c:v>0.62309989533123322</c:v>
                </c:pt>
                <c:pt idx="10">
                  <c:v>0.68058707351901226</c:v>
                </c:pt>
                <c:pt idx="11">
                  <c:v>0.73714832918919737</c:v>
                </c:pt>
                <c:pt idx="12">
                  <c:v>0.79272050604451716</c:v>
                </c:pt>
                <c:pt idx="13">
                  <c:v>0.84736175832830019</c:v>
                </c:pt>
                <c:pt idx="14">
                  <c:v>0.90112776812382178</c:v>
                </c:pt>
                <c:pt idx="15">
                  <c:v>0.95414388056293253</c:v>
                </c:pt>
                <c:pt idx="16">
                  <c:v>1.0064488171655306</c:v>
                </c:pt>
              </c:numCache>
            </c:numRef>
          </c:val>
          <c:smooth val="0"/>
        </c:ser>
        <c:dLbls>
          <c:showLegendKey val="0"/>
          <c:showVal val="0"/>
          <c:showCatName val="0"/>
          <c:showSerName val="0"/>
          <c:showPercent val="0"/>
          <c:showBubbleSize val="0"/>
        </c:dLbls>
        <c:marker val="1"/>
        <c:smooth val="0"/>
        <c:axId val="379993176"/>
        <c:axId val="379998664"/>
      </c:lineChart>
      <c:catAx>
        <c:axId val="380011992"/>
        <c:scaling>
          <c:orientation val="minMax"/>
        </c:scaling>
        <c:delete val="0"/>
        <c:axPos val="b"/>
        <c:numFmt formatCode="General" sourceLinked="0"/>
        <c:majorTickMark val="out"/>
        <c:minorTickMark val="none"/>
        <c:tickLblPos val="nextTo"/>
        <c:txPr>
          <a:bodyPr rot="-2700000" vert="horz"/>
          <a:lstStyle/>
          <a:p>
            <a:pPr>
              <a:defRPr sz="1600"/>
            </a:pPr>
            <a:endParaRPr lang="es-ES"/>
          </a:p>
        </c:txPr>
        <c:crossAx val="379999056"/>
        <c:crosses val="autoZero"/>
        <c:auto val="1"/>
        <c:lblAlgn val="ctr"/>
        <c:lblOffset val="100"/>
        <c:noMultiLvlLbl val="0"/>
      </c:catAx>
      <c:valAx>
        <c:axId val="379999056"/>
        <c:scaling>
          <c:orientation val="minMax"/>
        </c:scaling>
        <c:delete val="0"/>
        <c:axPos val="l"/>
        <c:numFmt formatCode="#,##0" sourceLinked="1"/>
        <c:majorTickMark val="out"/>
        <c:minorTickMark val="none"/>
        <c:tickLblPos val="nextTo"/>
        <c:crossAx val="380011992"/>
        <c:crosses val="autoZero"/>
        <c:crossBetween val="between"/>
      </c:valAx>
      <c:valAx>
        <c:axId val="379998664"/>
        <c:scaling>
          <c:orientation val="minMax"/>
          <c:max val="1.1500000000000001"/>
        </c:scaling>
        <c:delete val="0"/>
        <c:axPos val="r"/>
        <c:numFmt formatCode="0.0%" sourceLinked="1"/>
        <c:majorTickMark val="out"/>
        <c:minorTickMark val="none"/>
        <c:tickLblPos val="nextTo"/>
        <c:crossAx val="379993176"/>
        <c:crosses val="max"/>
        <c:crossBetween val="between"/>
        <c:majorUnit val="0.2"/>
      </c:valAx>
      <c:catAx>
        <c:axId val="379993176"/>
        <c:scaling>
          <c:orientation val="minMax"/>
        </c:scaling>
        <c:delete val="1"/>
        <c:axPos val="b"/>
        <c:numFmt formatCode="General" sourceLinked="1"/>
        <c:majorTickMark val="out"/>
        <c:minorTickMark val="none"/>
        <c:tickLblPos val="nextTo"/>
        <c:crossAx val="379998664"/>
        <c:crosses val="autoZero"/>
        <c:auto val="1"/>
        <c:lblAlgn val="ctr"/>
        <c:lblOffset val="100"/>
        <c:noMultiLvlLbl val="0"/>
      </c:catAx>
    </c:plotArea>
    <c:legend>
      <c:legendPos val="r"/>
      <c:layout>
        <c:manualLayout>
          <c:xMode val="edge"/>
          <c:yMode val="edge"/>
          <c:x val="0.26237135175702442"/>
          <c:y val="6.2187899618680591E-2"/>
          <c:w val="0.48686606745947425"/>
          <c:h val="5.2234447327298116E-2"/>
        </c:manualLayout>
      </c:layout>
      <c:overlay val="0"/>
      <c:txPr>
        <a:bodyPr/>
        <a:lstStyle/>
        <a:p>
          <a:pPr>
            <a:defRPr sz="1600"/>
          </a:pPr>
          <a:endParaRPr lang="es-ES"/>
        </a:p>
      </c:txPr>
    </c:legend>
    <c:plotVisOnly val="1"/>
    <c:dispBlanksAs val="gap"/>
    <c:showDLblsOverMax val="0"/>
  </c:chart>
  <c:spPr>
    <a:ln>
      <a:solidFill>
        <a:schemeClr val="bg1"/>
      </a:solidFill>
    </a:ln>
  </c:spPr>
  <c:printSettings>
    <c:headerFooter/>
    <c:pageMargins b="0.75" l="0.7" r="0.7" t="0.75" header="0.3" footer="0.3"/>
    <c:pageSetup orientation="portrait"/>
  </c:printSettings>
  <c:userShapes r:id="rId1"/>
</c:chartSpace>
</file>

<file path=xl/charts/chart9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1800"/>
            </a:pPr>
            <a:r>
              <a:rPr lang="en-US" sz="1800"/>
              <a:t>Cantidad de Expedientes Calificados por la ARL  Según Agente Dañino</a:t>
            </a:r>
          </a:p>
        </c:rich>
      </c:tx>
      <c:layout>
        <c:manualLayout>
          <c:xMode val="edge"/>
          <c:yMode val="edge"/>
          <c:x val="0.24433461947697943"/>
          <c:y val="4.4282705852757322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1.2178407368889779E-2"/>
          <c:y val="0.16002009454035457"/>
          <c:w val="0.96173186888668416"/>
          <c:h val="0.5999982854487752"/>
        </c:manualLayout>
      </c:layout>
      <c:bar3DChart>
        <c:barDir val="col"/>
        <c:grouping val="clustered"/>
        <c:varyColors val="0"/>
        <c:ser>
          <c:idx val="0"/>
          <c:order val="0"/>
          <c:tx>
            <c:strRef>
              <c:f>'V.4.18. EC. x Agente daño'!$J$3</c:f>
              <c:strCache>
                <c:ptCount val="1"/>
                <c:pt idx="0">
                  <c:v>% por Mecanismo</c:v>
                </c:pt>
              </c:strCache>
            </c:strRef>
          </c:tx>
          <c:spPr>
            <a:solidFill>
              <a:srgbClr val="00B050"/>
            </a:solidFill>
          </c:spPr>
          <c:invertIfNegative val="0"/>
          <c:dLbls>
            <c:dLbl>
              <c:idx val="0"/>
              <c:layout>
                <c:manualLayout>
                  <c:x val="1.4162913634212756E-2"/>
                  <c:y val="-2.995306708999523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047727024153936E-2"/>
                  <c:y val="-1.686403171481249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7367869960606529E-2"/>
                  <c:y val="-2.818773359264160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835372098829998E-2"/>
                  <c:y val="-2.300335802261812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1.0415720801677906E-2"/>
                  <c:y val="-2.500658603311883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1.1574326270587755E-2"/>
                  <c:y val="-2.735900804171324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3869829222322473E-2"/>
                  <c:y val="-2.822060273878092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9.4294941542498595E-3"/>
                  <c:y val="-2.438875784756729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1.7811266735805291E-2"/>
                  <c:y val="-5.0994675499458894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'V.4.18. EC. x Agente daño'!$A$4:$A$11</c:f>
              <c:strCache>
                <c:ptCount val="8"/>
                <c:pt idx="0">
                  <c:v>Radiaciones</c:v>
                </c:pt>
                <c:pt idx="1">
                  <c:v>Animales o productos animales</c:v>
                </c:pt>
                <c:pt idx="2">
                  <c:v>Materiales o sustancias</c:v>
                </c:pt>
                <c:pt idx="3">
                  <c:v>Maquinarias y/o equipos</c:v>
                </c:pt>
                <c:pt idx="4">
                  <c:v>Otros agentes no clasificados</c:v>
                </c:pt>
                <c:pt idx="5">
                  <c:v>Ambiente de trabajo</c:v>
                </c:pt>
                <c:pt idx="6">
                  <c:v>Herramientas e implementos</c:v>
                </c:pt>
                <c:pt idx="7">
                  <c:v>Medio de Transporte</c:v>
                </c:pt>
              </c:strCache>
            </c:strRef>
          </c:cat>
          <c:val>
            <c:numRef>
              <c:f>'V.4.18. EC. x Agente daño'!$J$4:$J$11</c:f>
              <c:numCache>
                <c:formatCode>0.00%</c:formatCode>
                <c:ptCount val="8"/>
                <c:pt idx="0">
                  <c:v>7.9405525202365574E-4</c:v>
                </c:pt>
                <c:pt idx="1">
                  <c:v>7.9701814475508729E-3</c:v>
                </c:pt>
                <c:pt idx="2">
                  <c:v>3.2959218744444574E-2</c:v>
                </c:pt>
                <c:pt idx="3">
                  <c:v>9.2317811725944277E-2</c:v>
                </c:pt>
                <c:pt idx="4">
                  <c:v>0.1384085710560935</c:v>
                </c:pt>
                <c:pt idx="5">
                  <c:v>0.23428777984521848</c:v>
                </c:pt>
                <c:pt idx="6">
                  <c:v>0.22093698519738791</c:v>
                </c:pt>
                <c:pt idx="7">
                  <c:v>0.27232539673133677</c:v>
                </c:pt>
              </c:numCache>
            </c:numRef>
          </c:val>
        </c:ser>
        <c:dLbls>
          <c:showLegendKey val="0"/>
          <c:showVal val="0"/>
          <c:showCatName val="0"/>
          <c:showSerName val="0"/>
          <c:showPercent val="0"/>
          <c:showBubbleSize val="0"/>
        </c:dLbls>
        <c:gapWidth val="75"/>
        <c:shape val="cylinder"/>
        <c:axId val="238667368"/>
        <c:axId val="238667760"/>
        <c:axId val="0"/>
      </c:bar3DChart>
      <c:catAx>
        <c:axId val="238667368"/>
        <c:scaling>
          <c:orientation val="minMax"/>
        </c:scaling>
        <c:delete val="0"/>
        <c:axPos val="b"/>
        <c:numFmt formatCode="General" sourceLinked="1"/>
        <c:majorTickMark val="none"/>
        <c:minorTickMark val="none"/>
        <c:tickLblPos val="nextTo"/>
        <c:txPr>
          <a:bodyPr/>
          <a:lstStyle/>
          <a:p>
            <a:pPr>
              <a:defRPr sz="1400" b="1"/>
            </a:pPr>
            <a:endParaRPr lang="es-ES"/>
          </a:p>
        </c:txPr>
        <c:crossAx val="238667760"/>
        <c:crosses val="autoZero"/>
        <c:auto val="1"/>
        <c:lblAlgn val="ctr"/>
        <c:lblOffset val="100"/>
        <c:noMultiLvlLbl val="0"/>
      </c:catAx>
      <c:valAx>
        <c:axId val="238667760"/>
        <c:scaling>
          <c:orientation val="minMax"/>
        </c:scaling>
        <c:delete val="1"/>
        <c:axPos val="l"/>
        <c:numFmt formatCode="0.00%" sourceLinked="1"/>
        <c:majorTickMark val="out"/>
        <c:minorTickMark val="none"/>
        <c:tickLblPos val="nextTo"/>
        <c:crossAx val="238667368"/>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9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title>
      <c:tx>
        <c:rich>
          <a:bodyPr/>
          <a:lstStyle/>
          <a:p>
            <a:pPr>
              <a:defRPr/>
            </a:pPr>
            <a:r>
              <a:rPr lang="en-US"/>
              <a:t>Cantidad de Expedientes Calificados por la ARL Según Lugar del Accidente</a:t>
            </a:r>
          </a:p>
        </c:rich>
      </c:tx>
      <c:layout>
        <c:manualLayout>
          <c:xMode val="edge"/>
          <c:yMode val="edge"/>
          <c:x val="0.27137813328086707"/>
          <c:y val="3.9095030063252767E-2"/>
        </c:manualLayout>
      </c:layout>
      <c:overlay val="0"/>
    </c:title>
    <c:autoTitleDeleted val="0"/>
    <c:view3D>
      <c:rotX val="10"/>
      <c:rotY val="20"/>
      <c:depthPercent val="100"/>
      <c:rAngAx val="1"/>
    </c:view3D>
    <c:floor>
      <c:thickness val="0"/>
    </c:floor>
    <c:sideWall>
      <c:thickness val="0"/>
    </c:sideWall>
    <c:backWall>
      <c:thickness val="0"/>
    </c:backWall>
    <c:plotArea>
      <c:layout>
        <c:manualLayout>
          <c:layoutTarget val="inner"/>
          <c:xMode val="edge"/>
          <c:yMode val="edge"/>
          <c:x val="3.6575290508340512E-2"/>
          <c:y val="0.13986823913693805"/>
          <c:w val="0.92478749268995164"/>
          <c:h val="0.62970451344944522"/>
        </c:manualLayout>
      </c:layout>
      <c:bar3DChart>
        <c:barDir val="col"/>
        <c:grouping val="clustered"/>
        <c:varyColors val="0"/>
        <c:ser>
          <c:idx val="0"/>
          <c:order val="0"/>
          <c:tx>
            <c:strRef>
              <c:f>'V.4.19. EC. x  lugar de accid.'!$J$3</c:f>
              <c:strCache>
                <c:ptCount val="1"/>
                <c:pt idx="0">
                  <c:v>% por Mecanismo</c:v>
                </c:pt>
              </c:strCache>
            </c:strRef>
          </c:tx>
          <c:invertIfNegative val="0"/>
          <c:dLbls>
            <c:dLbl>
              <c:idx val="0"/>
              <c:layout>
                <c:manualLayout>
                  <c:x val="1.4403200829936381E-2"/>
                  <c:y val="-2.5436772722942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339711090199102E-2"/>
                  <c:y val="-3.139152023690874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3397462141317911E-2"/>
                  <c:y val="-2.987113135463806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3376106790242965E-2"/>
                  <c:y val="-3.039535830372716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1.7836705746022561E-2"/>
                  <c:y val="-3.248001017078719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1.3308518912874651E-2"/>
                  <c:y val="-1.843900838429218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2324700046804592E-2"/>
                  <c:y val="-1.353688576502952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1835641350366155E-2"/>
                  <c:y val="-3.444618805465229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1.27286130705334E-2"/>
                  <c:y val="-1.8906767533303968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'V.4.19. EC. x  lugar de accid.'!$A$4:$A$12</c:f>
              <c:strCache>
                <c:ptCount val="9"/>
                <c:pt idx="0">
                  <c:v>Almacenes o depósitos</c:v>
                </c:pt>
                <c:pt idx="1">
                  <c:v>Area de producción </c:v>
                </c:pt>
                <c:pt idx="2">
                  <c:v>Area de recreación</c:v>
                </c:pt>
                <c:pt idx="3">
                  <c:v>Corredores o pasillos</c:v>
                </c:pt>
                <c:pt idx="4">
                  <c:v>Escaleras</c:v>
                </c:pt>
                <c:pt idx="5">
                  <c:v>Oficinas</c:v>
                </c:pt>
                <c:pt idx="6">
                  <c:v>Otras áreas comunes</c:v>
                </c:pt>
                <c:pt idx="7">
                  <c:v>Parqueos o área de circulación vehicular</c:v>
                </c:pt>
                <c:pt idx="8">
                  <c:v>Otros</c:v>
                </c:pt>
              </c:strCache>
            </c:strRef>
          </c:cat>
          <c:val>
            <c:numRef>
              <c:f>'V.4.19. EC. x  lugar de accid.'!$J$4:$J$12</c:f>
              <c:numCache>
                <c:formatCode>0.00%</c:formatCode>
                <c:ptCount val="9"/>
                <c:pt idx="0">
                  <c:v>3.0707420268556596E-2</c:v>
                </c:pt>
                <c:pt idx="1">
                  <c:v>0.41004657667373812</c:v>
                </c:pt>
                <c:pt idx="2">
                  <c:v>3.3539945719805158E-3</c:v>
                </c:pt>
                <c:pt idx="3">
                  <c:v>2.9356341183023809E-2</c:v>
                </c:pt>
                <c:pt idx="4">
                  <c:v>3.2680706827690011E-2</c:v>
                </c:pt>
                <c:pt idx="5">
                  <c:v>6.9568721334012824E-3</c:v>
                </c:pt>
                <c:pt idx="6">
                  <c:v>5.562534813989594E-2</c:v>
                </c:pt>
                <c:pt idx="7">
                  <c:v>0.27321426455076619</c:v>
                </c:pt>
                <c:pt idx="8">
                  <c:v>0.15805847565094752</c:v>
                </c:pt>
              </c:numCache>
            </c:numRef>
          </c:val>
        </c:ser>
        <c:dLbls>
          <c:showLegendKey val="0"/>
          <c:showVal val="0"/>
          <c:showCatName val="0"/>
          <c:showSerName val="0"/>
          <c:showPercent val="0"/>
          <c:showBubbleSize val="0"/>
        </c:dLbls>
        <c:gapWidth val="45"/>
        <c:shape val="cylinder"/>
        <c:axId val="238663448"/>
        <c:axId val="238663056"/>
        <c:axId val="0"/>
      </c:bar3DChart>
      <c:catAx>
        <c:axId val="238663448"/>
        <c:scaling>
          <c:orientation val="minMax"/>
        </c:scaling>
        <c:delete val="0"/>
        <c:axPos val="b"/>
        <c:numFmt formatCode="General" sourceLinked="1"/>
        <c:majorTickMark val="none"/>
        <c:minorTickMark val="none"/>
        <c:tickLblPos val="nextTo"/>
        <c:txPr>
          <a:bodyPr/>
          <a:lstStyle/>
          <a:p>
            <a:pPr>
              <a:defRPr sz="1600" b="1"/>
            </a:pPr>
            <a:endParaRPr lang="es-ES"/>
          </a:p>
        </c:txPr>
        <c:crossAx val="238663056"/>
        <c:crosses val="autoZero"/>
        <c:auto val="1"/>
        <c:lblAlgn val="ctr"/>
        <c:lblOffset val="100"/>
        <c:noMultiLvlLbl val="0"/>
      </c:catAx>
      <c:valAx>
        <c:axId val="238663056"/>
        <c:scaling>
          <c:orientation val="minMax"/>
        </c:scaling>
        <c:delete val="1"/>
        <c:axPos val="l"/>
        <c:numFmt formatCode="0.00%" sourceLinked="1"/>
        <c:majorTickMark val="out"/>
        <c:minorTickMark val="none"/>
        <c:tickLblPos val="nextTo"/>
        <c:crossAx val="238663448"/>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9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2400"/>
            </a:pPr>
            <a:r>
              <a:rPr lang="es-DO" sz="2400" b="1">
                <a:effectLst/>
              </a:rPr>
              <a:t>Accidentes Laborales con Lesiones Discapacitantes                                                                                                                                                                                                              </a:t>
            </a:r>
            <a:endParaRPr lang="es-ES" sz="2400">
              <a:effectLst/>
            </a:endParaRPr>
          </a:p>
        </c:rich>
      </c:tx>
      <c:layout>
        <c:manualLayout>
          <c:xMode val="edge"/>
          <c:yMode val="edge"/>
          <c:x val="0.30153381984236621"/>
          <c:y val="7.2818437575281378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8.6360248941777587E-3"/>
          <c:y val="0.20199538838890335"/>
          <c:w val="0.97695809679142853"/>
          <c:h val="0.65626742428251772"/>
        </c:manualLayout>
      </c:layout>
      <c:bar3DChart>
        <c:barDir val="col"/>
        <c:grouping val="clustered"/>
        <c:varyColors val="0"/>
        <c:ser>
          <c:idx val="0"/>
          <c:order val="0"/>
          <c:tx>
            <c:strRef>
              <c:f>'V.4.20.EC. Accid incapac.'!$B$3</c:f>
              <c:strCache>
                <c:ptCount val="1"/>
                <c:pt idx="0">
                  <c:v>Lesión Discapacitante</c:v>
                </c:pt>
              </c:strCache>
            </c:strRef>
          </c:tx>
          <c:invertIfNegative val="0"/>
          <c:dPt>
            <c:idx val="0"/>
            <c:invertIfNegative val="0"/>
            <c:bubble3D val="0"/>
          </c:dPt>
          <c:dPt>
            <c:idx val="1"/>
            <c:invertIfNegative val="0"/>
            <c:bubble3D val="0"/>
          </c:dPt>
          <c:dPt>
            <c:idx val="2"/>
            <c:invertIfNegative val="0"/>
            <c:bubble3D val="0"/>
          </c:dPt>
          <c:dLbls>
            <c:dLbl>
              <c:idx val="0"/>
              <c:layout>
                <c:manualLayout>
                  <c:x val="1.8316839791157634E-2"/>
                  <c:y val="-3.004776736731790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5423422716348317E-2"/>
                  <c:y val="-2.730217045645935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2.013205644392993E-2"/>
                  <c:y val="-3.13381796258519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4233413121353736E-2"/>
                  <c:y val="-2.369979035165351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1.7505148978628475E-2"/>
                  <c:y val="-2.111613926476259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1.4416005041223451E-2"/>
                  <c:y val="-2.322775319123889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4080739682137629E-2"/>
                  <c:y val="-2.956259497066761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800" b="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'V.4.20.EC. Accid incapac.'!$A$4:$A$10</c:f>
              <c:strCache>
                <c:ptCount val="7"/>
                <c:pt idx="0">
                  <c:v>2009</c:v>
                </c:pt>
                <c:pt idx="1">
                  <c:v>2010</c:v>
                </c:pt>
                <c:pt idx="2">
                  <c:v>2011</c:v>
                </c:pt>
                <c:pt idx="3">
                  <c:v>2012</c:v>
                </c:pt>
                <c:pt idx="4">
                  <c:v>2013</c:v>
                </c:pt>
                <c:pt idx="5">
                  <c:v>2014</c:v>
                </c:pt>
                <c:pt idx="6">
                  <c:v>Ene-Nov.2015</c:v>
                </c:pt>
              </c:strCache>
            </c:strRef>
          </c:cat>
          <c:val>
            <c:numRef>
              <c:f>'V.4.20.EC. Accid incapac.'!$B$4:$B$10</c:f>
              <c:numCache>
                <c:formatCode>_(* #,##0_);_(* \(#,##0\);_(* "-"??_);_(@_)</c:formatCode>
                <c:ptCount val="7"/>
                <c:pt idx="0">
                  <c:v>10456</c:v>
                </c:pt>
                <c:pt idx="1">
                  <c:v>13140</c:v>
                </c:pt>
                <c:pt idx="2">
                  <c:v>17313</c:v>
                </c:pt>
                <c:pt idx="3">
                  <c:v>20883</c:v>
                </c:pt>
                <c:pt idx="4">
                  <c:v>22389</c:v>
                </c:pt>
                <c:pt idx="5">
                  <c:v>25583</c:v>
                </c:pt>
                <c:pt idx="6">
                  <c:v>27304</c:v>
                </c:pt>
              </c:numCache>
            </c:numRef>
          </c:val>
        </c:ser>
        <c:dLbls>
          <c:showLegendKey val="0"/>
          <c:showVal val="0"/>
          <c:showCatName val="0"/>
          <c:showSerName val="0"/>
          <c:showPercent val="0"/>
          <c:showBubbleSize val="0"/>
        </c:dLbls>
        <c:gapWidth val="65"/>
        <c:shape val="cylinder"/>
        <c:axId val="238662272"/>
        <c:axId val="238661880"/>
        <c:axId val="0"/>
      </c:bar3DChart>
      <c:catAx>
        <c:axId val="238662272"/>
        <c:scaling>
          <c:orientation val="minMax"/>
        </c:scaling>
        <c:delete val="0"/>
        <c:axPos val="b"/>
        <c:numFmt formatCode="General" sourceLinked="1"/>
        <c:majorTickMark val="out"/>
        <c:minorTickMark val="none"/>
        <c:tickLblPos val="nextTo"/>
        <c:txPr>
          <a:bodyPr/>
          <a:lstStyle/>
          <a:p>
            <a:pPr>
              <a:defRPr sz="1600"/>
            </a:pPr>
            <a:endParaRPr lang="es-ES"/>
          </a:p>
        </c:txPr>
        <c:crossAx val="238661880"/>
        <c:crosses val="autoZero"/>
        <c:auto val="1"/>
        <c:lblAlgn val="ctr"/>
        <c:lblOffset val="100"/>
        <c:noMultiLvlLbl val="0"/>
      </c:catAx>
      <c:valAx>
        <c:axId val="238661880"/>
        <c:scaling>
          <c:orientation val="minMax"/>
        </c:scaling>
        <c:delete val="1"/>
        <c:axPos val="l"/>
        <c:numFmt formatCode="_(* #,##0_);_(* \(#,##0\);_(* &quot;-&quot;??_);_(@_)" sourceLinked="1"/>
        <c:majorTickMark val="out"/>
        <c:minorTickMark val="none"/>
        <c:tickLblPos val="nextTo"/>
        <c:crossAx val="238662272"/>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9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sz="1800" b="1">
                <a:effectLst/>
              </a:rPr>
              <a:t>Cantidad de Expedientes de Enfermedades Profesionales Calificados en  Proceso de Investigación</a:t>
            </a:r>
            <a:endParaRPr lang="es-ES">
              <a:effectLst/>
            </a:endParaRPr>
          </a:p>
        </c:rich>
      </c:tx>
      <c:layout>
        <c:manualLayout>
          <c:xMode val="edge"/>
          <c:yMode val="edge"/>
          <c:x val="0.16136132732477526"/>
          <c:y val="4.6099745395429062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3.9316724339523461E-3"/>
          <c:y val="0.24191499711876924"/>
          <c:w val="0.98603115340121283"/>
          <c:h val="0.58299744372456908"/>
        </c:manualLayout>
      </c:layout>
      <c:bar3DChart>
        <c:barDir val="col"/>
        <c:grouping val="clustered"/>
        <c:varyColors val="0"/>
        <c:ser>
          <c:idx val="0"/>
          <c:order val="0"/>
          <c:tx>
            <c:strRef>
              <c:f>'V.4.21. EC. Enferm. Prof (R)'!$E$3</c:f>
              <c:strCache>
                <c:ptCount val="1"/>
                <c:pt idx="0">
                  <c:v>% Aprobados</c:v>
                </c:pt>
              </c:strCache>
            </c:strRef>
          </c:tx>
          <c:spPr>
            <a:solidFill>
              <a:schemeClr val="accent3">
                <a:lumMod val="75000"/>
              </a:schemeClr>
            </a:solidFill>
          </c:spPr>
          <c:invertIfNegative val="0"/>
          <c:dLbls>
            <c:dLbl>
              <c:idx val="0"/>
              <c:layout>
                <c:manualLayout>
                  <c:x val="8.4951140809864656E-3"/>
                  <c:y val="-1.541290554323571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7.78525962327563E-3"/>
                  <c:y val="-1.116353993680626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5.3917594563215061E-3"/>
                  <c:y val="-1.293506030234146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2485878966680538E-2"/>
                  <c:y val="-1.191652295572390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9.4307397184570842E-3"/>
                  <c:y val="-1.8053888832174795E-2"/>
                </c:manualLayout>
              </c:layout>
              <c:spPr/>
              <c:txPr>
                <a:bodyPr rot="-5400000" vert="horz"/>
                <a:lstStyle/>
                <a:p>
                  <a:pPr>
                    <a:defRPr sz="18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6.8348721790487408E-3"/>
                  <c:y val="-1.470889702961360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6.8348721790485976E-3"/>
                  <c:y val="-2.1012710042305038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'V.4.21. EC. Enferm. Prof (R)'!$A$4:$A$10</c:f>
              <c:strCache>
                <c:ptCount val="7"/>
                <c:pt idx="0">
                  <c:v>2009</c:v>
                </c:pt>
                <c:pt idx="1">
                  <c:v>2010</c:v>
                </c:pt>
                <c:pt idx="2">
                  <c:v>2011</c:v>
                </c:pt>
                <c:pt idx="3">
                  <c:v>2012</c:v>
                </c:pt>
                <c:pt idx="4">
                  <c:v>2013</c:v>
                </c:pt>
                <c:pt idx="5">
                  <c:v>2014</c:v>
                </c:pt>
                <c:pt idx="6">
                  <c:v>Ene - Nov. 2015</c:v>
                </c:pt>
              </c:strCache>
            </c:strRef>
          </c:cat>
          <c:val>
            <c:numRef>
              <c:f>'V.4.21. EC. Enferm. Prof (R)'!$E$4:$E$10</c:f>
              <c:numCache>
                <c:formatCode>0.0%</c:formatCode>
                <c:ptCount val="7"/>
                <c:pt idx="0">
                  <c:v>0.54081632653061229</c:v>
                </c:pt>
                <c:pt idx="1">
                  <c:v>0.38306451612903225</c:v>
                </c:pt>
                <c:pt idx="2">
                  <c:v>0.57215189873417727</c:v>
                </c:pt>
                <c:pt idx="3">
                  <c:v>0.4321266968325792</c:v>
                </c:pt>
                <c:pt idx="4">
                  <c:v>0.23505976095617531</c:v>
                </c:pt>
                <c:pt idx="5">
                  <c:v>0.2890995260663507</c:v>
                </c:pt>
                <c:pt idx="6">
                  <c:v>0.28749999999999998</c:v>
                </c:pt>
              </c:numCache>
            </c:numRef>
          </c:val>
        </c:ser>
        <c:ser>
          <c:idx val="1"/>
          <c:order val="1"/>
          <c:tx>
            <c:strRef>
              <c:f>'V.4.21. EC. Enferm. Prof (R)'!$F$3</c:f>
              <c:strCache>
                <c:ptCount val="1"/>
                <c:pt idx="0">
                  <c:v>% Declinados</c:v>
                </c:pt>
              </c:strCache>
            </c:strRef>
          </c:tx>
          <c:spPr>
            <a:solidFill>
              <a:srgbClr val="0070C0"/>
            </a:solidFill>
          </c:spPr>
          <c:invertIfNegative val="0"/>
          <c:dLbls>
            <c:dLbl>
              <c:idx val="0"/>
              <c:layout>
                <c:manualLayout>
                  <c:x val="1.1599574972338746E-2"/>
                  <c:y val="-9.111408892280995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7.0743910877680647E-3"/>
                  <c:y val="-1.532521470605121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7.8626982913895388E-3"/>
                  <c:y val="-8.941818122254594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8.1844375196247106E-3"/>
                  <c:y val="-9.4699485982785124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1.0890428944791314E-2"/>
                  <c:y val="-2.2256430840635801E-2"/>
                </c:manualLayout>
              </c:layout>
              <c:spPr/>
              <c:txPr>
                <a:bodyPr rot="-5400000" vert="horz"/>
                <a:lstStyle/>
                <a:p>
                  <a:pPr>
                    <a:defRPr sz="18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7.0248199159542385E-3"/>
                  <c:y val="-3.151906506345755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5.9801731362145423E-3"/>
                  <c:y val="-3.1519065063457558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'V.4.21. EC. Enferm. Prof (R)'!$A$4:$A$10</c:f>
              <c:strCache>
                <c:ptCount val="7"/>
                <c:pt idx="0">
                  <c:v>2009</c:v>
                </c:pt>
                <c:pt idx="1">
                  <c:v>2010</c:v>
                </c:pt>
                <c:pt idx="2">
                  <c:v>2011</c:v>
                </c:pt>
                <c:pt idx="3">
                  <c:v>2012</c:v>
                </c:pt>
                <c:pt idx="4">
                  <c:v>2013</c:v>
                </c:pt>
                <c:pt idx="5">
                  <c:v>2014</c:v>
                </c:pt>
                <c:pt idx="6">
                  <c:v>Ene - Nov. 2015</c:v>
                </c:pt>
              </c:strCache>
            </c:strRef>
          </c:cat>
          <c:val>
            <c:numRef>
              <c:f>'V.4.21. EC. Enferm. Prof (R)'!$F$4:$F$10</c:f>
              <c:numCache>
                <c:formatCode>0.0%</c:formatCode>
                <c:ptCount val="7"/>
                <c:pt idx="0">
                  <c:v>0.45918367346938777</c:v>
                </c:pt>
                <c:pt idx="1">
                  <c:v>0.61693548387096775</c:v>
                </c:pt>
                <c:pt idx="2">
                  <c:v>0.42784810126582279</c:v>
                </c:pt>
                <c:pt idx="3">
                  <c:v>0.5678733031674208</c:v>
                </c:pt>
                <c:pt idx="4">
                  <c:v>0.76494023904382469</c:v>
                </c:pt>
                <c:pt idx="5">
                  <c:v>0.7109004739336493</c:v>
                </c:pt>
                <c:pt idx="6">
                  <c:v>0.71250000000000002</c:v>
                </c:pt>
              </c:numCache>
            </c:numRef>
          </c:val>
        </c:ser>
        <c:dLbls>
          <c:showLegendKey val="0"/>
          <c:showVal val="0"/>
          <c:showCatName val="0"/>
          <c:showSerName val="0"/>
          <c:showPercent val="0"/>
          <c:showBubbleSize val="0"/>
        </c:dLbls>
        <c:gapWidth val="75"/>
        <c:shape val="cylinder"/>
        <c:axId val="238660704"/>
        <c:axId val="238660312"/>
        <c:axId val="0"/>
      </c:bar3DChart>
      <c:catAx>
        <c:axId val="238660704"/>
        <c:scaling>
          <c:orientation val="minMax"/>
        </c:scaling>
        <c:delete val="0"/>
        <c:axPos val="b"/>
        <c:numFmt formatCode="General" sourceLinked="1"/>
        <c:majorTickMark val="none"/>
        <c:minorTickMark val="none"/>
        <c:tickLblPos val="nextTo"/>
        <c:txPr>
          <a:bodyPr/>
          <a:lstStyle/>
          <a:p>
            <a:pPr>
              <a:defRPr sz="1600"/>
            </a:pPr>
            <a:endParaRPr lang="es-ES"/>
          </a:p>
        </c:txPr>
        <c:crossAx val="238660312"/>
        <c:crosses val="autoZero"/>
        <c:auto val="1"/>
        <c:lblAlgn val="ctr"/>
        <c:lblOffset val="100"/>
        <c:noMultiLvlLbl val="0"/>
      </c:catAx>
      <c:valAx>
        <c:axId val="238660312"/>
        <c:scaling>
          <c:orientation val="minMax"/>
        </c:scaling>
        <c:delete val="1"/>
        <c:axPos val="l"/>
        <c:numFmt formatCode="0.0%" sourceLinked="1"/>
        <c:majorTickMark val="out"/>
        <c:minorTickMark val="none"/>
        <c:tickLblPos val="nextTo"/>
        <c:crossAx val="238660704"/>
        <c:crosses val="autoZero"/>
        <c:crossBetween val="between"/>
      </c:valAx>
      <c:spPr>
        <a:noFill/>
        <a:ln w="25400">
          <a:noFill/>
        </a:ln>
      </c:spPr>
    </c:plotArea>
    <c:legend>
      <c:legendPos val="t"/>
      <c:layout>
        <c:manualLayout>
          <c:xMode val="edge"/>
          <c:yMode val="edge"/>
          <c:x val="0.17403302281752545"/>
          <c:y val="0.11730521388929596"/>
          <c:w val="0.62983333619795689"/>
          <c:h val="4.1325232331933685E-2"/>
        </c:manualLayout>
      </c:layout>
      <c:overlay val="0"/>
      <c:txPr>
        <a:bodyPr/>
        <a:lstStyle/>
        <a:p>
          <a:pPr>
            <a:defRPr sz="14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sz="1800" b="1">
                <a:effectLst/>
              </a:rPr>
              <a:t>Cantidad de Expedientes de Accidentes Laborales Calificados en Proceso de Reinvestigación</a:t>
            </a:r>
            <a:endParaRPr lang="es-ES">
              <a:effectLst/>
            </a:endParaRPr>
          </a:p>
        </c:rich>
      </c:tx>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5.1757214141349168E-3"/>
          <c:y val="0.21522816534349423"/>
          <c:w val="0.98642299307152148"/>
          <c:h val="0.58050983838650172"/>
        </c:manualLayout>
      </c:layout>
      <c:bar3DChart>
        <c:barDir val="col"/>
        <c:grouping val="clustered"/>
        <c:varyColors val="0"/>
        <c:ser>
          <c:idx val="0"/>
          <c:order val="0"/>
          <c:tx>
            <c:strRef>
              <c:f>'V.4.22.EC. Accid Lab.(R)'!$E$3</c:f>
              <c:strCache>
                <c:ptCount val="1"/>
                <c:pt idx="0">
                  <c:v>% Aprobados</c:v>
                </c:pt>
              </c:strCache>
            </c:strRef>
          </c:tx>
          <c:spPr>
            <a:solidFill>
              <a:schemeClr val="accent3">
                <a:lumMod val="75000"/>
              </a:schemeClr>
            </a:solidFill>
          </c:spPr>
          <c:invertIfNegative val="0"/>
          <c:dLbls>
            <c:dLbl>
              <c:idx val="0"/>
              <c:layout>
                <c:manualLayout>
                  <c:x val="1.180432243732326E-2"/>
                  <c:y val="-1.349704635538619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0859709718806254E-2"/>
                  <c:y val="-1.561886251524009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5.8926149951523225E-3"/>
                  <c:y val="-1.940385733743476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8.850739419888046E-3"/>
                  <c:y val="-1.409262149988012E-2"/>
                </c:manualLayout>
              </c:layout>
              <c:spPr/>
              <c:txPr>
                <a:bodyPr/>
                <a:lstStyle/>
                <a:p>
                  <a:pPr>
                    <a:defRPr sz="1400" b="0">
                      <a:solidFill>
                        <a:sysClr val="windowText" lastClr="000000"/>
                      </a:solidFill>
                    </a:defRPr>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8.2394103881632645E-3"/>
                  <c:y val="-1.417201026378757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5.8852931344024794E-3"/>
                  <c:y val="-1.21474373689607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7.0623517612828715E-3"/>
                  <c:y val="-1.0122864474134003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400">
                    <a:solidFill>
                      <a:sysClr val="windowText" lastClr="00000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'V.4.22.EC. Accid Lab.(R)'!$A$4:$A$10</c:f>
              <c:strCache>
                <c:ptCount val="7"/>
                <c:pt idx="0">
                  <c:v>2009</c:v>
                </c:pt>
                <c:pt idx="1">
                  <c:v>2010</c:v>
                </c:pt>
                <c:pt idx="2">
                  <c:v>2011</c:v>
                </c:pt>
                <c:pt idx="3">
                  <c:v>2012</c:v>
                </c:pt>
                <c:pt idx="4">
                  <c:v>2013</c:v>
                </c:pt>
                <c:pt idx="5">
                  <c:v>2014</c:v>
                </c:pt>
                <c:pt idx="6">
                  <c:v>Ene-Nov. 2015</c:v>
                </c:pt>
              </c:strCache>
            </c:strRef>
          </c:cat>
          <c:val>
            <c:numRef>
              <c:f>'V.4.22.EC. Accid Lab.(R)'!$E$4:$E$10</c:f>
              <c:numCache>
                <c:formatCode>0.0%</c:formatCode>
                <c:ptCount val="7"/>
                <c:pt idx="0">
                  <c:v>0.58940397350993379</c:v>
                </c:pt>
                <c:pt idx="1">
                  <c:v>0.6095890410958904</c:v>
                </c:pt>
                <c:pt idx="2">
                  <c:v>0.5</c:v>
                </c:pt>
                <c:pt idx="3">
                  <c:v>0.36885245901639346</c:v>
                </c:pt>
                <c:pt idx="4">
                  <c:v>0.37264150943396224</c:v>
                </c:pt>
                <c:pt idx="5">
                  <c:v>0.36464088397790057</c:v>
                </c:pt>
                <c:pt idx="6">
                  <c:v>0.35826771653543305</c:v>
                </c:pt>
              </c:numCache>
            </c:numRef>
          </c:val>
        </c:ser>
        <c:ser>
          <c:idx val="1"/>
          <c:order val="1"/>
          <c:tx>
            <c:strRef>
              <c:f>'V.4.22.EC. Accid Lab.(R)'!$F$3</c:f>
              <c:strCache>
                <c:ptCount val="1"/>
                <c:pt idx="0">
                  <c:v>% Declinados</c:v>
                </c:pt>
              </c:strCache>
            </c:strRef>
          </c:tx>
          <c:spPr>
            <a:solidFill>
              <a:srgbClr val="0070C0"/>
            </a:solidFill>
          </c:spPr>
          <c:invertIfNegative val="0"/>
          <c:dLbls>
            <c:dLbl>
              <c:idx val="0"/>
              <c:layout>
                <c:manualLayout>
                  <c:x val="9.9589354830069352E-3"/>
                  <c:y val="-1.14563725265138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9.0761415128465753E-3"/>
                  <c:y val="-7.507817720847499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6744910171427003E-2"/>
                  <c:y val="-1.549611282004193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0534396665235351E-2"/>
                  <c:y val="-1.0016534543358381E-2"/>
                </c:manualLayout>
              </c:layout>
              <c:spPr/>
              <c:txPr>
                <a:bodyPr/>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5.8852931344024794E-3"/>
                  <c:y val="-8.098450994495711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9.4164690150438293E-3"/>
                  <c:y val="-1.012286447413392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8.2394103881633495E-3"/>
                  <c:y val="-1.0122864474133967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'V.4.22.EC. Accid Lab.(R)'!$A$4:$A$10</c:f>
              <c:strCache>
                <c:ptCount val="7"/>
                <c:pt idx="0">
                  <c:v>2009</c:v>
                </c:pt>
                <c:pt idx="1">
                  <c:v>2010</c:v>
                </c:pt>
                <c:pt idx="2">
                  <c:v>2011</c:v>
                </c:pt>
                <c:pt idx="3">
                  <c:v>2012</c:v>
                </c:pt>
                <c:pt idx="4">
                  <c:v>2013</c:v>
                </c:pt>
                <c:pt idx="5">
                  <c:v>2014</c:v>
                </c:pt>
                <c:pt idx="6">
                  <c:v>Ene-Nov. 2015</c:v>
                </c:pt>
              </c:strCache>
            </c:strRef>
          </c:cat>
          <c:val>
            <c:numRef>
              <c:f>'V.4.22.EC. Accid Lab.(R)'!$F$4:$F$10</c:f>
              <c:numCache>
                <c:formatCode>0.0%</c:formatCode>
                <c:ptCount val="7"/>
                <c:pt idx="0">
                  <c:v>0.37748344370860926</c:v>
                </c:pt>
                <c:pt idx="1">
                  <c:v>0.3904109589041096</c:v>
                </c:pt>
                <c:pt idx="2">
                  <c:v>0.5</c:v>
                </c:pt>
                <c:pt idx="3">
                  <c:v>0.63114754098360659</c:v>
                </c:pt>
                <c:pt idx="4">
                  <c:v>0.62735849056603776</c:v>
                </c:pt>
                <c:pt idx="5">
                  <c:v>0.63535911602209949</c:v>
                </c:pt>
                <c:pt idx="6">
                  <c:v>0.6417322834645669</c:v>
                </c:pt>
              </c:numCache>
            </c:numRef>
          </c:val>
        </c:ser>
        <c:dLbls>
          <c:showLegendKey val="0"/>
          <c:showVal val="0"/>
          <c:showCatName val="0"/>
          <c:showSerName val="0"/>
          <c:showPercent val="0"/>
          <c:showBubbleSize val="0"/>
        </c:dLbls>
        <c:gapWidth val="75"/>
        <c:shape val="cylinder"/>
        <c:axId val="238537784"/>
        <c:axId val="238538176"/>
        <c:axId val="0"/>
      </c:bar3DChart>
      <c:catAx>
        <c:axId val="238537784"/>
        <c:scaling>
          <c:orientation val="minMax"/>
        </c:scaling>
        <c:delete val="0"/>
        <c:axPos val="b"/>
        <c:numFmt formatCode="General" sourceLinked="1"/>
        <c:majorTickMark val="none"/>
        <c:minorTickMark val="none"/>
        <c:tickLblPos val="nextTo"/>
        <c:txPr>
          <a:bodyPr/>
          <a:lstStyle/>
          <a:p>
            <a:pPr>
              <a:defRPr sz="1400"/>
            </a:pPr>
            <a:endParaRPr lang="es-ES"/>
          </a:p>
        </c:txPr>
        <c:crossAx val="238538176"/>
        <c:crosses val="autoZero"/>
        <c:auto val="1"/>
        <c:lblAlgn val="ctr"/>
        <c:lblOffset val="100"/>
        <c:noMultiLvlLbl val="0"/>
      </c:catAx>
      <c:valAx>
        <c:axId val="238538176"/>
        <c:scaling>
          <c:orientation val="minMax"/>
        </c:scaling>
        <c:delete val="1"/>
        <c:axPos val="l"/>
        <c:numFmt formatCode="0.0%" sourceLinked="1"/>
        <c:majorTickMark val="out"/>
        <c:minorTickMark val="none"/>
        <c:tickLblPos val="nextTo"/>
        <c:crossAx val="238537784"/>
        <c:crosses val="autoZero"/>
        <c:crossBetween val="between"/>
      </c:valAx>
      <c:spPr>
        <a:noFill/>
        <a:ln w="25400">
          <a:noFill/>
        </a:ln>
      </c:spPr>
    </c:plotArea>
    <c:legend>
      <c:legendPos val="t"/>
      <c:layout>
        <c:manualLayout>
          <c:xMode val="edge"/>
          <c:yMode val="edge"/>
          <c:x val="0.24954879694034773"/>
          <c:y val="6.2310445407560006E-2"/>
          <c:w val="0.47108656826809947"/>
          <c:h val="4.5374337889046719E-2"/>
        </c:manualLayout>
      </c:layout>
      <c:overlay val="0"/>
      <c:txPr>
        <a:bodyPr/>
        <a:lstStyle/>
        <a:p>
          <a:pPr>
            <a:defRPr sz="14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9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Casos Aprobados en Proceso de Reinvestigación por Tipo de Accidente</a:t>
            </a:r>
          </a:p>
        </c:rich>
      </c:tx>
      <c:layout>
        <c:manualLayout>
          <c:xMode val="edge"/>
          <c:yMode val="edge"/>
          <c:x val="0.20396130113226391"/>
          <c:y val="3.2994328316357659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5.7973141889954498E-2"/>
          <c:y val="0.20478801774458658"/>
          <c:w val="0.92365424290082532"/>
          <c:h val="0.64899764249554814"/>
        </c:manualLayout>
      </c:layout>
      <c:bar3DChart>
        <c:barDir val="col"/>
        <c:grouping val="clustered"/>
        <c:varyColors val="0"/>
        <c:ser>
          <c:idx val="0"/>
          <c:order val="0"/>
          <c:tx>
            <c:strRef>
              <c:f>'V.4.23. Accid. Aprobxtipo'!$G$3</c:f>
              <c:strCache>
                <c:ptCount val="1"/>
                <c:pt idx="0">
                  <c:v>%   Trabajo</c:v>
                </c:pt>
              </c:strCache>
            </c:strRef>
          </c:tx>
          <c:spPr>
            <a:solidFill>
              <a:srgbClr val="0070C0"/>
            </a:solidFill>
          </c:spPr>
          <c:invertIfNegative val="0"/>
          <c:dLbls>
            <c:dLbl>
              <c:idx val="0"/>
              <c:layout>
                <c:manualLayout>
                  <c:x val="4.37945267703959E-3"/>
                  <c:y val="-2.474575924422164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0948631692598975E-3"/>
                  <c:y val="-2.88700524515919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4.58302613004569E-3"/>
                  <c:y val="-2.101373402825044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spPr/>
              <c:txPr>
                <a:bodyPr/>
                <a:lstStyle/>
                <a:p>
                  <a:pPr>
                    <a:defRPr sz="1200" b="0"/>
                  </a:pPr>
                  <a:endParaRPr lang="es-ES"/>
                </a:p>
              </c:txPr>
              <c:showLegendKey val="0"/>
              <c:showVal val="1"/>
              <c:showCatName val="0"/>
              <c:showSerName val="0"/>
              <c:showPercent val="0"/>
              <c:showBubbleSize val="0"/>
            </c:dLbl>
            <c:dLbl>
              <c:idx val="5"/>
              <c:layout>
                <c:manualLayout>
                  <c:x val="-5.6457848792366618E-3"/>
                  <c:y val="-6.1215931566694038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0"/>
                  <c:y val="-2.0405310522231421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'V.4.23. Accid. Aprobxtipo'!$A$4:$A$10</c:f>
              <c:strCache>
                <c:ptCount val="7"/>
                <c:pt idx="0">
                  <c:v>2009</c:v>
                </c:pt>
                <c:pt idx="1">
                  <c:v>2010</c:v>
                </c:pt>
                <c:pt idx="2">
                  <c:v>2011</c:v>
                </c:pt>
                <c:pt idx="3">
                  <c:v>2012</c:v>
                </c:pt>
                <c:pt idx="4">
                  <c:v>2013</c:v>
                </c:pt>
                <c:pt idx="5">
                  <c:v>2014</c:v>
                </c:pt>
                <c:pt idx="6">
                  <c:v>Ene-Nov.2015</c:v>
                </c:pt>
              </c:strCache>
            </c:strRef>
          </c:cat>
          <c:val>
            <c:numRef>
              <c:f>'V.4.23. Accid. Aprobxtipo'!$G$4:$G$10</c:f>
              <c:numCache>
                <c:formatCode>0.00%</c:formatCode>
                <c:ptCount val="7"/>
                <c:pt idx="0">
                  <c:v>0.52307692307692311</c:v>
                </c:pt>
                <c:pt idx="1">
                  <c:v>0.2247191011235955</c:v>
                </c:pt>
                <c:pt idx="2">
                  <c:v>0.33720930232558138</c:v>
                </c:pt>
                <c:pt idx="3">
                  <c:v>0.33333333333333331</c:v>
                </c:pt>
                <c:pt idx="4">
                  <c:v>0.50632911392405067</c:v>
                </c:pt>
                <c:pt idx="5">
                  <c:v>0.46969696969696972</c:v>
                </c:pt>
                <c:pt idx="6">
                  <c:v>0.51648351648351654</c:v>
                </c:pt>
              </c:numCache>
            </c:numRef>
          </c:val>
        </c:ser>
        <c:ser>
          <c:idx val="1"/>
          <c:order val="1"/>
          <c:tx>
            <c:strRef>
              <c:f>'V.4.23. Accid. Aprobxtipo'!$H$3</c:f>
              <c:strCache>
                <c:ptCount val="1"/>
                <c:pt idx="0">
                  <c:v>%   Trayecto</c:v>
                </c:pt>
              </c:strCache>
            </c:strRef>
          </c:tx>
          <c:spPr>
            <a:solidFill>
              <a:schemeClr val="accent3">
                <a:lumMod val="75000"/>
              </a:schemeClr>
            </a:solidFill>
          </c:spPr>
          <c:invertIfNegative val="0"/>
          <c:dLbls>
            <c:dLbl>
              <c:idx val="0"/>
              <c:layout>
                <c:manualLayout>
                  <c:x val="1.2188923760573568E-2"/>
                  <c:y val="-6.2256974521353835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9.8537685233390775E-3"/>
                  <c:y val="-2.474575924422164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4233221200378668E-2"/>
                  <c:y val="-1.855931943316623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spPr/>
              <c:txPr>
                <a:bodyPr/>
                <a:lstStyle/>
                <a:p>
                  <a:pPr>
                    <a:defRPr sz="1200" b="0"/>
                  </a:pPr>
                  <a:endParaRPr lang="es-ES"/>
                </a:p>
              </c:txPr>
              <c:showLegendKey val="0"/>
              <c:showVal val="1"/>
              <c:showCatName val="0"/>
              <c:showSerName val="0"/>
              <c:showPercent val="0"/>
              <c:showBubbleSize val="0"/>
            </c:dLbl>
            <c:dLbl>
              <c:idx val="4"/>
              <c:layout>
                <c:manualLayout>
                  <c:x val="2.0622998089919034E-2"/>
                  <c:y val="-6.1885924703135838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1.5771655652644368E-2"/>
                  <c:y val="-1.639333726443515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8066511613557316E-2"/>
                  <c:y val="-7.4818607603908702E-17"/>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200" b="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'V.4.23. Accid. Aprobxtipo'!$A$4:$A$10</c:f>
              <c:strCache>
                <c:ptCount val="7"/>
                <c:pt idx="0">
                  <c:v>2009</c:v>
                </c:pt>
                <c:pt idx="1">
                  <c:v>2010</c:v>
                </c:pt>
                <c:pt idx="2">
                  <c:v>2011</c:v>
                </c:pt>
                <c:pt idx="3">
                  <c:v>2012</c:v>
                </c:pt>
                <c:pt idx="4">
                  <c:v>2013</c:v>
                </c:pt>
                <c:pt idx="5">
                  <c:v>2014</c:v>
                </c:pt>
                <c:pt idx="6">
                  <c:v>Ene-Nov.2015</c:v>
                </c:pt>
              </c:strCache>
            </c:strRef>
          </c:cat>
          <c:val>
            <c:numRef>
              <c:f>'V.4.23. Accid. Aprobxtipo'!$H$4:$H$10</c:f>
              <c:numCache>
                <c:formatCode>0.00%</c:formatCode>
                <c:ptCount val="7"/>
                <c:pt idx="0">
                  <c:v>0.43076923076923079</c:v>
                </c:pt>
                <c:pt idx="1">
                  <c:v>0.7191011235955056</c:v>
                </c:pt>
                <c:pt idx="2">
                  <c:v>0.62790697674418605</c:v>
                </c:pt>
                <c:pt idx="3">
                  <c:v>0.57777777777777772</c:v>
                </c:pt>
                <c:pt idx="4">
                  <c:v>0.48101265822784811</c:v>
                </c:pt>
                <c:pt idx="5">
                  <c:v>0.48484848484848486</c:v>
                </c:pt>
                <c:pt idx="6">
                  <c:v>0.48351648351648352</c:v>
                </c:pt>
              </c:numCache>
            </c:numRef>
          </c:val>
        </c:ser>
        <c:ser>
          <c:idx val="2"/>
          <c:order val="2"/>
          <c:tx>
            <c:strRef>
              <c:f>'V.4.23. Accid. Aprobxtipo'!$I$3</c:f>
              <c:strCache>
                <c:ptCount val="1"/>
                <c:pt idx="0">
                  <c:v>%  Conexo</c:v>
                </c:pt>
              </c:strCache>
            </c:strRef>
          </c:tx>
          <c:spPr>
            <a:solidFill>
              <a:srgbClr val="FFC000"/>
            </a:solidFill>
          </c:spPr>
          <c:invertIfNegative val="0"/>
          <c:dLbls>
            <c:dLbl>
              <c:idx val="0"/>
              <c:layout>
                <c:manualLayout>
                  <c:x val="7.6640421848192825E-3"/>
                  <c:y val="-3.505649226264732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4.37945267703959E-3"/>
                  <c:y val="-3.093219905527705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9.8537685233390775E-3"/>
                  <c:y val="-3.093219905527705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1322363947136546E-2"/>
                  <c:y val="-1.6486695026162082E-2"/>
                </c:manualLayout>
              </c:layout>
              <c:spPr/>
              <c:txPr>
                <a:bodyPr/>
                <a:lstStyle/>
                <a:p>
                  <a:pPr>
                    <a:defRPr sz="12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'V.4.23. Accid. Aprobxtipo'!$A$4:$A$10</c:f>
              <c:strCache>
                <c:ptCount val="7"/>
                <c:pt idx="0">
                  <c:v>2009</c:v>
                </c:pt>
                <c:pt idx="1">
                  <c:v>2010</c:v>
                </c:pt>
                <c:pt idx="2">
                  <c:v>2011</c:v>
                </c:pt>
                <c:pt idx="3">
                  <c:v>2012</c:v>
                </c:pt>
                <c:pt idx="4">
                  <c:v>2013</c:v>
                </c:pt>
                <c:pt idx="5">
                  <c:v>2014</c:v>
                </c:pt>
                <c:pt idx="6">
                  <c:v>Ene-Nov.2015</c:v>
                </c:pt>
              </c:strCache>
            </c:strRef>
          </c:cat>
          <c:val>
            <c:numRef>
              <c:f>'V.4.23. Accid. Aprobxtipo'!$I$4:$I$10</c:f>
              <c:numCache>
                <c:formatCode>0.00%</c:formatCode>
                <c:ptCount val="7"/>
                <c:pt idx="0">
                  <c:v>3.0769230769230771E-2</c:v>
                </c:pt>
                <c:pt idx="1">
                  <c:v>5.6179775280898875E-2</c:v>
                </c:pt>
                <c:pt idx="2">
                  <c:v>3.4883720930232558E-2</c:v>
                </c:pt>
                <c:pt idx="3">
                  <c:v>8.8888888888888892E-2</c:v>
                </c:pt>
                <c:pt idx="4">
                  <c:v>1.2658227848101266E-2</c:v>
                </c:pt>
                <c:pt idx="5">
                  <c:v>4.5454545454545456E-2</c:v>
                </c:pt>
                <c:pt idx="6">
                  <c:v>0</c:v>
                </c:pt>
              </c:numCache>
            </c:numRef>
          </c:val>
        </c:ser>
        <c:ser>
          <c:idx val="3"/>
          <c:order val="3"/>
          <c:tx>
            <c:strRef>
              <c:f>'V.4.23. Accid. Aprobxtipo'!$J$3</c:f>
              <c:strCache>
                <c:ptCount val="1"/>
                <c:pt idx="0">
                  <c:v>% No Especificados</c:v>
                </c:pt>
              </c:strCache>
            </c:strRef>
          </c:tx>
          <c:spPr>
            <a:solidFill>
              <a:schemeClr val="accent4">
                <a:lumMod val="60000"/>
                <a:lumOff val="40000"/>
              </a:schemeClr>
            </a:solidFill>
          </c:spPr>
          <c:invertIfNegative val="0"/>
          <c:dLbls>
            <c:dLbl>
              <c:idx val="0"/>
              <c:layout>
                <c:manualLayout>
                  <c:x val="9.8537685233391174E-3"/>
                  <c:y val="-2.062146603685137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8.75890535407918E-3"/>
                  <c:y val="-2.268361264053650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0948631692598975E-2"/>
                  <c:y val="-2.268361264053650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2580404385707089E-2"/>
                  <c:y val="-1.854753190443249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2363355933406216E-2"/>
                  <c:y val="-2.0577872014709776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200" b="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'V.4.23. Accid. Aprobxtipo'!$A$4:$A$10</c:f>
              <c:strCache>
                <c:ptCount val="7"/>
                <c:pt idx="0">
                  <c:v>2009</c:v>
                </c:pt>
                <c:pt idx="1">
                  <c:v>2010</c:v>
                </c:pt>
                <c:pt idx="2">
                  <c:v>2011</c:v>
                </c:pt>
                <c:pt idx="3">
                  <c:v>2012</c:v>
                </c:pt>
                <c:pt idx="4">
                  <c:v>2013</c:v>
                </c:pt>
                <c:pt idx="5">
                  <c:v>2014</c:v>
                </c:pt>
                <c:pt idx="6">
                  <c:v>Ene-Nov.2015</c:v>
                </c:pt>
              </c:strCache>
            </c:strRef>
          </c:cat>
          <c:val>
            <c:numRef>
              <c:f>'V.4.23. Accid. Aprobxtipo'!$J$4:$J$10</c:f>
              <c:numCache>
                <c:formatCode>0.00%</c:formatCode>
                <c:ptCount val="7"/>
                <c:pt idx="0">
                  <c:v>1.5384615384615385E-2</c:v>
                </c:pt>
                <c:pt idx="1">
                  <c:v>0</c:v>
                </c:pt>
                <c:pt idx="2">
                  <c:v>0</c:v>
                </c:pt>
                <c:pt idx="3">
                  <c:v>0</c:v>
                </c:pt>
                <c:pt idx="4">
                  <c:v>0</c:v>
                </c:pt>
                <c:pt idx="5">
                  <c:v>0</c:v>
                </c:pt>
                <c:pt idx="6">
                  <c:v>0</c:v>
                </c:pt>
              </c:numCache>
            </c:numRef>
          </c:val>
        </c:ser>
        <c:dLbls>
          <c:showLegendKey val="0"/>
          <c:showVal val="0"/>
          <c:showCatName val="0"/>
          <c:showSerName val="0"/>
          <c:showPercent val="0"/>
          <c:showBubbleSize val="0"/>
        </c:dLbls>
        <c:gapWidth val="75"/>
        <c:shape val="cylinder"/>
        <c:axId val="238538960"/>
        <c:axId val="238539352"/>
        <c:axId val="0"/>
      </c:bar3DChart>
      <c:catAx>
        <c:axId val="238538960"/>
        <c:scaling>
          <c:orientation val="minMax"/>
        </c:scaling>
        <c:delete val="0"/>
        <c:axPos val="b"/>
        <c:numFmt formatCode="General" sourceLinked="1"/>
        <c:majorTickMark val="none"/>
        <c:minorTickMark val="none"/>
        <c:tickLblPos val="nextTo"/>
        <c:txPr>
          <a:bodyPr/>
          <a:lstStyle/>
          <a:p>
            <a:pPr>
              <a:defRPr sz="1400"/>
            </a:pPr>
            <a:endParaRPr lang="es-ES"/>
          </a:p>
        </c:txPr>
        <c:crossAx val="238539352"/>
        <c:crosses val="autoZero"/>
        <c:auto val="1"/>
        <c:lblAlgn val="ctr"/>
        <c:lblOffset val="100"/>
        <c:noMultiLvlLbl val="0"/>
      </c:catAx>
      <c:valAx>
        <c:axId val="238539352"/>
        <c:scaling>
          <c:orientation val="minMax"/>
        </c:scaling>
        <c:delete val="0"/>
        <c:axPos val="l"/>
        <c:numFmt formatCode="0.00%" sourceLinked="1"/>
        <c:majorTickMark val="none"/>
        <c:minorTickMark val="none"/>
        <c:tickLblPos val="nextTo"/>
        <c:spPr>
          <a:ln w="9525">
            <a:noFill/>
          </a:ln>
        </c:spPr>
        <c:crossAx val="238538960"/>
        <c:crosses val="autoZero"/>
        <c:crossBetween val="between"/>
      </c:valAx>
      <c:spPr>
        <a:noFill/>
        <a:ln w="25400">
          <a:noFill/>
        </a:ln>
      </c:spPr>
    </c:plotArea>
    <c:legend>
      <c:legendPos val="t"/>
      <c:layout>
        <c:manualLayout>
          <c:xMode val="edge"/>
          <c:yMode val="edge"/>
          <c:x val="0.25598361107165224"/>
          <c:y val="8.8655072403680396E-2"/>
          <c:w val="0.46753230415059238"/>
          <c:h val="4.2254458182455462E-2"/>
        </c:manualLayout>
      </c:layout>
      <c:overlay val="0"/>
      <c:txPr>
        <a:bodyPr/>
        <a:lstStyle/>
        <a:p>
          <a:pPr>
            <a:defRPr sz="12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Casos Aprobados en Proceso de Reinvestigación por  Grado de Lesión</a:t>
            </a:r>
          </a:p>
        </c:rich>
      </c:tx>
      <c:layout>
        <c:manualLayout>
          <c:xMode val="edge"/>
          <c:yMode val="edge"/>
          <c:x val="0.19594988312109773"/>
          <c:y val="3.0369828504122339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6.569368417536095E-2"/>
          <c:y val="0.26032952510012547"/>
          <c:w val="0.90562580246828295"/>
          <c:h val="0.60639813367502327"/>
        </c:manualLayout>
      </c:layout>
      <c:bar3DChart>
        <c:barDir val="col"/>
        <c:grouping val="clustered"/>
        <c:varyColors val="0"/>
        <c:ser>
          <c:idx val="0"/>
          <c:order val="0"/>
          <c:tx>
            <c:strRef>
              <c:f>'V.4.24. Accid. Aprob xLesión '!$G$3</c:f>
              <c:strCache>
                <c:ptCount val="1"/>
                <c:pt idx="0">
                  <c:v>%   Leve</c:v>
                </c:pt>
              </c:strCache>
            </c:strRef>
          </c:tx>
          <c:spPr>
            <a:solidFill>
              <a:schemeClr val="accent6">
                <a:lumMod val="50000"/>
              </a:schemeClr>
            </a:solidFill>
          </c:spPr>
          <c:invertIfNegative val="0"/>
          <c:dLbls>
            <c:dLbl>
              <c:idx val="0"/>
              <c:layout>
                <c:manualLayout>
                  <c:x val="2.0865332665926531E-3"/>
                  <c:y val="-5.794622105217431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3.3877955767914023E-3"/>
                  <c:y val="-7.813098442420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3.2845633433965008E-3"/>
                  <c:y val="-9.9716227366952234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4.5857873991046946E-3"/>
                  <c:y val="-2.2756355945551874E-3"/>
                </c:manualLayout>
              </c:layout>
              <c:spPr/>
              <c:txPr>
                <a:bodyPr rot="-5400000" vert="horz"/>
                <a:lstStyle/>
                <a:p>
                  <a:pPr>
                    <a:defRPr sz="12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6.8786810986571677E-3"/>
                  <c:y val="2.105688309715911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200" b="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'V.4.24. Accid. Aprob xLesión '!$A$4:$A$10</c:f>
              <c:strCache>
                <c:ptCount val="7"/>
                <c:pt idx="0">
                  <c:v>2009</c:v>
                </c:pt>
                <c:pt idx="1">
                  <c:v>2010</c:v>
                </c:pt>
                <c:pt idx="2">
                  <c:v>2011</c:v>
                </c:pt>
                <c:pt idx="3">
                  <c:v>2012</c:v>
                </c:pt>
                <c:pt idx="4">
                  <c:v>2013</c:v>
                </c:pt>
                <c:pt idx="5">
                  <c:v>2014</c:v>
                </c:pt>
                <c:pt idx="6">
                  <c:v>Ene-Nov.2015</c:v>
                </c:pt>
              </c:strCache>
            </c:strRef>
          </c:cat>
          <c:val>
            <c:numRef>
              <c:f>'V.4.24. Accid. Aprob xLesión '!$G$4:$G$10</c:f>
              <c:numCache>
                <c:formatCode>0.00%</c:formatCode>
                <c:ptCount val="7"/>
                <c:pt idx="0">
                  <c:v>0.16923076923076924</c:v>
                </c:pt>
                <c:pt idx="1">
                  <c:v>7.8651685393258425E-2</c:v>
                </c:pt>
                <c:pt idx="2">
                  <c:v>6.9767441860465115E-2</c:v>
                </c:pt>
                <c:pt idx="3">
                  <c:v>0.13333333333333333</c:v>
                </c:pt>
                <c:pt idx="4">
                  <c:v>0.10126582278481013</c:v>
                </c:pt>
                <c:pt idx="5">
                  <c:v>0.10606060606060606</c:v>
                </c:pt>
                <c:pt idx="6">
                  <c:v>0.2087912087912088</c:v>
                </c:pt>
              </c:numCache>
            </c:numRef>
          </c:val>
        </c:ser>
        <c:ser>
          <c:idx val="1"/>
          <c:order val="1"/>
          <c:tx>
            <c:strRef>
              <c:f>'V.4.24. Accid. Aprob xLesión '!$H$3</c:f>
              <c:strCache>
                <c:ptCount val="1"/>
                <c:pt idx="0">
                  <c:v>% Moderado</c:v>
                </c:pt>
              </c:strCache>
            </c:strRef>
          </c:tx>
          <c:spPr>
            <a:solidFill>
              <a:schemeClr val="accent3">
                <a:lumMod val="75000"/>
              </a:schemeClr>
            </a:solidFill>
          </c:spPr>
          <c:invertIfNegative val="0"/>
          <c:dLbls>
            <c:dLbl>
              <c:idx val="0"/>
              <c:layout>
                <c:manualLayout>
                  <c:x val="6.569179015559385E-3"/>
                  <c:y val="-2.474575924422164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9.8537685233390775E-3"/>
                  <c:y val="-2.474575924422164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4233221200378668E-2"/>
                  <c:y val="-1.855931943316623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0817085544029667E-2"/>
                  <c:y val="-1.9169747019716455E-2"/>
                </c:manualLayout>
              </c:layout>
              <c:spPr/>
              <c:txPr>
                <a:bodyPr/>
                <a:lstStyle/>
                <a:p>
                  <a:pPr>
                    <a:defRPr sz="12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'V.4.24. Accid. Aprob xLesión '!$A$4:$A$10</c:f>
              <c:strCache>
                <c:ptCount val="7"/>
                <c:pt idx="0">
                  <c:v>2009</c:v>
                </c:pt>
                <c:pt idx="1">
                  <c:v>2010</c:v>
                </c:pt>
                <c:pt idx="2">
                  <c:v>2011</c:v>
                </c:pt>
                <c:pt idx="3">
                  <c:v>2012</c:v>
                </c:pt>
                <c:pt idx="4">
                  <c:v>2013</c:v>
                </c:pt>
                <c:pt idx="5">
                  <c:v>2014</c:v>
                </c:pt>
                <c:pt idx="6">
                  <c:v>Ene-Nov.2015</c:v>
                </c:pt>
              </c:strCache>
            </c:strRef>
          </c:cat>
          <c:val>
            <c:numRef>
              <c:f>'V.4.24. Accid. Aprob xLesión '!$H$4:$H$10</c:f>
              <c:numCache>
                <c:formatCode>0.00%</c:formatCode>
                <c:ptCount val="7"/>
                <c:pt idx="0">
                  <c:v>0.76923076923076927</c:v>
                </c:pt>
                <c:pt idx="1">
                  <c:v>0.6741573033707865</c:v>
                </c:pt>
                <c:pt idx="2">
                  <c:v>0.7441860465116279</c:v>
                </c:pt>
                <c:pt idx="3">
                  <c:v>0.57777777777777772</c:v>
                </c:pt>
                <c:pt idx="4">
                  <c:v>0.73417721518987344</c:v>
                </c:pt>
                <c:pt idx="5">
                  <c:v>0.74242424242424243</c:v>
                </c:pt>
                <c:pt idx="6">
                  <c:v>0.67032967032967028</c:v>
                </c:pt>
              </c:numCache>
            </c:numRef>
          </c:val>
        </c:ser>
        <c:ser>
          <c:idx val="2"/>
          <c:order val="2"/>
          <c:tx>
            <c:strRef>
              <c:f>'V.4.24. Accid. Aprob xLesión '!$I$3</c:f>
              <c:strCache>
                <c:ptCount val="1"/>
                <c:pt idx="0">
                  <c:v>%  Grave</c:v>
                </c:pt>
              </c:strCache>
            </c:strRef>
          </c:tx>
          <c:spPr>
            <a:solidFill>
              <a:srgbClr val="0070C0"/>
            </a:solidFill>
          </c:spPr>
          <c:invertIfNegative val="0"/>
          <c:dLbls>
            <c:dLbl>
              <c:idx val="0"/>
              <c:layout>
                <c:manualLayout>
                  <c:x val="1.931808077575614E-3"/>
                  <c:y val="-5.5769237783940464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4.4381936511217798E-3"/>
                  <c:y val="-7.793865383843766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2.9665891987555185E-3"/>
                  <c:y val="-5.4454426107087128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5.2511779290024419E-3"/>
                  <c:y val="-8.5927005237029213E-3"/>
                </c:manualLayout>
              </c:layout>
              <c:spPr/>
              <c:txPr>
                <a:bodyPr rot="-5400000" vert="horz"/>
                <a:lstStyle/>
                <a:p>
                  <a:pPr>
                    <a:defRPr sz="12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200" b="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'V.4.24. Accid. Aprob xLesión '!$A$4:$A$10</c:f>
              <c:strCache>
                <c:ptCount val="7"/>
                <c:pt idx="0">
                  <c:v>2009</c:v>
                </c:pt>
                <c:pt idx="1">
                  <c:v>2010</c:v>
                </c:pt>
                <c:pt idx="2">
                  <c:v>2011</c:v>
                </c:pt>
                <c:pt idx="3">
                  <c:v>2012</c:v>
                </c:pt>
                <c:pt idx="4">
                  <c:v>2013</c:v>
                </c:pt>
                <c:pt idx="5">
                  <c:v>2014</c:v>
                </c:pt>
                <c:pt idx="6">
                  <c:v>Ene-Nov.2015</c:v>
                </c:pt>
              </c:strCache>
            </c:strRef>
          </c:cat>
          <c:val>
            <c:numRef>
              <c:f>'V.4.24. Accid. Aprob xLesión '!$I$4:$I$10</c:f>
              <c:numCache>
                <c:formatCode>0.00%</c:formatCode>
                <c:ptCount val="7"/>
                <c:pt idx="0">
                  <c:v>3.0769230769230771E-2</c:v>
                </c:pt>
                <c:pt idx="1">
                  <c:v>0.15730337078651685</c:v>
                </c:pt>
                <c:pt idx="2">
                  <c:v>0.11627906976744186</c:v>
                </c:pt>
                <c:pt idx="3">
                  <c:v>0.22222222222222221</c:v>
                </c:pt>
                <c:pt idx="4">
                  <c:v>0.10126582278481013</c:v>
                </c:pt>
                <c:pt idx="5">
                  <c:v>0.12121212121212122</c:v>
                </c:pt>
                <c:pt idx="6">
                  <c:v>5.4945054945054944E-2</c:v>
                </c:pt>
              </c:numCache>
            </c:numRef>
          </c:val>
        </c:ser>
        <c:ser>
          <c:idx val="3"/>
          <c:order val="3"/>
          <c:tx>
            <c:strRef>
              <c:f>'V.4.24. Accid. Aprob xLesión '!$J$3</c:f>
              <c:strCache>
                <c:ptCount val="1"/>
                <c:pt idx="0">
                  <c:v>% Mortal</c:v>
                </c:pt>
              </c:strCache>
            </c:strRef>
          </c:tx>
          <c:spPr>
            <a:solidFill>
              <a:schemeClr val="accent1">
                <a:lumMod val="50000"/>
              </a:schemeClr>
            </a:solidFill>
          </c:spPr>
          <c:invertIfNegative val="0"/>
          <c:dLbls>
            <c:dLbl>
              <c:idx val="0"/>
              <c:layout>
                <c:manualLayout>
                  <c:x val="4.1215215606481455E-3"/>
                  <c:y val="-3.7759799657850518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4.1731568045908001E-3"/>
                  <c:y val="-5.838062289244641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2.9234394669292963E-3"/>
                  <c:y val="-9.9036987492874644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5.8161866559905684E-3"/>
                  <c:y val="-8.6170734513824638E-3"/>
                </c:manualLayout>
              </c:layout>
              <c:spPr/>
              <c:txPr>
                <a:bodyPr rot="-5400000" vert="horz"/>
                <a:lstStyle/>
                <a:p>
                  <a:pPr>
                    <a:defRPr sz="12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200" b="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'V.4.24. Accid. Aprob xLesión '!$A$4:$A$10</c:f>
              <c:strCache>
                <c:ptCount val="7"/>
                <c:pt idx="0">
                  <c:v>2009</c:v>
                </c:pt>
                <c:pt idx="1">
                  <c:v>2010</c:v>
                </c:pt>
                <c:pt idx="2">
                  <c:v>2011</c:v>
                </c:pt>
                <c:pt idx="3">
                  <c:v>2012</c:v>
                </c:pt>
                <c:pt idx="4">
                  <c:v>2013</c:v>
                </c:pt>
                <c:pt idx="5">
                  <c:v>2014</c:v>
                </c:pt>
                <c:pt idx="6">
                  <c:v>Ene-Nov.2015</c:v>
                </c:pt>
              </c:strCache>
            </c:strRef>
          </c:cat>
          <c:val>
            <c:numRef>
              <c:f>'V.4.24. Accid. Aprob xLesión '!$J$4:$J$10</c:f>
              <c:numCache>
                <c:formatCode>0.00%</c:formatCode>
                <c:ptCount val="7"/>
                <c:pt idx="0">
                  <c:v>3.0769230769230771E-2</c:v>
                </c:pt>
                <c:pt idx="1">
                  <c:v>8.98876404494382E-2</c:v>
                </c:pt>
                <c:pt idx="2">
                  <c:v>6.9767441860465115E-2</c:v>
                </c:pt>
                <c:pt idx="3">
                  <c:v>6.6666666666666666E-2</c:v>
                </c:pt>
                <c:pt idx="4">
                  <c:v>6.3291139240506333E-2</c:v>
                </c:pt>
                <c:pt idx="5">
                  <c:v>3.0303030303030304E-2</c:v>
                </c:pt>
                <c:pt idx="6">
                  <c:v>6.5934065934065936E-2</c:v>
                </c:pt>
              </c:numCache>
            </c:numRef>
          </c:val>
        </c:ser>
        <c:dLbls>
          <c:showLegendKey val="0"/>
          <c:showVal val="0"/>
          <c:showCatName val="0"/>
          <c:showSerName val="0"/>
          <c:showPercent val="0"/>
          <c:showBubbleSize val="0"/>
        </c:dLbls>
        <c:gapWidth val="75"/>
        <c:shape val="cylinder"/>
        <c:axId val="238540136"/>
        <c:axId val="238540528"/>
        <c:axId val="0"/>
      </c:bar3DChart>
      <c:catAx>
        <c:axId val="238540136"/>
        <c:scaling>
          <c:orientation val="minMax"/>
        </c:scaling>
        <c:delete val="0"/>
        <c:axPos val="b"/>
        <c:numFmt formatCode="General" sourceLinked="1"/>
        <c:majorTickMark val="none"/>
        <c:minorTickMark val="none"/>
        <c:tickLblPos val="nextTo"/>
        <c:txPr>
          <a:bodyPr/>
          <a:lstStyle/>
          <a:p>
            <a:pPr>
              <a:defRPr sz="1400"/>
            </a:pPr>
            <a:endParaRPr lang="es-ES"/>
          </a:p>
        </c:txPr>
        <c:crossAx val="238540528"/>
        <c:crosses val="autoZero"/>
        <c:auto val="1"/>
        <c:lblAlgn val="ctr"/>
        <c:lblOffset val="100"/>
        <c:noMultiLvlLbl val="0"/>
      </c:catAx>
      <c:valAx>
        <c:axId val="238540528"/>
        <c:scaling>
          <c:orientation val="minMax"/>
        </c:scaling>
        <c:delete val="0"/>
        <c:axPos val="l"/>
        <c:numFmt formatCode="0.00%" sourceLinked="1"/>
        <c:majorTickMark val="none"/>
        <c:minorTickMark val="none"/>
        <c:tickLblPos val="nextTo"/>
        <c:spPr>
          <a:ln w="9525">
            <a:noFill/>
          </a:ln>
        </c:spPr>
        <c:crossAx val="238540136"/>
        <c:crosses val="autoZero"/>
        <c:crossBetween val="between"/>
      </c:valAx>
      <c:spPr>
        <a:noFill/>
        <a:ln w="25400">
          <a:noFill/>
        </a:ln>
      </c:spPr>
    </c:plotArea>
    <c:legend>
      <c:legendPos val="t"/>
      <c:layout>
        <c:manualLayout>
          <c:xMode val="edge"/>
          <c:yMode val="edge"/>
          <c:x val="0.15360094893301454"/>
          <c:y val="8.5786073342284441E-2"/>
          <c:w val="0.66046815172727469"/>
          <c:h val="4.3671970911627972E-2"/>
        </c:manualLayout>
      </c:layout>
      <c:overlay val="0"/>
      <c:txPr>
        <a:bodyPr/>
        <a:lstStyle/>
        <a:p>
          <a:pPr>
            <a:defRPr sz="12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sz="1800" b="1">
                <a:effectLst/>
              </a:rPr>
              <a:t>Casos Aprobados en Proceso de Reinvestigación por Circunstancia del Suceso</a:t>
            </a:r>
            <a:endParaRPr lang="es-ES">
              <a:effectLst/>
            </a:endParaRPr>
          </a:p>
        </c:rich>
      </c:tx>
      <c:layout/>
      <c:overlay val="0"/>
    </c:title>
    <c:autoTitleDeleted val="0"/>
    <c:view3D>
      <c:rotX val="15"/>
      <c:rotY val="20"/>
      <c:rAngAx val="1"/>
    </c:view3D>
    <c:floor>
      <c:thickness val="0"/>
    </c:floor>
    <c:sideWall>
      <c:thickness val="0"/>
      <c:spPr>
        <a:ln>
          <a:noFill/>
        </a:ln>
      </c:spPr>
    </c:sideWall>
    <c:backWall>
      <c:thickness val="0"/>
      <c:spPr>
        <a:ln>
          <a:noFill/>
        </a:ln>
      </c:spPr>
    </c:backWall>
    <c:plotArea>
      <c:layout>
        <c:manualLayout>
          <c:layoutTarget val="inner"/>
          <c:xMode val="edge"/>
          <c:yMode val="edge"/>
          <c:x val="5.1228930564155575E-2"/>
          <c:y val="0.18912508496101663"/>
          <c:w val="0.93903304355867212"/>
          <c:h val="0.65159937479467922"/>
        </c:manualLayout>
      </c:layout>
      <c:bar3DChart>
        <c:barDir val="col"/>
        <c:grouping val="clustered"/>
        <c:varyColors val="0"/>
        <c:ser>
          <c:idx val="0"/>
          <c:order val="0"/>
          <c:tx>
            <c:strRef>
              <c:f>'V.4.25.Accid.Aprob Según suc.'!$I$3</c:f>
              <c:strCache>
                <c:ptCount val="1"/>
                <c:pt idx="0">
                  <c:v>% Acto Fuera de Norma</c:v>
                </c:pt>
              </c:strCache>
            </c:strRef>
          </c:tx>
          <c:invertIfNegative val="0"/>
          <c:dLbls>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'V.4.25.Accid.Aprob Según suc.'!$A$4:$A$10</c:f>
              <c:strCache>
                <c:ptCount val="7"/>
                <c:pt idx="0">
                  <c:v>2009</c:v>
                </c:pt>
                <c:pt idx="1">
                  <c:v>2010</c:v>
                </c:pt>
                <c:pt idx="2">
                  <c:v>2011</c:v>
                </c:pt>
                <c:pt idx="3">
                  <c:v>2012</c:v>
                </c:pt>
                <c:pt idx="4">
                  <c:v>2013</c:v>
                </c:pt>
                <c:pt idx="5">
                  <c:v>2014</c:v>
                </c:pt>
                <c:pt idx="6">
                  <c:v>Ene-Nov.2015</c:v>
                </c:pt>
              </c:strCache>
            </c:strRef>
          </c:cat>
          <c:val>
            <c:numRef>
              <c:f>'V.4.25.Accid.Aprob Según suc.'!$I$4:$I$10</c:f>
              <c:numCache>
                <c:formatCode>0.00%</c:formatCode>
                <c:ptCount val="7"/>
                <c:pt idx="0">
                  <c:v>0.2</c:v>
                </c:pt>
                <c:pt idx="1">
                  <c:v>7.8651685393258425E-2</c:v>
                </c:pt>
                <c:pt idx="2">
                  <c:v>0.16279069767441862</c:v>
                </c:pt>
                <c:pt idx="3">
                  <c:v>2.2222222222222223E-2</c:v>
                </c:pt>
                <c:pt idx="4">
                  <c:v>2.5316455696202531E-2</c:v>
                </c:pt>
                <c:pt idx="5">
                  <c:v>3.0303030303030304E-2</c:v>
                </c:pt>
                <c:pt idx="6">
                  <c:v>2.197802197802198E-2</c:v>
                </c:pt>
              </c:numCache>
            </c:numRef>
          </c:val>
        </c:ser>
        <c:ser>
          <c:idx val="1"/>
          <c:order val="1"/>
          <c:tx>
            <c:strRef>
              <c:f>'V.4.25.Accid.Aprob Según suc.'!$J$3</c:f>
              <c:strCache>
                <c:ptCount val="1"/>
                <c:pt idx="0">
                  <c:v>% Condición Fuera de Norma</c:v>
                </c:pt>
              </c:strCache>
            </c:strRef>
          </c:tx>
          <c:spPr>
            <a:solidFill>
              <a:srgbClr val="0070C0"/>
            </a:solidFill>
          </c:spPr>
          <c:invertIfNegative val="0"/>
          <c:dLbls>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'V.4.25.Accid.Aprob Según suc.'!$A$4:$A$10</c:f>
              <c:strCache>
                <c:ptCount val="7"/>
                <c:pt idx="0">
                  <c:v>2009</c:v>
                </c:pt>
                <c:pt idx="1">
                  <c:v>2010</c:v>
                </c:pt>
                <c:pt idx="2">
                  <c:v>2011</c:v>
                </c:pt>
                <c:pt idx="3">
                  <c:v>2012</c:v>
                </c:pt>
                <c:pt idx="4">
                  <c:v>2013</c:v>
                </c:pt>
                <c:pt idx="5">
                  <c:v>2014</c:v>
                </c:pt>
                <c:pt idx="6">
                  <c:v>Ene-Nov.2015</c:v>
                </c:pt>
              </c:strCache>
            </c:strRef>
          </c:cat>
          <c:val>
            <c:numRef>
              <c:f>'V.4.25.Accid.Aprob Según suc.'!$J$4:$J$10</c:f>
              <c:numCache>
                <c:formatCode>0.00%</c:formatCode>
                <c:ptCount val="7"/>
                <c:pt idx="0">
                  <c:v>6.1538461538461542E-2</c:v>
                </c:pt>
                <c:pt idx="1">
                  <c:v>8.98876404494382E-2</c:v>
                </c:pt>
                <c:pt idx="2">
                  <c:v>6.9767441860465115E-2</c:v>
                </c:pt>
                <c:pt idx="3">
                  <c:v>0</c:v>
                </c:pt>
                <c:pt idx="4">
                  <c:v>2.5316455696202531E-2</c:v>
                </c:pt>
                <c:pt idx="5">
                  <c:v>0.18181818181818182</c:v>
                </c:pt>
                <c:pt idx="6">
                  <c:v>4.3956043956043959E-2</c:v>
                </c:pt>
              </c:numCache>
            </c:numRef>
          </c:val>
        </c:ser>
        <c:ser>
          <c:idx val="2"/>
          <c:order val="2"/>
          <c:tx>
            <c:strRef>
              <c:f>'V.4.25.Accid.Aprob Según suc.'!$K$3</c:f>
              <c:strCache>
                <c:ptCount val="1"/>
                <c:pt idx="0">
                  <c:v>%  Factor de Organizacion</c:v>
                </c:pt>
              </c:strCache>
            </c:strRef>
          </c:tx>
          <c:invertIfNegative val="0"/>
          <c:dLbls>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'V.4.25.Accid.Aprob Según suc.'!$A$4:$A$10</c:f>
              <c:strCache>
                <c:ptCount val="7"/>
                <c:pt idx="0">
                  <c:v>2009</c:v>
                </c:pt>
                <c:pt idx="1">
                  <c:v>2010</c:v>
                </c:pt>
                <c:pt idx="2">
                  <c:v>2011</c:v>
                </c:pt>
                <c:pt idx="3">
                  <c:v>2012</c:v>
                </c:pt>
                <c:pt idx="4">
                  <c:v>2013</c:v>
                </c:pt>
                <c:pt idx="5">
                  <c:v>2014</c:v>
                </c:pt>
                <c:pt idx="6">
                  <c:v>Ene-Nov.2015</c:v>
                </c:pt>
              </c:strCache>
            </c:strRef>
          </c:cat>
          <c:val>
            <c:numRef>
              <c:f>'V.4.25.Accid.Aprob Según suc.'!$K$4:$K$10</c:f>
              <c:numCache>
                <c:formatCode>0.00%</c:formatCode>
                <c:ptCount val="7"/>
                <c:pt idx="0">
                  <c:v>9.2307692307692313E-2</c:v>
                </c:pt>
                <c:pt idx="1">
                  <c:v>0</c:v>
                </c:pt>
                <c:pt idx="2">
                  <c:v>1.1627906976744186E-2</c:v>
                </c:pt>
                <c:pt idx="3">
                  <c:v>0</c:v>
                </c:pt>
                <c:pt idx="4">
                  <c:v>1.2658227848101266E-2</c:v>
                </c:pt>
                <c:pt idx="5">
                  <c:v>1.5151515151515152E-2</c:v>
                </c:pt>
                <c:pt idx="6">
                  <c:v>0</c:v>
                </c:pt>
              </c:numCache>
            </c:numRef>
          </c:val>
        </c:ser>
        <c:ser>
          <c:idx val="3"/>
          <c:order val="3"/>
          <c:tx>
            <c:strRef>
              <c:f>'V.4.25.Accid.Aprob Según suc.'!$L$3</c:f>
              <c:strCache>
                <c:ptCount val="1"/>
                <c:pt idx="0">
                  <c:v>% Factor de Trabajo</c:v>
                </c:pt>
              </c:strCache>
            </c:strRef>
          </c:tx>
          <c:spPr>
            <a:solidFill>
              <a:schemeClr val="accent3">
                <a:lumMod val="75000"/>
              </a:schemeClr>
            </a:solidFill>
          </c:spPr>
          <c:invertIfNegative val="0"/>
          <c:dLbls>
            <c:spPr>
              <a:noFill/>
              <a:ln>
                <a:noFill/>
              </a:ln>
              <a:effectLst/>
            </c:spPr>
            <c:txPr>
              <a:bodyPr rot="-5400000" vert="horz"/>
              <a:lstStyle/>
              <a:p>
                <a:pPr>
                  <a:defRPr sz="11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'V.4.25.Accid.Aprob Según suc.'!$A$4:$A$10</c:f>
              <c:strCache>
                <c:ptCount val="7"/>
                <c:pt idx="0">
                  <c:v>2009</c:v>
                </c:pt>
                <c:pt idx="1">
                  <c:v>2010</c:v>
                </c:pt>
                <c:pt idx="2">
                  <c:v>2011</c:v>
                </c:pt>
                <c:pt idx="3">
                  <c:v>2012</c:v>
                </c:pt>
                <c:pt idx="4">
                  <c:v>2013</c:v>
                </c:pt>
                <c:pt idx="5">
                  <c:v>2014</c:v>
                </c:pt>
                <c:pt idx="6">
                  <c:v>Ene-Nov.2015</c:v>
                </c:pt>
              </c:strCache>
            </c:strRef>
          </c:cat>
          <c:val>
            <c:numRef>
              <c:f>'V.4.25.Accid.Aprob Según suc.'!$L$4:$L$10</c:f>
              <c:numCache>
                <c:formatCode>0.00%</c:formatCode>
                <c:ptCount val="7"/>
                <c:pt idx="0">
                  <c:v>0.43076923076923079</c:v>
                </c:pt>
                <c:pt idx="1">
                  <c:v>0.6179775280898876</c:v>
                </c:pt>
                <c:pt idx="2">
                  <c:v>0.63953488372093026</c:v>
                </c:pt>
                <c:pt idx="3">
                  <c:v>0.8</c:v>
                </c:pt>
                <c:pt idx="4">
                  <c:v>0.810126582278481</c:v>
                </c:pt>
                <c:pt idx="5">
                  <c:v>0.69696969696969702</c:v>
                </c:pt>
                <c:pt idx="6">
                  <c:v>0.84615384615384615</c:v>
                </c:pt>
              </c:numCache>
            </c:numRef>
          </c:val>
        </c:ser>
        <c:ser>
          <c:idx val="4"/>
          <c:order val="4"/>
          <c:tx>
            <c:strRef>
              <c:f>'V.4.25.Accid.Aprob Según suc.'!$M$3</c:f>
              <c:strCache>
                <c:ptCount val="1"/>
                <c:pt idx="0">
                  <c:v>%Factor Personal</c:v>
                </c:pt>
              </c:strCache>
            </c:strRef>
          </c:tx>
          <c:invertIfNegative val="0"/>
          <c:dLbls>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'V.4.25.Accid.Aprob Según suc.'!$A$4:$A$10</c:f>
              <c:strCache>
                <c:ptCount val="7"/>
                <c:pt idx="0">
                  <c:v>2009</c:v>
                </c:pt>
                <c:pt idx="1">
                  <c:v>2010</c:v>
                </c:pt>
                <c:pt idx="2">
                  <c:v>2011</c:v>
                </c:pt>
                <c:pt idx="3">
                  <c:v>2012</c:v>
                </c:pt>
                <c:pt idx="4">
                  <c:v>2013</c:v>
                </c:pt>
                <c:pt idx="5">
                  <c:v>2014</c:v>
                </c:pt>
                <c:pt idx="6">
                  <c:v>Ene-Nov.2015</c:v>
                </c:pt>
              </c:strCache>
            </c:strRef>
          </c:cat>
          <c:val>
            <c:numRef>
              <c:f>'V.4.25.Accid.Aprob Según suc.'!$M$4:$M$10</c:f>
              <c:numCache>
                <c:formatCode>0.00%</c:formatCode>
                <c:ptCount val="7"/>
                <c:pt idx="0">
                  <c:v>0.2153846153846154</c:v>
                </c:pt>
                <c:pt idx="1">
                  <c:v>0.19101123595505617</c:v>
                </c:pt>
                <c:pt idx="2">
                  <c:v>4.6511627906976744E-2</c:v>
                </c:pt>
                <c:pt idx="3">
                  <c:v>2.2222222222222223E-2</c:v>
                </c:pt>
                <c:pt idx="4">
                  <c:v>8.8607594936708861E-2</c:v>
                </c:pt>
                <c:pt idx="5">
                  <c:v>7.575757575757576E-2</c:v>
                </c:pt>
                <c:pt idx="6">
                  <c:v>8.7912087912087919E-2</c:v>
                </c:pt>
              </c:numCache>
            </c:numRef>
          </c:val>
        </c:ser>
        <c:ser>
          <c:idx val="5"/>
          <c:order val="5"/>
          <c:tx>
            <c:strRef>
              <c:f>'V.4.25.Accid.Aprob Según suc.'!$N$3</c:f>
              <c:strCache>
                <c:ptCount val="1"/>
                <c:pt idx="0">
                  <c:v>% No Especificados</c:v>
                </c:pt>
              </c:strCache>
            </c:strRef>
          </c:tx>
          <c:invertIfNegative val="0"/>
          <c:dLbls>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'V.4.25.Accid.Aprob Según suc.'!$A$4:$A$10</c:f>
              <c:strCache>
                <c:ptCount val="7"/>
                <c:pt idx="0">
                  <c:v>2009</c:v>
                </c:pt>
                <c:pt idx="1">
                  <c:v>2010</c:v>
                </c:pt>
                <c:pt idx="2">
                  <c:v>2011</c:v>
                </c:pt>
                <c:pt idx="3">
                  <c:v>2012</c:v>
                </c:pt>
                <c:pt idx="4">
                  <c:v>2013</c:v>
                </c:pt>
                <c:pt idx="5">
                  <c:v>2014</c:v>
                </c:pt>
                <c:pt idx="6">
                  <c:v>Ene-Nov.2015</c:v>
                </c:pt>
              </c:strCache>
            </c:strRef>
          </c:cat>
          <c:val>
            <c:numRef>
              <c:f>'V.4.25.Accid.Aprob Según suc.'!$N$4:$N$10</c:f>
              <c:numCache>
                <c:formatCode>0.00%</c:formatCode>
                <c:ptCount val="7"/>
                <c:pt idx="0">
                  <c:v>0</c:v>
                </c:pt>
                <c:pt idx="1">
                  <c:v>2.247191011235955E-2</c:v>
                </c:pt>
                <c:pt idx="2">
                  <c:v>6.9767441860465115E-2</c:v>
                </c:pt>
                <c:pt idx="3">
                  <c:v>0.15555555555555556</c:v>
                </c:pt>
                <c:pt idx="4">
                  <c:v>3.7974683544303799E-2</c:v>
                </c:pt>
                <c:pt idx="5">
                  <c:v>0</c:v>
                </c:pt>
                <c:pt idx="6">
                  <c:v>0</c:v>
                </c:pt>
              </c:numCache>
            </c:numRef>
          </c:val>
        </c:ser>
        <c:dLbls>
          <c:showLegendKey val="0"/>
          <c:showVal val="0"/>
          <c:showCatName val="0"/>
          <c:showSerName val="0"/>
          <c:showPercent val="0"/>
          <c:showBubbleSize val="0"/>
        </c:dLbls>
        <c:gapWidth val="150"/>
        <c:shape val="cylinder"/>
        <c:axId val="238541704"/>
        <c:axId val="238542096"/>
        <c:axId val="0"/>
      </c:bar3DChart>
      <c:catAx>
        <c:axId val="238541704"/>
        <c:scaling>
          <c:orientation val="minMax"/>
        </c:scaling>
        <c:delete val="0"/>
        <c:axPos val="b"/>
        <c:numFmt formatCode="General" sourceLinked="0"/>
        <c:majorTickMark val="out"/>
        <c:minorTickMark val="none"/>
        <c:tickLblPos val="nextTo"/>
        <c:crossAx val="238542096"/>
        <c:crosses val="autoZero"/>
        <c:auto val="1"/>
        <c:lblAlgn val="ctr"/>
        <c:lblOffset val="100"/>
        <c:noMultiLvlLbl val="0"/>
      </c:catAx>
      <c:valAx>
        <c:axId val="238542096"/>
        <c:scaling>
          <c:orientation val="minMax"/>
        </c:scaling>
        <c:delete val="0"/>
        <c:axPos val="l"/>
        <c:numFmt formatCode="0.00%" sourceLinked="1"/>
        <c:majorTickMark val="out"/>
        <c:minorTickMark val="none"/>
        <c:tickLblPos val="nextTo"/>
        <c:crossAx val="238541704"/>
        <c:crosses val="autoZero"/>
        <c:crossBetween val="between"/>
      </c:valAx>
      <c:spPr>
        <a:ln>
          <a:noFill/>
        </a:ln>
      </c:spPr>
    </c:plotArea>
    <c:legend>
      <c:legendPos val="r"/>
      <c:layout>
        <c:manualLayout>
          <c:xMode val="edge"/>
          <c:yMode val="edge"/>
          <c:x val="0.23305617424307834"/>
          <c:y val="8.0173248368883177E-2"/>
          <c:w val="0.60085793125358655"/>
          <c:h val="6.6483292967771321E-2"/>
        </c:manualLayout>
      </c:layout>
      <c:overlay val="0"/>
      <c:txPr>
        <a:bodyPr/>
        <a:lstStyle/>
        <a:p>
          <a:pPr>
            <a:defRPr sz="12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a:t>Solicitudes Recibidas en las Comisiones Médicas por Estatus</a:t>
            </a:r>
          </a:p>
        </c:rich>
      </c:tx>
      <c:layout>
        <c:manualLayout>
          <c:xMode val="edge"/>
          <c:yMode val="edge"/>
          <c:x val="0.23901760519494139"/>
          <c:y val="2.3841103040680493E-2"/>
        </c:manualLayout>
      </c:layout>
      <c:overlay val="1"/>
    </c:title>
    <c:autoTitleDeleted val="0"/>
    <c:plotArea>
      <c:layout>
        <c:manualLayout>
          <c:layoutTarget val="inner"/>
          <c:xMode val="edge"/>
          <c:yMode val="edge"/>
          <c:x val="2.0900167701211472E-2"/>
          <c:y val="0.17590809605346738"/>
          <c:w val="0.96137760958493024"/>
          <c:h val="0.65454146977698902"/>
        </c:manualLayout>
      </c:layout>
      <c:barChart>
        <c:barDir val="col"/>
        <c:grouping val="clustered"/>
        <c:varyColors val="0"/>
        <c:ser>
          <c:idx val="0"/>
          <c:order val="0"/>
          <c:tx>
            <c:strRef>
              <c:f>'VI.2.Status'!$B$3</c:f>
              <c:strCache>
                <c:ptCount val="1"/>
                <c:pt idx="0">
                  <c:v>Solicitudes Totales</c:v>
                </c:pt>
              </c:strCache>
            </c:strRef>
          </c:tx>
          <c:spPr>
            <a:solidFill>
              <a:srgbClr val="0070C0"/>
            </a:solidFill>
          </c:spPr>
          <c:invertIfNegative val="0"/>
          <c:dLbls>
            <c:dLbl>
              <c:idx val="5"/>
              <c:layout>
                <c:manualLayout>
                  <c:x val="-6.0670955800683204E-3"/>
                  <c:y val="0"/>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7.7669333354225796E-3"/>
                  <c:y val="2.1628503711160927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0"/>
                  <c:y val="6.4885511133484369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400" b="1">
                    <a:solidFill>
                      <a:srgbClr val="0070C0"/>
                    </a:solidFill>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'VI.2.Status'!$A$4:$A$11</c:f>
              <c:strCache>
                <c:ptCount val="8"/>
                <c:pt idx="0">
                  <c:v>Oct-Dic 2008</c:v>
                </c:pt>
                <c:pt idx="1">
                  <c:v>2009</c:v>
                </c:pt>
                <c:pt idx="2">
                  <c:v>2010</c:v>
                </c:pt>
                <c:pt idx="3">
                  <c:v>2011</c:v>
                </c:pt>
                <c:pt idx="4">
                  <c:v>2012</c:v>
                </c:pt>
                <c:pt idx="5">
                  <c:v>2013</c:v>
                </c:pt>
                <c:pt idx="6">
                  <c:v>2014</c:v>
                </c:pt>
                <c:pt idx="7">
                  <c:v>Ene-Nov. 2015</c:v>
                </c:pt>
              </c:strCache>
            </c:strRef>
          </c:cat>
          <c:val>
            <c:numRef>
              <c:f>'VI.2.Status'!$B$4:$B$11</c:f>
              <c:numCache>
                <c:formatCode>_(* #,##0_);_(* \(#,##0\);_(* "-"??_);_(@_)</c:formatCode>
                <c:ptCount val="8"/>
                <c:pt idx="0">
                  <c:v>107</c:v>
                </c:pt>
                <c:pt idx="1">
                  <c:v>1018</c:v>
                </c:pt>
                <c:pt idx="2">
                  <c:v>1495</c:v>
                </c:pt>
                <c:pt idx="3">
                  <c:v>2086</c:v>
                </c:pt>
                <c:pt idx="4">
                  <c:v>2160</c:v>
                </c:pt>
                <c:pt idx="5">
                  <c:v>1670</c:v>
                </c:pt>
                <c:pt idx="6">
                  <c:v>1558</c:v>
                </c:pt>
                <c:pt idx="7">
                  <c:v>1524</c:v>
                </c:pt>
              </c:numCache>
            </c:numRef>
          </c:val>
        </c:ser>
        <c:ser>
          <c:idx val="1"/>
          <c:order val="1"/>
          <c:tx>
            <c:strRef>
              <c:f>'VI.2.Status'!$C$3</c:f>
              <c:strCache>
                <c:ptCount val="1"/>
                <c:pt idx="0">
                  <c:v>Dictámenes Notificados a CTD</c:v>
                </c:pt>
              </c:strCache>
            </c:strRef>
          </c:tx>
          <c:spPr>
            <a:solidFill>
              <a:schemeClr val="accent5">
                <a:lumMod val="50000"/>
              </a:schemeClr>
            </a:solidFill>
          </c:spPr>
          <c:invertIfNegative val="0"/>
          <c:dLbls>
            <c:dLbl>
              <c:idx val="1"/>
              <c:layout>
                <c:manualLayout>
                  <c:x val="-1.0256410256410256E-2"/>
                  <c:y val="2.7184766940926003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6.4102564102564569E-3"/>
                  <c:y val="2.7184766940925005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7.6923076923076927E-3"/>
                  <c:y val="2.7184766940926003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6"/>
              <c:spPr/>
              <c:txPr>
                <a:bodyPr/>
                <a:lstStyle/>
                <a:p>
                  <a:pPr>
                    <a:defRPr sz="1600" b="1">
                      <a:solidFill>
                        <a:schemeClr val="accent3">
                          <a:lumMod val="50000"/>
                        </a:schemeClr>
                      </a:solidFill>
                    </a:defRPr>
                  </a:pPr>
                  <a:endParaRPr lang="es-ES"/>
                </a:p>
              </c:txPr>
              <c:dLblPos val="outEnd"/>
              <c:showLegendKey val="0"/>
              <c:showVal val="1"/>
              <c:showCatName val="0"/>
              <c:showSerName val="0"/>
              <c:showPercent val="0"/>
              <c:showBubbleSize val="0"/>
            </c:dLbl>
            <c:spPr>
              <a:noFill/>
              <a:ln>
                <a:noFill/>
              </a:ln>
              <a:effectLst/>
            </c:spPr>
            <c:txPr>
              <a:bodyPr/>
              <a:lstStyle/>
              <a:p>
                <a:pPr>
                  <a:defRPr sz="1400" b="1">
                    <a:solidFill>
                      <a:schemeClr val="accent3">
                        <a:lumMod val="50000"/>
                      </a:schemeClr>
                    </a:solidFill>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'VI.2.Status'!$A$4:$A$11</c:f>
              <c:strCache>
                <c:ptCount val="8"/>
                <c:pt idx="0">
                  <c:v>Oct-Dic 2008</c:v>
                </c:pt>
                <c:pt idx="1">
                  <c:v>2009</c:v>
                </c:pt>
                <c:pt idx="2">
                  <c:v>2010</c:v>
                </c:pt>
                <c:pt idx="3">
                  <c:v>2011</c:v>
                </c:pt>
                <c:pt idx="4">
                  <c:v>2012</c:v>
                </c:pt>
                <c:pt idx="5">
                  <c:v>2013</c:v>
                </c:pt>
                <c:pt idx="6">
                  <c:v>2014</c:v>
                </c:pt>
                <c:pt idx="7">
                  <c:v>Ene-Nov. 2015</c:v>
                </c:pt>
              </c:strCache>
            </c:strRef>
          </c:cat>
          <c:val>
            <c:numRef>
              <c:f>'VI.2.Status'!$C$4:$C$11</c:f>
              <c:numCache>
                <c:formatCode>_(* #,##0_);_(* \(#,##0\);_(* "-"??_);_(@_)</c:formatCode>
                <c:ptCount val="8"/>
                <c:pt idx="0">
                  <c:v>15</c:v>
                </c:pt>
                <c:pt idx="1">
                  <c:v>673</c:v>
                </c:pt>
                <c:pt idx="2">
                  <c:v>793</c:v>
                </c:pt>
                <c:pt idx="3">
                  <c:v>795</c:v>
                </c:pt>
                <c:pt idx="4">
                  <c:v>1877</c:v>
                </c:pt>
                <c:pt idx="5">
                  <c:v>2874</c:v>
                </c:pt>
                <c:pt idx="6">
                  <c:v>1761</c:v>
                </c:pt>
                <c:pt idx="7">
                  <c:v>1001</c:v>
                </c:pt>
              </c:numCache>
            </c:numRef>
          </c:val>
        </c:ser>
        <c:dLbls>
          <c:showLegendKey val="0"/>
          <c:showVal val="0"/>
          <c:showCatName val="0"/>
          <c:showSerName val="0"/>
          <c:showPercent val="0"/>
          <c:showBubbleSize val="0"/>
        </c:dLbls>
        <c:gapWidth val="34"/>
        <c:overlap val="13"/>
        <c:axId val="238542880"/>
        <c:axId val="238543272"/>
      </c:barChart>
      <c:catAx>
        <c:axId val="238542880"/>
        <c:scaling>
          <c:orientation val="minMax"/>
        </c:scaling>
        <c:delete val="0"/>
        <c:axPos val="b"/>
        <c:numFmt formatCode="General" sourceLinked="0"/>
        <c:majorTickMark val="none"/>
        <c:minorTickMark val="none"/>
        <c:tickLblPos val="nextTo"/>
        <c:txPr>
          <a:bodyPr/>
          <a:lstStyle/>
          <a:p>
            <a:pPr>
              <a:defRPr sz="1200"/>
            </a:pPr>
            <a:endParaRPr lang="es-ES"/>
          </a:p>
        </c:txPr>
        <c:crossAx val="238543272"/>
        <c:crosses val="autoZero"/>
        <c:auto val="1"/>
        <c:lblAlgn val="ctr"/>
        <c:lblOffset val="100"/>
        <c:noMultiLvlLbl val="0"/>
      </c:catAx>
      <c:valAx>
        <c:axId val="238543272"/>
        <c:scaling>
          <c:orientation val="minMax"/>
        </c:scaling>
        <c:delete val="1"/>
        <c:axPos val="l"/>
        <c:numFmt formatCode="_(* #,##0_);_(* \(#,##0\);_(* &quot;-&quot;??_);_(@_)" sourceLinked="1"/>
        <c:majorTickMark val="none"/>
        <c:minorTickMark val="none"/>
        <c:tickLblPos val="nextTo"/>
        <c:crossAx val="238542880"/>
        <c:crosses val="autoZero"/>
        <c:crossBetween val="between"/>
      </c:valAx>
    </c:plotArea>
    <c:legend>
      <c:legendPos val="t"/>
      <c:layout>
        <c:manualLayout>
          <c:xMode val="edge"/>
          <c:yMode val="edge"/>
          <c:x val="0.28747380102125958"/>
          <c:y val="6.8466974800497002E-2"/>
          <c:w val="0.40522481324449827"/>
          <c:h val="5.5738404626633278E-2"/>
        </c:manualLayout>
      </c:layout>
      <c:overlay val="0"/>
      <c:txPr>
        <a:bodyPr/>
        <a:lstStyle/>
        <a:p>
          <a:pPr>
            <a:defRPr sz="12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9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000"/>
            </a:pPr>
            <a:r>
              <a:rPr lang="en-US" sz="2000"/>
              <a:t>Apelaciones de Dictámenes de la CMNR por Origen de la Solicitud</a:t>
            </a:r>
          </a:p>
        </c:rich>
      </c:tx>
      <c:layout>
        <c:manualLayout>
          <c:xMode val="edge"/>
          <c:yMode val="edge"/>
          <c:x val="0.23440703596260995"/>
          <c:y val="2.2588235294117649E-2"/>
        </c:manualLayout>
      </c:layout>
      <c:overlay val="0"/>
    </c:title>
    <c:autoTitleDeleted val="0"/>
    <c:view3D>
      <c:rotX val="15"/>
      <c:rotY val="180"/>
      <c:rAngAx val="0"/>
    </c:view3D>
    <c:floor>
      <c:thickness val="0"/>
    </c:floor>
    <c:sideWall>
      <c:thickness val="0"/>
    </c:sideWall>
    <c:backWall>
      <c:thickness val="0"/>
    </c:backWall>
    <c:plotArea>
      <c:layout>
        <c:manualLayout>
          <c:layoutTarget val="inner"/>
          <c:xMode val="edge"/>
          <c:yMode val="edge"/>
          <c:x val="1.4673849979278905E-2"/>
          <c:y val="0.14072263084761463"/>
          <c:w val="0.94363766634433854"/>
          <c:h val="0.73455636868920793"/>
        </c:manualLayout>
      </c:layout>
      <c:bar3DChart>
        <c:barDir val="col"/>
        <c:grouping val="standard"/>
        <c:varyColors val="0"/>
        <c:ser>
          <c:idx val="0"/>
          <c:order val="0"/>
          <c:tx>
            <c:strRef>
              <c:f>'VI.3.Apelaciones1'!$B$4</c:f>
              <c:strCache>
                <c:ptCount val="1"/>
                <c:pt idx="0">
                  <c:v>Afiliados</c:v>
                </c:pt>
              </c:strCache>
            </c:strRef>
          </c:tx>
          <c:invertIfNegative val="0"/>
          <c:dLbls>
            <c:dLbl>
              <c:idx val="0"/>
              <c:layout>
                <c:manualLayout>
                  <c:x val="-1.8373993753574101E-2"/>
                  <c:y val="8.746783287077972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9.8695440847672618E-3"/>
                  <c:y val="7.678121875532753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5.8349535916948931E-3"/>
                  <c:y val="7.891854157841794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2.2341969823604451E-3"/>
                  <c:y val="8.746783287077965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1.7235242044448585E-3"/>
                  <c:y val="9.340754052802223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1.2164553115071176E-2"/>
                  <c:y val="9.831321908290868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9723755583183681E-2"/>
                  <c:y val="0.1015176655859194"/>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28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'VI.3.Apelaciones1'!$A$5:$A$12</c:f>
              <c:strCache>
                <c:ptCount val="8"/>
                <c:pt idx="0">
                  <c:v>Oct. 2009</c:v>
                </c:pt>
                <c:pt idx="1">
                  <c:v>2010</c:v>
                </c:pt>
                <c:pt idx="2">
                  <c:v>2011</c:v>
                </c:pt>
                <c:pt idx="3">
                  <c:v>2012</c:v>
                </c:pt>
                <c:pt idx="4">
                  <c:v>2013</c:v>
                </c:pt>
                <c:pt idx="5">
                  <c:v>2014</c:v>
                </c:pt>
                <c:pt idx="6">
                  <c:v>Ene- Nov. 15</c:v>
                </c:pt>
                <c:pt idx="7">
                  <c:v>Fecha no especificada</c:v>
                </c:pt>
              </c:strCache>
            </c:strRef>
          </c:cat>
          <c:val>
            <c:numRef>
              <c:f>'VI.3.Apelaciones1'!$B$5:$B$12</c:f>
              <c:numCache>
                <c:formatCode>_(* #,##0_);_(* \(#,##0\);_(* "-"??_);_(@_)</c:formatCode>
                <c:ptCount val="8"/>
                <c:pt idx="0">
                  <c:v>81</c:v>
                </c:pt>
                <c:pt idx="1">
                  <c:v>61</c:v>
                </c:pt>
                <c:pt idx="2">
                  <c:v>78</c:v>
                </c:pt>
                <c:pt idx="3">
                  <c:v>313</c:v>
                </c:pt>
                <c:pt idx="4">
                  <c:v>529</c:v>
                </c:pt>
                <c:pt idx="5">
                  <c:v>294</c:v>
                </c:pt>
                <c:pt idx="6">
                  <c:v>247</c:v>
                </c:pt>
                <c:pt idx="7">
                  <c:v>5</c:v>
                </c:pt>
              </c:numCache>
            </c:numRef>
          </c:val>
        </c:ser>
        <c:ser>
          <c:idx val="1"/>
          <c:order val="1"/>
          <c:tx>
            <c:strRef>
              <c:f>'VI.3.Apelaciones1'!$C$4</c:f>
              <c:strCache>
                <c:ptCount val="1"/>
                <c:pt idx="0">
                  <c:v>Compañías de Seguro/ARL</c:v>
                </c:pt>
              </c:strCache>
            </c:strRef>
          </c:tx>
          <c:invertIfNegative val="0"/>
          <c:dLbls>
            <c:dLbl>
              <c:idx val="0"/>
              <c:layout>
                <c:manualLayout>
                  <c:x val="-1.5434544366164756E-2"/>
                  <c:y val="5.991396016674386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2676741723074227E-2"/>
                  <c:y val="6.611801760074108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6.1586406962286918E-3"/>
                  <c:y val="7.868709587772117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3.7423216834737761E-3"/>
                  <c:y val="0.11344466882816119"/>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6.6717134042455217E-3"/>
                  <c:y val="0.11100353867531264"/>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5.8353547911774188E-3"/>
                  <c:y val="3.884301991662800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2185845190403831E-2"/>
                  <c:y val="5.7666549328392776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28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'VI.3.Apelaciones1'!$A$5:$A$12</c:f>
              <c:strCache>
                <c:ptCount val="8"/>
                <c:pt idx="0">
                  <c:v>Oct. 2009</c:v>
                </c:pt>
                <c:pt idx="1">
                  <c:v>2010</c:v>
                </c:pt>
                <c:pt idx="2">
                  <c:v>2011</c:v>
                </c:pt>
                <c:pt idx="3">
                  <c:v>2012</c:v>
                </c:pt>
                <c:pt idx="4">
                  <c:v>2013</c:v>
                </c:pt>
                <c:pt idx="5">
                  <c:v>2014</c:v>
                </c:pt>
                <c:pt idx="6">
                  <c:v>Ene- Nov. 15</c:v>
                </c:pt>
                <c:pt idx="7">
                  <c:v>Fecha no especificada</c:v>
                </c:pt>
              </c:strCache>
            </c:strRef>
          </c:cat>
          <c:val>
            <c:numRef>
              <c:f>'VI.3.Apelaciones1'!$C$5:$C$12</c:f>
              <c:numCache>
                <c:formatCode>_(* #,##0_);_(* \(#,##0\);_(* "-"??_);_(@_)</c:formatCode>
                <c:ptCount val="8"/>
                <c:pt idx="0">
                  <c:v>13</c:v>
                </c:pt>
                <c:pt idx="1">
                  <c:v>25</c:v>
                </c:pt>
                <c:pt idx="2">
                  <c:v>45</c:v>
                </c:pt>
                <c:pt idx="3">
                  <c:v>186</c:v>
                </c:pt>
                <c:pt idx="4">
                  <c:v>218</c:v>
                </c:pt>
                <c:pt idx="5">
                  <c:v>100</c:v>
                </c:pt>
                <c:pt idx="6">
                  <c:v>66</c:v>
                </c:pt>
              </c:numCache>
            </c:numRef>
          </c:val>
        </c:ser>
        <c:ser>
          <c:idx val="2"/>
          <c:order val="2"/>
          <c:tx>
            <c:strRef>
              <c:f>'VI.3.Apelaciones1'!$D$4</c:f>
              <c:strCache>
                <c:ptCount val="1"/>
                <c:pt idx="0">
                  <c:v>Origen no especificado</c:v>
                </c:pt>
              </c:strCache>
            </c:strRef>
          </c:tx>
          <c:invertIfNegative val="0"/>
          <c:dLbls>
            <c:dLbl>
              <c:idx val="0"/>
              <c:layout>
                <c:manualLayout>
                  <c:x val="-1.4587892049598833E-3"/>
                  <c:y val="6.2671359287500672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1.4587892049598833E-3"/>
                  <c:y val="5.3270655394375567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0"/>
                  <c:y val="6.2671359287500672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0"/>
                  <c:y val="6.267135928750067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1.4735000230234379E-7"/>
                  <c:y val="6.456470588235294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4.5581986462218541E-3"/>
                  <c:y val="5.2299471977767346E-2"/>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1.6007441175116269E-2"/>
                  <c:y val="5.6087892542843909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2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'VI.3.Apelaciones1'!$A$5:$A$12</c:f>
              <c:strCache>
                <c:ptCount val="8"/>
                <c:pt idx="0">
                  <c:v>Oct. 2009</c:v>
                </c:pt>
                <c:pt idx="1">
                  <c:v>2010</c:v>
                </c:pt>
                <c:pt idx="2">
                  <c:v>2011</c:v>
                </c:pt>
                <c:pt idx="3">
                  <c:v>2012</c:v>
                </c:pt>
                <c:pt idx="4">
                  <c:v>2013</c:v>
                </c:pt>
                <c:pt idx="5">
                  <c:v>2014</c:v>
                </c:pt>
                <c:pt idx="6">
                  <c:v>Ene- Nov. 15</c:v>
                </c:pt>
                <c:pt idx="7">
                  <c:v>Fecha no especificada</c:v>
                </c:pt>
              </c:strCache>
            </c:strRef>
          </c:cat>
          <c:val>
            <c:numRef>
              <c:f>'VI.3.Apelaciones1'!$D$5:$D$12</c:f>
              <c:numCache>
                <c:formatCode>_(* #,##0_);_(* \(#,##0\);_(* "-"??_);_(@_)</c:formatCode>
                <c:ptCount val="8"/>
                <c:pt idx="3">
                  <c:v>60</c:v>
                </c:pt>
                <c:pt idx="4">
                  <c:v>21</c:v>
                </c:pt>
                <c:pt idx="6">
                  <c:v>1</c:v>
                </c:pt>
                <c:pt idx="7">
                  <c:v>2</c:v>
                </c:pt>
              </c:numCache>
            </c:numRef>
          </c:val>
        </c:ser>
        <c:dLbls>
          <c:showLegendKey val="0"/>
          <c:showVal val="0"/>
          <c:showCatName val="0"/>
          <c:showSerName val="0"/>
          <c:showPercent val="0"/>
          <c:showBubbleSize val="0"/>
        </c:dLbls>
        <c:gapWidth val="37"/>
        <c:gapDepth val="74"/>
        <c:shape val="box"/>
        <c:axId val="238544448"/>
        <c:axId val="238544840"/>
        <c:axId val="377691896"/>
      </c:bar3DChart>
      <c:catAx>
        <c:axId val="238544448"/>
        <c:scaling>
          <c:orientation val="minMax"/>
        </c:scaling>
        <c:delete val="0"/>
        <c:axPos val="b"/>
        <c:numFmt formatCode="General" sourceLinked="0"/>
        <c:majorTickMark val="none"/>
        <c:minorTickMark val="none"/>
        <c:tickLblPos val="nextTo"/>
        <c:txPr>
          <a:bodyPr/>
          <a:lstStyle/>
          <a:p>
            <a:pPr>
              <a:defRPr sz="1800" b="1"/>
            </a:pPr>
            <a:endParaRPr lang="es-ES"/>
          </a:p>
        </c:txPr>
        <c:crossAx val="238544840"/>
        <c:crosses val="autoZero"/>
        <c:auto val="1"/>
        <c:lblAlgn val="ctr"/>
        <c:lblOffset val="100"/>
        <c:noMultiLvlLbl val="0"/>
      </c:catAx>
      <c:valAx>
        <c:axId val="238544840"/>
        <c:scaling>
          <c:orientation val="minMax"/>
        </c:scaling>
        <c:delete val="1"/>
        <c:axPos val="r"/>
        <c:numFmt formatCode="_(* #,##0_);_(* \(#,##0\);_(* &quot;-&quot;??_);_(@_)" sourceLinked="1"/>
        <c:majorTickMark val="none"/>
        <c:minorTickMark val="none"/>
        <c:tickLblPos val="nextTo"/>
        <c:crossAx val="238544448"/>
        <c:crosses val="autoZero"/>
        <c:crossBetween val="between"/>
      </c:valAx>
      <c:serAx>
        <c:axId val="377691896"/>
        <c:scaling>
          <c:orientation val="minMax"/>
        </c:scaling>
        <c:delete val="1"/>
        <c:axPos val="b"/>
        <c:majorTickMark val="out"/>
        <c:minorTickMark val="none"/>
        <c:tickLblPos val="nextTo"/>
        <c:crossAx val="238544840"/>
        <c:crosses val="autoZero"/>
      </c:serAx>
    </c:plotArea>
    <c:legend>
      <c:legendPos val="t"/>
      <c:layout>
        <c:manualLayout>
          <c:xMode val="edge"/>
          <c:yMode val="edge"/>
          <c:x val="0.18874982732421605"/>
          <c:y val="7.7957721167207034E-2"/>
          <c:w val="0.60191547635492937"/>
          <c:h val="5.6792070402964336E-2"/>
        </c:manualLayout>
      </c:layout>
      <c:overlay val="0"/>
      <c:txPr>
        <a:bodyPr/>
        <a:lstStyle/>
        <a:p>
          <a:pPr>
            <a:defRPr sz="2000"/>
          </a:pPr>
          <a:endParaRPr lang="es-ES"/>
        </a:p>
      </c:txPr>
    </c:legend>
    <c:plotVisOnly val="1"/>
    <c:dispBlanksAs val="gap"/>
    <c:showDLblsOverMax val="0"/>
  </c:chart>
  <c:spPr>
    <a:ln>
      <a:solidFill>
        <a:schemeClr val="bg1"/>
      </a:solidFill>
    </a:ln>
  </c:sp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3">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19050" cap="flat" cmpd="sng" algn="ctr">
        <a:solidFill>
          <a:schemeClr val="tx1">
            <a:lumMod val="15000"/>
            <a:lumOff val="85000"/>
          </a:schemeClr>
        </a:solidFill>
        <a:round/>
        <a:headEnd type="none" w="sm" len="sm"/>
        <a:tailEnd type="none" w="sm" len="sm"/>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
  <cs:dataPoint3D>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styleClr val="auto"/>
    </cs:lnRef>
    <cs:fillRef idx="0">
      <cs:styleClr val="auto"/>
    </cs:fillRef>
    <cs:effectRef idx="0"/>
    <cs:fontRef idx="minor">
      <a:schemeClr val="dk1"/>
    </cs:fontRef>
    <cs:spPr>
      <a:gradFill>
        <a:gsLst>
          <a:gs pos="0">
            <a:schemeClr val="phClr"/>
          </a:gs>
          <a:gs pos="46000">
            <a:schemeClr val="phClr"/>
          </a:gs>
          <a:gs pos="100000">
            <a:schemeClr val="phClr">
              <a:lumMod val="20000"/>
              <a:lumOff val="80000"/>
              <a:alpha val="0"/>
            </a:schemeClr>
          </a:gs>
        </a:gsLst>
        <a:path path="circle">
          <a:fillToRect l="50000" t="-80000" r="50000" b="180000"/>
        </a:path>
      </a:gradFill>
      <a:ln w="9525" cap="flat" cmpd="sng" algn="ctr">
        <a:solidFill>
          <a:schemeClr val="phClr">
            <a:shade val="95000"/>
          </a:scheme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cap="flat" cmpd="sng" algn="ctr">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99000">
              <a:schemeClr val="tx1">
                <a:lumMod val="25000"/>
                <a:lumOff val="75000"/>
              </a:schemeClr>
            </a:gs>
            <a:gs pos="0">
              <a:schemeClr val="tx1">
                <a:lumMod val="15000"/>
                <a:lumOff val="85000"/>
              </a:schemeClr>
            </a:gs>
          </a:gsLst>
          <a:lin ang="5400000" scaled="0"/>
        </a:gradFill>
        <a:round/>
      </a:ln>
    </cs:spPr>
  </cs:gridlineMajor>
  <cs:gridlineMinor>
    <cs:lnRef idx="0"/>
    <cs:fillRef idx="0"/>
    <cs:effectRef idx="0"/>
    <cs:fontRef idx="minor">
      <a:schemeClr val="dk1"/>
    </cs:fontRef>
    <cs:spPr>
      <a:ln w="9525" cap="flat" cmpd="sng" algn="ctr">
        <a:gradFill>
          <a:gsLst>
            <a:gs pos="100000">
              <a:schemeClr val="tx1">
                <a:lumMod val="15000"/>
                <a:lumOff val="85000"/>
              </a:schemeClr>
            </a:gs>
            <a:gs pos="0">
              <a:schemeClr val="tx1">
                <a:lumMod val="5000"/>
                <a:lumOff val="95000"/>
              </a:schemeClr>
            </a:gs>
          </a:gsLst>
          <a:lin ang="5400000" scaled="0"/>
        </a:gradFill>
        <a:round/>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headEnd type="none" w="sm" len="sm"/>
        <a:tailEnd type="none" w="sm" len="sm"/>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spc="5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4.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4"/><Relationship Id="rId1" Type="http://schemas.openxmlformats.org/officeDocument/2006/relationships/chart" Target="../charts/chart1.xml"/></Relationships>
</file>

<file path=xl/drawings/_rels/drawing100.xml.rels><?xml version="1.0" encoding="UTF-8" standalone="yes"?>
<Relationships xmlns="http://schemas.openxmlformats.org/package/2006/relationships"><Relationship Id="rId3" Type="http://schemas.openxmlformats.org/officeDocument/2006/relationships/hyperlink" Target="#Contenido!A58"/><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10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8"/><Relationship Id="rId1" Type="http://schemas.openxmlformats.org/officeDocument/2006/relationships/chart" Target="../charts/chart47.xml"/></Relationships>
</file>

<file path=xl/drawings/_rels/drawing10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42"/><Relationship Id="rId1" Type="http://schemas.openxmlformats.org/officeDocument/2006/relationships/chart" Target="../charts/chart48.xml"/></Relationships>
</file>

<file path=xl/drawings/_rels/drawing10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43"/><Relationship Id="rId1" Type="http://schemas.openxmlformats.org/officeDocument/2006/relationships/chart" Target="../charts/chart49.xml"/></Relationships>
</file>

<file path=xl/drawings/_rels/drawing106.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13.png"/></Relationships>
</file>

<file path=xl/drawings/_rels/drawing10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44"/><Relationship Id="rId1" Type="http://schemas.openxmlformats.org/officeDocument/2006/relationships/chart" Target="../charts/chart50.xml"/></Relationships>
</file>

<file path=xl/drawings/_rels/drawing109.xml.rels><?xml version="1.0" encoding="UTF-8" standalone="yes"?>
<Relationships xmlns="http://schemas.openxmlformats.org/package/2006/relationships"><Relationship Id="rId3" Type="http://schemas.openxmlformats.org/officeDocument/2006/relationships/chart" Target="../charts/chart51.xml"/><Relationship Id="rId2" Type="http://schemas.openxmlformats.org/officeDocument/2006/relationships/image" Target="../media/image4.png"/><Relationship Id="rId1" Type="http://schemas.openxmlformats.org/officeDocument/2006/relationships/hyperlink" Target="#Contenido!A47"/></Relationships>
</file>

<file path=xl/drawings/_rels/drawing11.xml.rels><?xml version="1.0" encoding="UTF-8" standalone="yes"?>
<Relationships xmlns="http://schemas.openxmlformats.org/package/2006/relationships"><Relationship Id="rId3" Type="http://schemas.openxmlformats.org/officeDocument/2006/relationships/hyperlink" Target="#Contenido!A134"/><Relationship Id="rId2" Type="http://schemas.openxmlformats.org/officeDocument/2006/relationships/image" Target="../media/image4.png"/><Relationship Id="rId1" Type="http://schemas.openxmlformats.org/officeDocument/2006/relationships/chart" Target="../charts/chart2.xml"/></Relationships>
</file>

<file path=xl/drawings/_rels/drawing11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46"/><Relationship Id="rId1" Type="http://schemas.openxmlformats.org/officeDocument/2006/relationships/chart" Target="../charts/chart52.xml"/></Relationships>
</file>

<file path=xl/drawings/_rels/drawing111.xml.rels><?xml version="1.0" encoding="UTF-8" standalone="yes"?>
<Relationships xmlns="http://schemas.openxmlformats.org/package/2006/relationships"><Relationship Id="rId3" Type="http://schemas.openxmlformats.org/officeDocument/2006/relationships/hyperlink" Target="#Contenido!A58"/><Relationship Id="rId2" Type="http://schemas.openxmlformats.org/officeDocument/2006/relationships/image" Target="../media/image4.png"/><Relationship Id="rId1" Type="http://schemas.openxmlformats.org/officeDocument/2006/relationships/chart" Target="../charts/chart53.xml"/></Relationships>
</file>

<file path=xl/drawings/_rels/drawing112.xml.rels><?xml version="1.0" encoding="UTF-8" standalone="yes"?>
<Relationships xmlns="http://schemas.openxmlformats.org/package/2006/relationships"><Relationship Id="rId1" Type="http://schemas.openxmlformats.org/officeDocument/2006/relationships/image" Target="../media/image16.png"/></Relationships>
</file>

<file path=xl/drawings/_rels/drawing113.xml.rels><?xml version="1.0" encoding="UTF-8" standalone="yes"?>
<Relationships xmlns="http://schemas.openxmlformats.org/package/2006/relationships"><Relationship Id="rId3" Type="http://schemas.openxmlformats.org/officeDocument/2006/relationships/chart" Target="../charts/chart54.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58"/></Relationships>
</file>

<file path=xl/drawings/_rels/drawing11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8"/><Relationship Id="rId1" Type="http://schemas.openxmlformats.org/officeDocument/2006/relationships/chart" Target="../charts/chart55.xml"/></Relationships>
</file>

<file path=xl/drawings/_rels/drawing11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8"/><Relationship Id="rId1" Type="http://schemas.openxmlformats.org/officeDocument/2006/relationships/chart" Target="../charts/chart56.xml"/></Relationships>
</file>

<file path=xl/drawings/_rels/drawing118.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11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83"/><Relationship Id="rId1" Type="http://schemas.openxmlformats.org/officeDocument/2006/relationships/chart" Target="../charts/chart57.xml"/></Relationships>
</file>

<file path=xl/drawings/_rels/drawing12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84"/><Relationship Id="rId1" Type="http://schemas.openxmlformats.org/officeDocument/2006/relationships/chart" Target="../charts/chart58.xml"/></Relationships>
</file>

<file path=xl/drawings/_rels/drawing123.xml.rels><?xml version="1.0" encoding="UTF-8" standalone="yes"?>
<Relationships xmlns="http://schemas.openxmlformats.org/package/2006/relationships"><Relationship Id="rId3" Type="http://schemas.openxmlformats.org/officeDocument/2006/relationships/hyperlink" Target="#Contenido!A58"/><Relationship Id="rId2" Type="http://schemas.openxmlformats.org/officeDocument/2006/relationships/image" Target="../media/image17.png"/><Relationship Id="rId1" Type="http://schemas.openxmlformats.org/officeDocument/2006/relationships/chart" Target="../charts/chart59.xml"/><Relationship Id="rId4" Type="http://schemas.openxmlformats.org/officeDocument/2006/relationships/image" Target="../media/image4.png"/></Relationships>
</file>

<file path=xl/drawings/_rels/drawing124.xml.rels><?xml version="1.0" encoding="UTF-8" standalone="yes"?>
<Relationships xmlns="http://schemas.openxmlformats.org/package/2006/relationships"><Relationship Id="rId3" Type="http://schemas.openxmlformats.org/officeDocument/2006/relationships/chart" Target="../charts/chart60.xml"/><Relationship Id="rId2" Type="http://schemas.openxmlformats.org/officeDocument/2006/relationships/image" Target="../media/image4.png"/><Relationship Id="rId1" Type="http://schemas.openxmlformats.org/officeDocument/2006/relationships/hyperlink" Target="#INDICE!A1"/><Relationship Id="rId4" Type="http://schemas.openxmlformats.org/officeDocument/2006/relationships/hyperlink" Target="#Contenido!A58"/></Relationships>
</file>

<file path=xl/drawings/_rels/drawing126.xml.rels><?xml version="1.0" encoding="UTF-8" standalone="yes"?>
<Relationships xmlns="http://schemas.openxmlformats.org/package/2006/relationships"><Relationship Id="rId3" Type="http://schemas.openxmlformats.org/officeDocument/2006/relationships/chart" Target="../charts/chart61.xml"/><Relationship Id="rId2" Type="http://schemas.openxmlformats.org/officeDocument/2006/relationships/hyperlink" Target="#Contenido!A58"/><Relationship Id="rId1" Type="http://schemas.openxmlformats.org/officeDocument/2006/relationships/image" Target="../media/image4.png"/></Relationships>
</file>

<file path=xl/drawings/_rels/drawing127.xml.rels><?xml version="1.0" encoding="UTF-8" standalone="yes"?>
<Relationships xmlns="http://schemas.openxmlformats.org/package/2006/relationships"><Relationship Id="rId3" Type="http://schemas.openxmlformats.org/officeDocument/2006/relationships/chart" Target="../charts/chart62.xml"/><Relationship Id="rId2" Type="http://schemas.openxmlformats.org/officeDocument/2006/relationships/image" Target="../media/image18.png"/><Relationship Id="rId1" Type="http://schemas.openxmlformats.org/officeDocument/2006/relationships/hyperlink" Target="#Contenido!A95"/></Relationships>
</file>

<file path=xl/drawings/_rels/drawing12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95"/><Relationship Id="rId1" Type="http://schemas.openxmlformats.org/officeDocument/2006/relationships/chart" Target="../charts/chart63.xml"/></Relationships>
</file>

<file path=xl/drawings/_rels/drawing1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3.xml"/></Relationships>
</file>

<file path=xl/drawings/_rels/drawing13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95"/><Relationship Id="rId1" Type="http://schemas.openxmlformats.org/officeDocument/2006/relationships/chart" Target="../charts/chart64.xml"/></Relationships>
</file>

<file path=xl/drawings/_rels/drawing132.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hyperlink" Target="#Contenido!A58"/></Relationships>
</file>

<file path=xl/drawings/_rels/drawing13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2"/><Relationship Id="rId1" Type="http://schemas.openxmlformats.org/officeDocument/2006/relationships/chart" Target="../charts/chart65.xml"/></Relationships>
</file>

<file path=xl/drawings/_rels/drawing135.xml.rels><?xml version="1.0" encoding="UTF-8" standalone="yes"?>
<Relationships xmlns="http://schemas.openxmlformats.org/package/2006/relationships"><Relationship Id="rId3" Type="http://schemas.openxmlformats.org/officeDocument/2006/relationships/chart" Target="../charts/chart66.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103"/></Relationships>
</file>

<file path=xl/drawings/_rels/drawing137.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38.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19.jpeg"/></Relationships>
</file>

<file path=xl/drawings/_rels/drawing139.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hyperlink" Target="#Contenido!A58"/></Relationships>
</file>

<file path=xl/drawings/_rels/drawing140.xml.rels><?xml version="1.0" encoding="UTF-8" standalone="yes"?>
<Relationships xmlns="http://schemas.openxmlformats.org/package/2006/relationships"><Relationship Id="rId3" Type="http://schemas.openxmlformats.org/officeDocument/2006/relationships/hyperlink" Target="#Contenido!A58"/><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20.png"/></Relationships>
</file>

<file path=xl/drawings/_rels/drawing141.xml.rels><?xml version="1.0" encoding="UTF-8" standalone="yes"?>
<Relationships xmlns="http://schemas.openxmlformats.org/package/2006/relationships"><Relationship Id="rId3" Type="http://schemas.openxmlformats.org/officeDocument/2006/relationships/chart" Target="../charts/chart67.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58"/></Relationships>
</file>

<file path=xl/drawings/_rels/drawing142.xml.rels><?xml version="1.0" encoding="UTF-8" standalone="yes"?>
<Relationships xmlns="http://schemas.openxmlformats.org/package/2006/relationships"><Relationship Id="rId3" Type="http://schemas.openxmlformats.org/officeDocument/2006/relationships/chart" Target="../charts/chart68.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66"/></Relationships>
</file>

<file path=xl/drawings/_rels/drawing143.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44.xml.rels><?xml version="1.0" encoding="UTF-8" standalone="yes"?>
<Relationships xmlns="http://schemas.openxmlformats.org/package/2006/relationships"><Relationship Id="rId2" Type="http://schemas.openxmlformats.org/officeDocument/2006/relationships/hyperlink" Target="#Contenido!A58"/><Relationship Id="rId1" Type="http://schemas.openxmlformats.org/officeDocument/2006/relationships/image" Target="../media/image4.png"/></Relationships>
</file>

<file path=xl/drawings/_rels/drawing14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8"/><Relationship Id="rId1" Type="http://schemas.openxmlformats.org/officeDocument/2006/relationships/image" Target="../media/image21.png"/></Relationships>
</file>

<file path=xl/drawings/_rels/drawing146.xml.rels><?xml version="1.0" encoding="UTF-8" standalone="yes"?>
<Relationships xmlns="http://schemas.openxmlformats.org/package/2006/relationships"><Relationship Id="rId3" Type="http://schemas.openxmlformats.org/officeDocument/2006/relationships/hyperlink" Target="#Contenido!A58"/><Relationship Id="rId2" Type="http://schemas.openxmlformats.org/officeDocument/2006/relationships/image" Target="../media/image21.png"/><Relationship Id="rId1" Type="http://schemas.openxmlformats.org/officeDocument/2006/relationships/chart" Target="../charts/chart69.xml"/><Relationship Id="rId4" Type="http://schemas.openxmlformats.org/officeDocument/2006/relationships/image" Target="../media/image4.png"/></Relationships>
</file>

<file path=xl/drawings/_rels/drawing14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INDICE!A1"/><Relationship Id="rId1" Type="http://schemas.openxmlformats.org/officeDocument/2006/relationships/chart" Target="../charts/chart70.xml"/><Relationship Id="rId4" Type="http://schemas.openxmlformats.org/officeDocument/2006/relationships/hyperlink" Target="#Contenido!A58"/></Relationships>
</file>

<file path=xl/drawings/_rels/drawing149.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5.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image" Target="../media/image4.png"/></Relationships>
</file>

<file path=xl/drawings/_rels/drawing15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58"/></Relationships>
</file>

<file path=xl/drawings/_rels/drawing15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91"/><Relationship Id="rId1" Type="http://schemas.openxmlformats.org/officeDocument/2006/relationships/chart" Target="../charts/chart71.xml"/></Relationships>
</file>

<file path=xl/drawings/_rels/drawing15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INDICE!A1"/><Relationship Id="rId1" Type="http://schemas.openxmlformats.org/officeDocument/2006/relationships/chart" Target="../charts/chart72.xml"/><Relationship Id="rId4" Type="http://schemas.openxmlformats.org/officeDocument/2006/relationships/hyperlink" Target="#Contenido!A58"/></Relationships>
</file>

<file path=xl/drawings/_rels/drawing15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8"/><Relationship Id="rId1" Type="http://schemas.openxmlformats.org/officeDocument/2006/relationships/chart" Target="../charts/chart73.xml"/></Relationships>
</file>

<file path=xl/drawings/_rels/drawing154.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55.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hyperlink" Target="#Contenido!A58"/></Relationships>
</file>

<file path=xl/drawings/_rels/drawing156.xml.rels><?xml version="1.0" encoding="UTF-8" standalone="yes"?>
<Relationships xmlns="http://schemas.openxmlformats.org/package/2006/relationships"><Relationship Id="rId3" Type="http://schemas.openxmlformats.org/officeDocument/2006/relationships/image" Target="../media/image22.png"/><Relationship Id="rId2" Type="http://schemas.openxmlformats.org/officeDocument/2006/relationships/hyperlink" Target="#Contenido!A106"/><Relationship Id="rId1" Type="http://schemas.openxmlformats.org/officeDocument/2006/relationships/chart" Target="../charts/chart74.xml"/></Relationships>
</file>

<file path=xl/drawings/_rels/drawing15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8"/><Relationship Id="rId1" Type="http://schemas.openxmlformats.org/officeDocument/2006/relationships/chart" Target="../charts/chart75.xml"/></Relationships>
</file>

<file path=xl/drawings/_rels/drawing15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9"/><Relationship Id="rId1" Type="http://schemas.openxmlformats.org/officeDocument/2006/relationships/chart" Target="../charts/chart76.xml"/></Relationships>
</file>

<file path=xl/drawings/_rels/drawing15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0"/><Relationship Id="rId1" Type="http://schemas.openxmlformats.org/officeDocument/2006/relationships/chart" Target="../charts/chart77.xml"/></Relationships>
</file>

<file path=xl/drawings/_rels/drawing160.xml.rels><?xml version="1.0" encoding="UTF-8" standalone="yes"?>
<Relationships xmlns="http://schemas.openxmlformats.org/package/2006/relationships"><Relationship Id="rId3" Type="http://schemas.openxmlformats.org/officeDocument/2006/relationships/chart" Target="../charts/chart78.xml"/><Relationship Id="rId2" Type="http://schemas.openxmlformats.org/officeDocument/2006/relationships/image" Target="../media/image22.png"/><Relationship Id="rId1" Type="http://schemas.openxmlformats.org/officeDocument/2006/relationships/hyperlink" Target="#INDICE!A1"/><Relationship Id="rId5" Type="http://schemas.openxmlformats.org/officeDocument/2006/relationships/image" Target="../media/image4.png"/><Relationship Id="rId4" Type="http://schemas.openxmlformats.org/officeDocument/2006/relationships/hyperlink" Target="#Contenido!A103"/></Relationships>
</file>

<file path=xl/drawings/_rels/drawing161.xml.rels><?xml version="1.0" encoding="UTF-8" standalone="yes"?>
<Relationships xmlns="http://schemas.openxmlformats.org/package/2006/relationships"><Relationship Id="rId3" Type="http://schemas.openxmlformats.org/officeDocument/2006/relationships/hyperlink" Target="#Contenido!A134"/><Relationship Id="rId2" Type="http://schemas.openxmlformats.org/officeDocument/2006/relationships/image" Target="../media/image4.png"/><Relationship Id="rId1" Type="http://schemas.openxmlformats.org/officeDocument/2006/relationships/chart" Target="../charts/chart79.xml"/></Relationships>
</file>

<file path=xl/drawings/_rels/drawing16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7"/><Relationship Id="rId1" Type="http://schemas.openxmlformats.org/officeDocument/2006/relationships/chart" Target="../charts/chart80.xml"/></Relationships>
</file>

<file path=xl/drawings/_rels/drawing163.xml.rels><?xml version="1.0" encoding="UTF-8" standalone="yes"?>
<Relationships xmlns="http://schemas.openxmlformats.org/package/2006/relationships"><Relationship Id="rId3" Type="http://schemas.openxmlformats.org/officeDocument/2006/relationships/hyperlink" Target="#Contenido!A134"/><Relationship Id="rId2" Type="http://schemas.openxmlformats.org/officeDocument/2006/relationships/image" Target="../media/image22.png"/><Relationship Id="rId1" Type="http://schemas.openxmlformats.org/officeDocument/2006/relationships/chart" Target="../charts/chart81.xml"/><Relationship Id="rId4" Type="http://schemas.openxmlformats.org/officeDocument/2006/relationships/image" Target="../media/image4.png"/></Relationships>
</file>

<file path=xl/drawings/_rels/drawing16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4"/><Relationship Id="rId1" Type="http://schemas.openxmlformats.org/officeDocument/2006/relationships/chart" Target="../charts/chart82.xml"/></Relationships>
</file>

<file path=xl/drawings/_rels/drawing16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6"/><Relationship Id="rId1" Type="http://schemas.openxmlformats.org/officeDocument/2006/relationships/chart" Target="../charts/chart83.xml"/></Relationships>
</file>

<file path=xl/drawings/_rels/drawing16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8"/><Relationship Id="rId1" Type="http://schemas.openxmlformats.org/officeDocument/2006/relationships/chart" Target="../charts/chart84.xml"/></Relationships>
</file>

<file path=xl/drawings/_rels/drawing16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3"/><Relationship Id="rId1" Type="http://schemas.openxmlformats.org/officeDocument/2006/relationships/chart" Target="../charts/chart85.xml"/></Relationships>
</file>

<file path=xl/drawings/_rels/drawing17.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7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20"/><Relationship Id="rId1" Type="http://schemas.openxmlformats.org/officeDocument/2006/relationships/chart" Target="../charts/chart86.xml"/></Relationships>
</file>

<file path=xl/drawings/_rels/drawing172.xml.rels><?xml version="1.0" encoding="UTF-8" standalone="yes"?>
<Relationships xmlns="http://schemas.openxmlformats.org/package/2006/relationships"><Relationship Id="rId3" Type="http://schemas.openxmlformats.org/officeDocument/2006/relationships/hyperlink" Target="#Contenido!A122"/><Relationship Id="rId2" Type="http://schemas.openxmlformats.org/officeDocument/2006/relationships/image" Target="../media/image23.gif"/><Relationship Id="rId1" Type="http://schemas.openxmlformats.org/officeDocument/2006/relationships/chart" Target="../charts/chart87.xml"/><Relationship Id="rId4" Type="http://schemas.openxmlformats.org/officeDocument/2006/relationships/image" Target="../media/image4.png"/></Relationships>
</file>

<file path=xl/drawings/_rels/drawing17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23"/><Relationship Id="rId1" Type="http://schemas.openxmlformats.org/officeDocument/2006/relationships/chart" Target="../charts/chart88.xml"/></Relationships>
</file>

<file path=xl/drawings/_rels/drawing17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24"/><Relationship Id="rId1" Type="http://schemas.openxmlformats.org/officeDocument/2006/relationships/chart" Target="../charts/chart89.xml"/></Relationships>
</file>

<file path=xl/drawings/_rels/drawing17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26"/><Relationship Id="rId1" Type="http://schemas.openxmlformats.org/officeDocument/2006/relationships/chart" Target="../charts/chart90.xml"/></Relationships>
</file>

<file path=xl/drawings/_rels/drawing18.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180.xml.rels><?xml version="1.0" encoding="UTF-8" standalone="yes"?>
<Relationships xmlns="http://schemas.openxmlformats.org/package/2006/relationships"><Relationship Id="rId3" Type="http://schemas.openxmlformats.org/officeDocument/2006/relationships/image" Target="../media/image22.png"/><Relationship Id="rId2" Type="http://schemas.openxmlformats.org/officeDocument/2006/relationships/hyperlink" Target="#INDICE!A1"/><Relationship Id="rId1" Type="http://schemas.openxmlformats.org/officeDocument/2006/relationships/chart" Target="../charts/chart91.xml"/><Relationship Id="rId5" Type="http://schemas.openxmlformats.org/officeDocument/2006/relationships/image" Target="../media/image4.png"/><Relationship Id="rId4" Type="http://schemas.openxmlformats.org/officeDocument/2006/relationships/hyperlink" Target="#Contenido!A134"/></Relationships>
</file>

<file path=xl/drawings/_rels/drawing18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4"/><Relationship Id="rId1" Type="http://schemas.openxmlformats.org/officeDocument/2006/relationships/chart" Target="../charts/chart92.xml"/></Relationships>
</file>

<file path=xl/drawings/_rels/drawing184.xml.rels><?xml version="1.0" encoding="UTF-8" standalone="yes"?>
<Relationships xmlns="http://schemas.openxmlformats.org/package/2006/relationships"><Relationship Id="rId3" Type="http://schemas.openxmlformats.org/officeDocument/2006/relationships/chart" Target="../charts/chart93.xml"/><Relationship Id="rId2" Type="http://schemas.openxmlformats.org/officeDocument/2006/relationships/image" Target="../media/image22.png"/><Relationship Id="rId1" Type="http://schemas.openxmlformats.org/officeDocument/2006/relationships/hyperlink" Target="#INDICE!A1"/><Relationship Id="rId5" Type="http://schemas.openxmlformats.org/officeDocument/2006/relationships/image" Target="../media/image4.png"/><Relationship Id="rId4" Type="http://schemas.openxmlformats.org/officeDocument/2006/relationships/hyperlink" Target="#Contenido!A130"/></Relationships>
</file>

<file path=xl/drawings/_rels/drawing185.xml.rels><?xml version="1.0" encoding="UTF-8" standalone="yes"?>
<Relationships xmlns="http://schemas.openxmlformats.org/package/2006/relationships"><Relationship Id="rId3" Type="http://schemas.openxmlformats.org/officeDocument/2006/relationships/chart" Target="../charts/chart94.xml"/><Relationship Id="rId2" Type="http://schemas.openxmlformats.org/officeDocument/2006/relationships/image" Target="../media/image22.png"/><Relationship Id="rId1" Type="http://schemas.openxmlformats.org/officeDocument/2006/relationships/hyperlink" Target="#INDICE!A1"/><Relationship Id="rId5" Type="http://schemas.openxmlformats.org/officeDocument/2006/relationships/image" Target="../media/image4.png"/><Relationship Id="rId4" Type="http://schemas.openxmlformats.org/officeDocument/2006/relationships/hyperlink" Target="#Contenido!A131"/></Relationships>
</file>

<file path=xl/drawings/_rels/drawing18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2"/><Relationship Id="rId1" Type="http://schemas.openxmlformats.org/officeDocument/2006/relationships/chart" Target="../charts/chart95.xml"/></Relationships>
</file>

<file path=xl/drawings/_rels/drawing18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3"/><Relationship Id="rId1" Type="http://schemas.openxmlformats.org/officeDocument/2006/relationships/chart" Target="../charts/chart96.xml"/></Relationships>
</file>

<file path=xl/drawings/_rels/drawing18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4"/><Relationship Id="rId1" Type="http://schemas.openxmlformats.org/officeDocument/2006/relationships/chart" Target="../charts/chart97.xml"/></Relationships>
</file>

<file path=xl/drawings/_rels/drawing19.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90.xml.rels><?xml version="1.0" encoding="UTF-8" standalone="yes"?>
<Relationships xmlns="http://schemas.openxmlformats.org/package/2006/relationships"><Relationship Id="rId3" Type="http://schemas.openxmlformats.org/officeDocument/2006/relationships/hyperlink" Target="#Contenido!A134"/><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19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48"/><Relationship Id="rId1" Type="http://schemas.openxmlformats.org/officeDocument/2006/relationships/chart" Target="../charts/chart98.xml"/></Relationships>
</file>

<file path=xl/drawings/_rels/drawing19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48"/><Relationship Id="rId1" Type="http://schemas.openxmlformats.org/officeDocument/2006/relationships/chart" Target="../charts/chart99.xml"/></Relationships>
</file>

<file path=xl/drawings/_rels/drawing194.xml.rels><?xml version="1.0" encoding="UTF-8" standalone="yes"?>
<Relationships xmlns="http://schemas.openxmlformats.org/package/2006/relationships"><Relationship Id="rId3" Type="http://schemas.openxmlformats.org/officeDocument/2006/relationships/hyperlink" Target="#Contenido!A134"/><Relationship Id="rId2" Type="http://schemas.openxmlformats.org/officeDocument/2006/relationships/image" Target="../media/image24.png"/><Relationship Id="rId1" Type="http://schemas.openxmlformats.org/officeDocument/2006/relationships/chart" Target="../charts/chart100.xml"/><Relationship Id="rId4" Type="http://schemas.openxmlformats.org/officeDocument/2006/relationships/image" Target="../media/image4.png"/></Relationships>
</file>

<file path=xl/drawings/_rels/drawing196.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97.xml.rels><?xml version="1.0" encoding="UTF-8" standalone="yes"?>
<Relationships xmlns="http://schemas.openxmlformats.org/package/2006/relationships"><Relationship Id="rId3" Type="http://schemas.openxmlformats.org/officeDocument/2006/relationships/hyperlink" Target="#Contenido!A134"/><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198.xml.rels><?xml version="1.0" encoding="UTF-8" standalone="yes"?>
<Relationships xmlns="http://schemas.openxmlformats.org/package/2006/relationships"><Relationship Id="rId3" Type="http://schemas.openxmlformats.org/officeDocument/2006/relationships/chart" Target="../charts/chart101.xml"/><Relationship Id="rId2" Type="http://schemas.openxmlformats.org/officeDocument/2006/relationships/image" Target="../media/image4.png"/><Relationship Id="rId1" Type="http://schemas.openxmlformats.org/officeDocument/2006/relationships/hyperlink" Target="#Contenido!A148"/></Relationships>
</file>

<file path=xl/drawings/_rels/drawing199.xml.rels><?xml version="1.0" encoding="UTF-8" standalone="yes"?>
<Relationships xmlns="http://schemas.openxmlformats.org/package/2006/relationships"><Relationship Id="rId3" Type="http://schemas.openxmlformats.org/officeDocument/2006/relationships/chart" Target="../charts/chart102.xml"/><Relationship Id="rId2" Type="http://schemas.openxmlformats.org/officeDocument/2006/relationships/image" Target="../media/image4.png"/><Relationship Id="rId1" Type="http://schemas.openxmlformats.org/officeDocument/2006/relationships/hyperlink" Target="#Contenido!A148"/></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20.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20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48"/><Relationship Id="rId1" Type="http://schemas.openxmlformats.org/officeDocument/2006/relationships/chart" Target="../charts/chart103.xml"/></Relationships>
</file>

<file path=xl/drawings/_rels/drawing20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48"/><Relationship Id="rId1" Type="http://schemas.openxmlformats.org/officeDocument/2006/relationships/chart" Target="../charts/chart104.xml"/></Relationships>
</file>

<file path=xl/drawings/_rels/drawing20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48"/><Relationship Id="rId1" Type="http://schemas.openxmlformats.org/officeDocument/2006/relationships/chart" Target="../charts/chart105.xml"/></Relationships>
</file>

<file path=xl/drawings/_rels/drawing20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48"/><Relationship Id="rId1" Type="http://schemas.openxmlformats.org/officeDocument/2006/relationships/chart" Target="../charts/chart106.xml"/></Relationships>
</file>

<file path=xl/drawings/_rels/drawing208.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209.xml.rels><?xml version="1.0" encoding="UTF-8" standalone="yes"?>
<Relationships xmlns="http://schemas.openxmlformats.org/package/2006/relationships"><Relationship Id="rId3" Type="http://schemas.openxmlformats.org/officeDocument/2006/relationships/hyperlink" Target="#Contenido!A134"/><Relationship Id="rId2" Type="http://schemas.openxmlformats.org/officeDocument/2006/relationships/image" Target="../media/image25.png"/><Relationship Id="rId1" Type="http://schemas.openxmlformats.org/officeDocument/2006/relationships/chart" Target="../charts/chart107.xml"/><Relationship Id="rId4" Type="http://schemas.openxmlformats.org/officeDocument/2006/relationships/image" Target="../media/image4.png"/></Relationships>
</file>

<file path=xl/drawings/_rels/drawing2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5.xml"/></Relationships>
</file>

<file path=xl/drawings/_rels/drawing21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7"/><Relationship Id="rId1" Type="http://schemas.openxmlformats.org/officeDocument/2006/relationships/chart" Target="../charts/chart108.xml"/></Relationships>
</file>

<file path=xl/drawings/_rels/drawing213.xml.rels><?xml version="1.0" encoding="UTF-8" standalone="yes"?>
<Relationships xmlns="http://schemas.openxmlformats.org/package/2006/relationships"><Relationship Id="rId3" Type="http://schemas.openxmlformats.org/officeDocument/2006/relationships/chart" Target="../charts/chart111.xml"/><Relationship Id="rId2" Type="http://schemas.openxmlformats.org/officeDocument/2006/relationships/chart" Target="../charts/chart110.xml"/><Relationship Id="rId1" Type="http://schemas.openxmlformats.org/officeDocument/2006/relationships/chart" Target="../charts/chart109.xml"/><Relationship Id="rId5" Type="http://schemas.openxmlformats.org/officeDocument/2006/relationships/image" Target="../media/image4.png"/><Relationship Id="rId4" Type="http://schemas.openxmlformats.org/officeDocument/2006/relationships/hyperlink" Target="#HOME!A1"/></Relationships>
</file>

<file path=xl/drawings/_rels/drawing21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HOME!A1"/></Relationships>
</file>

<file path=xl/drawings/_rels/drawing21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HOME!A1"/></Relationships>
</file>

<file path=xl/drawings/_rels/drawing217.xml.rels><?xml version="1.0" encoding="UTF-8" standalone="yes"?>
<Relationships xmlns="http://schemas.openxmlformats.org/package/2006/relationships"><Relationship Id="rId3" Type="http://schemas.openxmlformats.org/officeDocument/2006/relationships/chart" Target="../charts/chart114.xml"/><Relationship Id="rId2" Type="http://schemas.openxmlformats.org/officeDocument/2006/relationships/chart" Target="../charts/chart113.xml"/><Relationship Id="rId1" Type="http://schemas.openxmlformats.org/officeDocument/2006/relationships/chart" Target="../charts/chart112.xml"/><Relationship Id="rId5" Type="http://schemas.openxmlformats.org/officeDocument/2006/relationships/image" Target="../media/image4.png"/><Relationship Id="rId4" Type="http://schemas.openxmlformats.org/officeDocument/2006/relationships/hyperlink" Target="#HOME!A1"/></Relationships>
</file>

<file path=xl/drawings/_rels/drawing219.xml.rels><?xml version="1.0" encoding="UTF-8" standalone="yes"?>
<Relationships xmlns="http://schemas.openxmlformats.org/package/2006/relationships"><Relationship Id="rId1" Type="http://schemas.openxmlformats.org/officeDocument/2006/relationships/image" Target="../media/image4.png"/></Relationships>
</file>

<file path=xl/drawings/_rels/drawing220.xml.rels><?xml version="1.0" encoding="UTF-8" standalone="yes"?>
<Relationships xmlns="http://schemas.openxmlformats.org/package/2006/relationships"><Relationship Id="rId1" Type="http://schemas.openxmlformats.org/officeDocument/2006/relationships/image" Target="../media/image4.png"/></Relationships>
</file>

<file path=xl/drawings/_rels/drawing2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6.xml"/></Relationships>
</file>

<file path=xl/drawings/_rels/drawing2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7.xml"/></Relationships>
</file>

<file path=xl/drawings/_rels/drawing25.xml.rels><?xml version="1.0" encoding="UTF-8" standalone="yes"?>
<Relationships xmlns="http://schemas.openxmlformats.org/package/2006/relationships"><Relationship Id="rId3" Type="http://schemas.openxmlformats.org/officeDocument/2006/relationships/hyperlink" Target="#Contenido!A1"/><Relationship Id="rId2" Type="http://schemas.openxmlformats.org/officeDocument/2006/relationships/chart" Target="../charts/chart8.xml"/><Relationship Id="rId1" Type="http://schemas.openxmlformats.org/officeDocument/2006/relationships/image" Target="../media/image4.png"/></Relationships>
</file>

<file path=xl/drawings/_rels/drawing27.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1"/></Relationships>
</file>

<file path=xl/drawings/_rels/drawing29.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3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3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24"/><Relationship Id="rId1" Type="http://schemas.openxmlformats.org/officeDocument/2006/relationships/chart" Target="../charts/chart10.xml"/></Relationships>
</file>

<file path=xl/drawings/_rels/drawing3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24"/><Relationship Id="rId1" Type="http://schemas.openxmlformats.org/officeDocument/2006/relationships/chart" Target="../charts/chart11.xml"/></Relationships>
</file>

<file path=xl/drawings/_rels/drawing34.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hyperlink" Target="#Contenido!A1"/><Relationship Id="rId1" Type="http://schemas.openxmlformats.org/officeDocument/2006/relationships/chart" Target="../charts/chart12.xml"/></Relationships>
</file>

<file path=xl/drawings/_rels/drawing3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26"/><Relationship Id="rId1" Type="http://schemas.openxmlformats.org/officeDocument/2006/relationships/chart" Target="../charts/chart13.xml"/></Relationships>
</file>

<file path=xl/drawings/_rels/drawing36.xml.rels><?xml version="1.0" encoding="UTF-8" standalone="yes"?>
<Relationships xmlns="http://schemas.openxmlformats.org/package/2006/relationships"><Relationship Id="rId3" Type="http://schemas.openxmlformats.org/officeDocument/2006/relationships/chart" Target="../charts/chart14.xml"/><Relationship Id="rId2" Type="http://schemas.openxmlformats.org/officeDocument/2006/relationships/image" Target="../media/image4.png"/><Relationship Id="rId1" Type="http://schemas.openxmlformats.org/officeDocument/2006/relationships/hyperlink" Target="#Contenido!A26"/></Relationships>
</file>

<file path=xl/drawings/_rels/drawing37.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3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3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15.xml"/></Relationships>
</file>

<file path=xl/drawings/_rels/drawing4.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 Id="rId5" Type="http://schemas.openxmlformats.org/officeDocument/2006/relationships/hyperlink" Target="#Contenido!A1"/><Relationship Id="rId4" Type="http://schemas.openxmlformats.org/officeDocument/2006/relationships/image" Target="../media/image5.png"/></Relationships>
</file>

<file path=xl/drawings/_rels/drawing4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1"/><Relationship Id="rId1" Type="http://schemas.openxmlformats.org/officeDocument/2006/relationships/chart" Target="../charts/chart16.xml"/></Relationships>
</file>

<file path=xl/drawings/_rels/drawing4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0"/><Relationship Id="rId1" Type="http://schemas.openxmlformats.org/officeDocument/2006/relationships/chart" Target="../charts/chart17.xml"/></Relationships>
</file>

<file path=xl/drawings/_rels/drawing4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1"/><Relationship Id="rId1" Type="http://schemas.openxmlformats.org/officeDocument/2006/relationships/chart" Target="../charts/chart18.xml"/></Relationships>
</file>

<file path=xl/drawings/_rels/drawing45.xml.rels><?xml version="1.0" encoding="UTF-8" standalone="yes"?>
<Relationships xmlns="http://schemas.openxmlformats.org/package/2006/relationships"><Relationship Id="rId3" Type="http://schemas.openxmlformats.org/officeDocument/2006/relationships/chart" Target="../charts/chart19.xml"/><Relationship Id="rId2" Type="http://schemas.openxmlformats.org/officeDocument/2006/relationships/image" Target="../media/image4.png"/><Relationship Id="rId1" Type="http://schemas.openxmlformats.org/officeDocument/2006/relationships/hyperlink" Target="#Contenido!A26"/></Relationships>
</file>

<file path=xl/drawings/_rels/drawing4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2"/><Relationship Id="rId1" Type="http://schemas.openxmlformats.org/officeDocument/2006/relationships/chart" Target="../charts/chart20.xml"/></Relationships>
</file>

<file path=xl/drawings/_rels/drawing47.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4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4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60"/><Relationship Id="rId1" Type="http://schemas.openxmlformats.org/officeDocument/2006/relationships/chart" Target="../charts/chart21.xml"/></Relationships>
</file>

<file path=xl/drawings/_rels/drawing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image" Target="../media/image6.png"/></Relationships>
</file>

<file path=xl/drawings/_rels/drawing5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61"/><Relationship Id="rId1" Type="http://schemas.openxmlformats.org/officeDocument/2006/relationships/chart" Target="../charts/chart22.xml"/></Relationships>
</file>

<file path=xl/drawings/_rels/drawing5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61"/><Relationship Id="rId1" Type="http://schemas.openxmlformats.org/officeDocument/2006/relationships/chart" Target="../charts/chart23.xml"/></Relationships>
</file>

<file path=xl/drawings/_rels/drawing54.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5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5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57.xml.rels><?xml version="1.0" encoding="UTF-8" standalone="yes"?>
<Relationships xmlns="http://schemas.openxmlformats.org/package/2006/relationships"><Relationship Id="rId3" Type="http://schemas.openxmlformats.org/officeDocument/2006/relationships/chart" Target="../charts/chart24.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74"/></Relationships>
</file>

<file path=xl/drawings/_rels/drawing58.xml.rels><?xml version="1.0" encoding="UTF-8" standalone="yes"?>
<Relationships xmlns="http://schemas.openxmlformats.org/package/2006/relationships"><Relationship Id="rId3" Type="http://schemas.openxmlformats.org/officeDocument/2006/relationships/hyperlink" Target="#Contenido!A1"/><Relationship Id="rId2" Type="http://schemas.openxmlformats.org/officeDocument/2006/relationships/chart" Target="../charts/chart25.xml"/><Relationship Id="rId1" Type="http://schemas.openxmlformats.org/officeDocument/2006/relationships/image" Target="../media/image8.gif"/><Relationship Id="rId4" Type="http://schemas.openxmlformats.org/officeDocument/2006/relationships/image" Target="../media/image9.png"/></Relationships>
</file>

<file path=xl/drawings/_rels/drawing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image" Target="../media/image6.png"/></Relationships>
</file>

<file path=xl/drawings/_rels/drawing6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5"/><Relationship Id="rId1" Type="http://schemas.openxmlformats.org/officeDocument/2006/relationships/chart" Target="../charts/chart26.xml"/></Relationships>
</file>

<file path=xl/drawings/_rels/drawing6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8"/><Relationship Id="rId1" Type="http://schemas.openxmlformats.org/officeDocument/2006/relationships/chart" Target="../charts/chart27.xml"/></Relationships>
</file>

<file path=xl/drawings/_rels/drawing6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9"/><Relationship Id="rId1" Type="http://schemas.openxmlformats.org/officeDocument/2006/relationships/chart" Target="../charts/chart28.xml"/></Relationships>
</file>

<file path=xl/drawings/_rels/drawing6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80"/><Relationship Id="rId1" Type="http://schemas.openxmlformats.org/officeDocument/2006/relationships/chart" Target="../charts/chart29.xml"/></Relationships>
</file>

<file path=xl/drawings/_rels/drawing68.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hyperlink" Target="#Contenido!A1"/><Relationship Id="rId1" Type="http://schemas.openxmlformats.org/officeDocument/2006/relationships/chart" Target="../charts/chart30.xml"/></Relationships>
</file>

<file path=xl/drawings/_rels/drawing6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8"/><Relationship Id="rId1" Type="http://schemas.openxmlformats.org/officeDocument/2006/relationships/chart" Target="../charts/chart31.xml"/></Relationships>
</file>

<file path=xl/drawings/_rels/drawing7.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7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HOME!A1"/><Relationship Id="rId1" Type="http://schemas.openxmlformats.org/officeDocument/2006/relationships/chart" Target="../charts/chart32.xml"/><Relationship Id="rId5" Type="http://schemas.openxmlformats.org/officeDocument/2006/relationships/image" Target="../media/image9.png"/><Relationship Id="rId4" Type="http://schemas.openxmlformats.org/officeDocument/2006/relationships/hyperlink" Target="#Contenido!A1"/></Relationships>
</file>

<file path=xl/drawings/_rels/drawing73.xml.rels><?xml version="1.0" encoding="UTF-8" standalone="yes"?>
<Relationships xmlns="http://schemas.openxmlformats.org/package/2006/relationships"><Relationship Id="rId3" Type="http://schemas.openxmlformats.org/officeDocument/2006/relationships/hyperlink" Target="#Contenido!A87"/><Relationship Id="rId2" Type="http://schemas.openxmlformats.org/officeDocument/2006/relationships/chart" Target="../charts/chart34.xml"/><Relationship Id="rId1" Type="http://schemas.openxmlformats.org/officeDocument/2006/relationships/chart" Target="../charts/chart33.xml"/><Relationship Id="rId4" Type="http://schemas.openxmlformats.org/officeDocument/2006/relationships/image" Target="../media/image4.png"/></Relationships>
</file>

<file path=xl/drawings/_rels/drawing74.xml.rels><?xml version="1.0" encoding="UTF-8" standalone="yes"?>
<Relationships xmlns="http://schemas.openxmlformats.org/package/2006/relationships"><Relationship Id="rId3" Type="http://schemas.openxmlformats.org/officeDocument/2006/relationships/hyperlink" Target="#Contenido!A88"/><Relationship Id="rId2" Type="http://schemas.openxmlformats.org/officeDocument/2006/relationships/chart" Target="../charts/chart36.xml"/><Relationship Id="rId1" Type="http://schemas.openxmlformats.org/officeDocument/2006/relationships/chart" Target="../charts/chart35.xml"/><Relationship Id="rId4" Type="http://schemas.openxmlformats.org/officeDocument/2006/relationships/image" Target="../media/image10.png"/></Relationships>
</file>

<file path=xl/drawings/_rels/drawing76.xml.rels><?xml version="1.0" encoding="UTF-8" standalone="yes"?>
<Relationships xmlns="http://schemas.openxmlformats.org/package/2006/relationships"><Relationship Id="rId3" Type="http://schemas.openxmlformats.org/officeDocument/2006/relationships/hyperlink" Target="#Contenido!A89"/><Relationship Id="rId2" Type="http://schemas.openxmlformats.org/officeDocument/2006/relationships/chart" Target="../charts/chart38.xml"/><Relationship Id="rId1" Type="http://schemas.openxmlformats.org/officeDocument/2006/relationships/chart" Target="../charts/chart37.xml"/><Relationship Id="rId4" Type="http://schemas.openxmlformats.org/officeDocument/2006/relationships/image" Target="../media/image4.png"/></Relationships>
</file>

<file path=xl/drawings/_rels/drawing7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6"/><Relationship Id="rId1" Type="http://schemas.openxmlformats.org/officeDocument/2006/relationships/image" Target="../media/image8.gif"/></Relationships>
</file>

<file path=xl/drawings/_rels/drawing79.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80.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81.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8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98"/><Relationship Id="rId1" Type="http://schemas.openxmlformats.org/officeDocument/2006/relationships/chart" Target="../charts/chart39.xml"/></Relationships>
</file>

<file path=xl/drawings/_rels/drawing84.xml.rels><?xml version="1.0" encoding="UTF-8" standalone="yes"?>
<Relationships xmlns="http://schemas.openxmlformats.org/package/2006/relationships"><Relationship Id="rId3" Type="http://schemas.openxmlformats.org/officeDocument/2006/relationships/chart" Target="../charts/chart40.xml"/><Relationship Id="rId2" Type="http://schemas.openxmlformats.org/officeDocument/2006/relationships/image" Target="../media/image4.png"/><Relationship Id="rId1" Type="http://schemas.openxmlformats.org/officeDocument/2006/relationships/hyperlink" Target="#HOME!A1"/><Relationship Id="rId6" Type="http://schemas.openxmlformats.org/officeDocument/2006/relationships/hyperlink" Target="#Contenido!A99"/><Relationship Id="rId5" Type="http://schemas.microsoft.com/office/2007/relationships/hdphoto" Target="../media/hdphoto2.wdp"/><Relationship Id="rId4" Type="http://schemas.openxmlformats.org/officeDocument/2006/relationships/image" Target="../media/image11.png"/></Relationships>
</file>

<file path=xl/drawings/_rels/drawing8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0"/><Relationship Id="rId1" Type="http://schemas.openxmlformats.org/officeDocument/2006/relationships/chart" Target="../charts/chart41.xml"/></Relationships>
</file>

<file path=xl/drawings/_rels/drawing87.xml.rels><?xml version="1.0" encoding="UTF-8" standalone="yes"?>
<Relationships xmlns="http://schemas.openxmlformats.org/package/2006/relationships"><Relationship Id="rId1" Type="http://schemas.openxmlformats.org/officeDocument/2006/relationships/image" Target="../media/image12.png"/></Relationships>
</file>

<file path=xl/drawings/_rels/drawing8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7"/><Relationship Id="rId1" Type="http://schemas.openxmlformats.org/officeDocument/2006/relationships/chart" Target="../charts/chart42.xml"/></Relationships>
</file>

<file path=xl/drawings/_rels/drawing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90.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91.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92.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93.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9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43.xml"/></Relationships>
</file>

<file path=xl/drawings/_rels/drawing9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44.xml"/></Relationships>
</file>

<file path=xl/drawings/_rels/drawing9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45.xml"/></Relationships>
</file>

<file path=xl/drawings/_rels/drawing9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46.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1809748</xdr:colOff>
      <xdr:row>101</xdr:row>
      <xdr:rowOff>166687</xdr:rowOff>
    </xdr:to>
    <xdr:pic>
      <xdr:nvPicPr>
        <xdr:cNvPr id="2" name="1 Imagen"/>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404"/>
        <a:stretch/>
      </xdr:blipFill>
      <xdr:spPr>
        <a:xfrm>
          <a:off x="0" y="0"/>
          <a:ext cx="16549686" cy="19740562"/>
        </a:xfrm>
        <a:prstGeom prst="rect">
          <a:avLst/>
        </a:prstGeom>
      </xdr:spPr>
    </xdr:pic>
    <xdr:clientData/>
  </xdr:twoCellAnchor>
  <xdr:twoCellAnchor editAs="oneCell">
    <xdr:from>
      <xdr:col>5</xdr:col>
      <xdr:colOff>1181100</xdr:colOff>
      <xdr:row>25</xdr:row>
      <xdr:rowOff>1</xdr:rowOff>
    </xdr:from>
    <xdr:to>
      <xdr:col>12</xdr:col>
      <xdr:colOff>214312</xdr:colOff>
      <xdr:row>74</xdr:row>
      <xdr:rowOff>71437</xdr:rowOff>
    </xdr:to>
    <xdr:pic>
      <xdr:nvPicPr>
        <xdr:cNvPr id="3" name="2 Imagen"/>
        <xdr:cNvPicPr/>
      </xdr:nvPicPr>
      <xdr:blipFill>
        <a:blip xmlns:r="http://schemas.openxmlformats.org/officeDocument/2006/relationships" r:embed="rId2">
          <a:lum bright="70000" contrast="-70000"/>
          <a:extLst>
            <a:ext uri="{BEBA8EAE-BF5A-486C-A8C5-ECC9F3942E4B}">
              <a14:imgProps xmlns:a14="http://schemas.microsoft.com/office/drawing/2010/main">
                <a14:imgLayer r:embed="rId3">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6324600" y="5095876"/>
          <a:ext cx="8629650" cy="9405936"/>
        </a:xfrm>
        <a:prstGeom prst="rect">
          <a:avLst/>
        </a:prstGeom>
        <a:noFill/>
        <a:ln>
          <a:noFill/>
        </a:ln>
      </xdr:spPr>
    </xdr:pic>
    <xdr:clientData/>
  </xdr:twoCellAnchor>
  <xdr:twoCellAnchor>
    <xdr:from>
      <xdr:col>6</xdr:col>
      <xdr:colOff>690562</xdr:colOff>
      <xdr:row>53</xdr:row>
      <xdr:rowOff>71437</xdr:rowOff>
    </xdr:from>
    <xdr:to>
      <xdr:col>12</xdr:col>
      <xdr:colOff>1500187</xdr:colOff>
      <xdr:row>69</xdr:row>
      <xdr:rowOff>61910</xdr:rowOff>
    </xdr:to>
    <xdr:sp macro="" textlink="">
      <xdr:nvSpPr>
        <xdr:cNvPr id="4" name="3 Rectángulo"/>
        <xdr:cNvSpPr/>
      </xdr:nvSpPr>
      <xdr:spPr>
        <a:xfrm>
          <a:off x="7310437" y="10501312"/>
          <a:ext cx="8929688" cy="303847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r>
            <a:rPr lang="es-DO" sz="8800" b="1" i="0">
              <a:solidFill>
                <a:schemeClr val="accent3">
                  <a:lumMod val="50000"/>
                </a:schemeClr>
              </a:solidFill>
              <a:latin typeface="Baskerville Old Face" pitchFamily="18" charset="0"/>
            </a:rPr>
            <a:t>B</a:t>
          </a:r>
          <a:r>
            <a:rPr lang="es-DO" sz="7200" b="1" i="0">
              <a:solidFill>
                <a:schemeClr val="accent5">
                  <a:lumMod val="50000"/>
                </a:schemeClr>
              </a:solidFill>
              <a:latin typeface="Baskerville Old Face" pitchFamily="18" charset="0"/>
            </a:rPr>
            <a:t>oletín</a:t>
          </a:r>
          <a:r>
            <a:rPr lang="es-DO" sz="7200" b="1" i="0" baseline="0">
              <a:solidFill>
                <a:schemeClr val="accent5">
                  <a:lumMod val="50000"/>
                </a:schemeClr>
              </a:solidFill>
              <a:latin typeface="Baskerville Old Face" pitchFamily="18" charset="0"/>
            </a:rPr>
            <a:t> </a:t>
          </a:r>
          <a:r>
            <a:rPr lang="es-DO" sz="8800" b="1" i="0" baseline="0">
              <a:solidFill>
                <a:schemeClr val="accent3">
                  <a:lumMod val="50000"/>
                </a:schemeClr>
              </a:solidFill>
              <a:latin typeface="Baskerville Old Face" pitchFamily="18" charset="0"/>
              <a:ea typeface="+mn-ea"/>
              <a:cs typeface="+mn-cs"/>
            </a:rPr>
            <a:t>E</a:t>
          </a:r>
          <a:r>
            <a:rPr lang="es-DO" sz="7200" b="1" i="0">
              <a:solidFill>
                <a:schemeClr val="accent5">
                  <a:lumMod val="50000"/>
                </a:schemeClr>
              </a:solidFill>
              <a:latin typeface="Baskerville Old Face" pitchFamily="18" charset="0"/>
            </a:rPr>
            <a:t>stadístico</a:t>
          </a:r>
        </a:p>
        <a:p>
          <a:pPr lvl="1" algn="r"/>
          <a:r>
            <a:rPr lang="es-DO" sz="7200" b="1" i="0" baseline="0">
              <a:solidFill>
                <a:schemeClr val="accent3">
                  <a:lumMod val="50000"/>
                </a:schemeClr>
              </a:solidFill>
              <a:latin typeface="Baskerville Old Face" pitchFamily="18" charset="0"/>
              <a:ea typeface="+mn-ea"/>
              <a:cs typeface="+mn-cs"/>
            </a:rPr>
            <a:t>N</a:t>
          </a:r>
          <a:r>
            <a:rPr lang="es-DO" sz="6600" b="1" i="0" baseline="0">
              <a:solidFill>
                <a:schemeClr val="accent5">
                  <a:lumMod val="50000"/>
                </a:schemeClr>
              </a:solidFill>
              <a:latin typeface="Baskerville Old Face" pitchFamily="18" charset="0"/>
              <a:ea typeface="+mn-ea"/>
              <a:cs typeface="+mn-cs"/>
            </a:rPr>
            <a:t>oviem</a:t>
          </a:r>
          <a:r>
            <a:rPr lang="es-DO" sz="6600" b="1" i="0">
              <a:solidFill>
                <a:schemeClr val="accent5">
                  <a:lumMod val="50000"/>
                </a:schemeClr>
              </a:solidFill>
              <a:latin typeface="Baskerville Old Face" pitchFamily="18" charset="0"/>
              <a:ea typeface="+mn-ea"/>
              <a:cs typeface="+mn-cs"/>
            </a:rPr>
            <a:t>bre</a:t>
          </a:r>
          <a:r>
            <a:rPr lang="es-DO" sz="6000" b="1" i="0">
              <a:solidFill>
                <a:schemeClr val="accent3">
                  <a:lumMod val="50000"/>
                </a:schemeClr>
              </a:solidFill>
              <a:latin typeface="Baskerville Old Face" pitchFamily="18" charset="0"/>
            </a:rPr>
            <a:t> </a:t>
          </a:r>
          <a:r>
            <a:rPr lang="es-DO" sz="4800" b="1" i="0">
              <a:solidFill>
                <a:schemeClr val="accent3">
                  <a:lumMod val="50000"/>
                </a:schemeClr>
              </a:solidFill>
              <a:latin typeface="Baskerville Old Face" pitchFamily="18" charset="0"/>
              <a:ea typeface="+mn-ea"/>
              <a:cs typeface="+mn-cs"/>
            </a:rPr>
            <a:t>2</a:t>
          </a:r>
          <a:r>
            <a:rPr lang="es-DO" sz="4800" b="1" i="0">
              <a:solidFill>
                <a:schemeClr val="accent5">
                  <a:lumMod val="50000"/>
                </a:schemeClr>
              </a:solidFill>
              <a:latin typeface="Baskerville Old Face" pitchFamily="18" charset="0"/>
              <a:ea typeface="+mn-ea"/>
              <a:cs typeface="+mn-cs"/>
            </a:rPr>
            <a:t>015</a:t>
          </a:r>
          <a:endParaRPr lang="es-DO" sz="2000" b="1" i="0">
            <a:solidFill>
              <a:schemeClr val="accent3">
                <a:lumMod val="50000"/>
              </a:schemeClr>
            </a:solidFill>
            <a:effectLst/>
            <a:latin typeface="Baskerville Old Face" panose="02020602080505020303" pitchFamily="18" charset="0"/>
            <a:ea typeface="+mn-ea"/>
            <a:cs typeface="+mn-cs"/>
          </a:endParaRPr>
        </a:p>
        <a:p>
          <a:pPr algn="r"/>
          <a:endParaRPr lang="es-DO" sz="1800" b="1" i="0">
            <a:solidFill>
              <a:sysClr val="windowText" lastClr="000000"/>
            </a:solidFill>
            <a:effectLst/>
            <a:latin typeface="+mn-lt"/>
            <a:ea typeface="+mn-ea"/>
            <a:cs typeface="+mn-cs"/>
          </a:endParaRPr>
        </a:p>
      </xdr:txBody>
    </xdr:sp>
    <xdr:clientData/>
  </xdr:twoCellAnchor>
  <xdr:twoCellAnchor>
    <xdr:from>
      <xdr:col>6</xdr:col>
      <xdr:colOff>71437</xdr:colOff>
      <xdr:row>24</xdr:row>
      <xdr:rowOff>95249</xdr:rowOff>
    </xdr:from>
    <xdr:to>
      <xdr:col>12</xdr:col>
      <xdr:colOff>1428750</xdr:colOff>
      <xdr:row>46</xdr:row>
      <xdr:rowOff>147635</xdr:rowOff>
    </xdr:to>
    <xdr:sp macro="" textlink="">
      <xdr:nvSpPr>
        <xdr:cNvPr id="5" name="3 Rectángulo"/>
        <xdr:cNvSpPr/>
      </xdr:nvSpPr>
      <xdr:spPr>
        <a:xfrm>
          <a:off x="6691312" y="5000624"/>
          <a:ext cx="9477376" cy="424338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r>
            <a:rPr lang="es-DO" sz="7200" b="1" i="0">
              <a:solidFill>
                <a:schemeClr val="accent3">
                  <a:lumMod val="50000"/>
                </a:schemeClr>
              </a:solidFill>
              <a:latin typeface="Baskerville Old Face" pitchFamily="18" charset="0"/>
              <a:ea typeface="+mn-ea"/>
              <a:cs typeface="+mn-cs"/>
            </a:rPr>
            <a:t>S</a:t>
          </a:r>
          <a:r>
            <a:rPr lang="es-DO" sz="7200" b="1" i="0">
              <a:solidFill>
                <a:schemeClr val="accent5">
                  <a:lumMod val="50000"/>
                </a:schemeClr>
              </a:solidFill>
              <a:latin typeface="Baskerville Old Face" pitchFamily="18" charset="0"/>
              <a:ea typeface="+mn-ea"/>
              <a:cs typeface="+mn-cs"/>
            </a:rPr>
            <a:t>istema</a:t>
          </a:r>
          <a:r>
            <a:rPr lang="es-DO" sz="7200" b="1" i="0">
              <a:solidFill>
                <a:schemeClr val="accent3">
                  <a:lumMod val="50000"/>
                </a:schemeClr>
              </a:solidFill>
              <a:latin typeface="Baskerville Old Face" pitchFamily="18" charset="0"/>
              <a:ea typeface="+mn-ea"/>
              <a:cs typeface="+mn-cs"/>
            </a:rPr>
            <a:t> D</a:t>
          </a:r>
          <a:r>
            <a:rPr lang="es-DO" sz="7200" b="1" i="0">
              <a:solidFill>
                <a:schemeClr val="accent5">
                  <a:lumMod val="50000"/>
                </a:schemeClr>
              </a:solidFill>
              <a:latin typeface="Baskerville Old Face" pitchFamily="18" charset="0"/>
              <a:ea typeface="+mn-ea"/>
              <a:cs typeface="+mn-cs"/>
            </a:rPr>
            <a:t>ominicano</a:t>
          </a:r>
          <a:r>
            <a:rPr lang="es-DO" sz="7200" b="1" i="0">
              <a:solidFill>
                <a:schemeClr val="accent3">
                  <a:lumMod val="50000"/>
                </a:schemeClr>
              </a:solidFill>
              <a:latin typeface="Baskerville Old Face" pitchFamily="18" charset="0"/>
              <a:ea typeface="+mn-ea"/>
              <a:cs typeface="+mn-cs"/>
            </a:rPr>
            <a:t> d</a:t>
          </a:r>
          <a:r>
            <a:rPr lang="es-DO" sz="7200" b="1" i="0">
              <a:solidFill>
                <a:schemeClr val="accent5">
                  <a:lumMod val="50000"/>
                </a:schemeClr>
              </a:solidFill>
              <a:latin typeface="Baskerville Old Face" pitchFamily="18" charset="0"/>
              <a:ea typeface="+mn-ea"/>
              <a:cs typeface="+mn-cs"/>
            </a:rPr>
            <a:t>e</a:t>
          </a:r>
          <a:r>
            <a:rPr lang="es-DO" sz="7200" b="1" i="0">
              <a:solidFill>
                <a:schemeClr val="accent3">
                  <a:lumMod val="50000"/>
                </a:schemeClr>
              </a:solidFill>
              <a:latin typeface="Baskerville Old Face" pitchFamily="18" charset="0"/>
              <a:ea typeface="+mn-ea"/>
              <a:cs typeface="+mn-cs"/>
            </a:rPr>
            <a:t> S</a:t>
          </a:r>
          <a:r>
            <a:rPr lang="es-DO" sz="7200" b="1" i="0">
              <a:solidFill>
                <a:schemeClr val="accent5">
                  <a:lumMod val="50000"/>
                </a:schemeClr>
              </a:solidFill>
              <a:latin typeface="Baskerville Old Face" pitchFamily="18" charset="0"/>
              <a:ea typeface="+mn-ea"/>
              <a:cs typeface="+mn-cs"/>
            </a:rPr>
            <a:t>eguridad</a:t>
          </a:r>
          <a:r>
            <a:rPr lang="es-DO" sz="7200" b="1" i="0">
              <a:solidFill>
                <a:schemeClr val="accent3">
                  <a:lumMod val="50000"/>
                </a:schemeClr>
              </a:solidFill>
              <a:latin typeface="Baskerville Old Face" pitchFamily="18" charset="0"/>
              <a:ea typeface="+mn-ea"/>
              <a:cs typeface="+mn-cs"/>
            </a:rPr>
            <a:t> S</a:t>
          </a:r>
          <a:r>
            <a:rPr lang="es-DO" sz="7200" b="1" i="0">
              <a:solidFill>
                <a:schemeClr val="accent5">
                  <a:lumMod val="50000"/>
                </a:schemeClr>
              </a:solidFill>
              <a:latin typeface="Baskerville Old Face" pitchFamily="18" charset="0"/>
              <a:ea typeface="+mn-ea"/>
              <a:cs typeface="+mn-cs"/>
            </a:rPr>
            <a:t>ocial </a:t>
          </a:r>
        </a:p>
        <a:p>
          <a:pPr algn="r"/>
          <a:r>
            <a:rPr lang="es-DO" sz="6000" b="1" i="0" baseline="0">
              <a:solidFill>
                <a:sysClr val="windowText" lastClr="000000"/>
              </a:solidFill>
              <a:latin typeface="Baskerville Old Face" pitchFamily="18" charset="0"/>
            </a:rPr>
            <a:t>(</a:t>
          </a:r>
          <a:r>
            <a:rPr lang="es-DO" sz="5400" b="1" i="0">
              <a:solidFill>
                <a:schemeClr val="accent5">
                  <a:lumMod val="50000"/>
                </a:schemeClr>
              </a:solidFill>
              <a:latin typeface="Baskerville Old Face" pitchFamily="18" charset="0"/>
              <a:ea typeface="+mn-ea"/>
              <a:cs typeface="+mn-cs"/>
            </a:rPr>
            <a:t>SDSS</a:t>
          </a:r>
          <a:r>
            <a:rPr lang="es-DO" sz="6000" b="1" i="0" baseline="0">
              <a:solidFill>
                <a:sysClr val="windowText" lastClr="000000"/>
              </a:solidFill>
              <a:latin typeface="Baskerville Old Face" pitchFamily="18" charset="0"/>
            </a:rPr>
            <a:t>)</a:t>
          </a:r>
        </a:p>
        <a:p>
          <a:pPr algn="r"/>
          <a:r>
            <a:rPr lang="es-DO" sz="4000" b="1" i="0" baseline="0">
              <a:solidFill>
                <a:sysClr val="windowText" lastClr="000000"/>
              </a:solidFill>
              <a:effectLst/>
              <a:latin typeface="Baskerville Old Face" pitchFamily="18" charset="0"/>
              <a:ea typeface="+mn-ea"/>
              <a:cs typeface="+mn-cs"/>
            </a:rPr>
            <a:t>Ley 87-01</a:t>
          </a:r>
          <a:endParaRPr lang="es-DO" sz="800" b="1" i="0">
            <a:solidFill>
              <a:sysClr val="windowText" lastClr="000000"/>
            </a:solidFill>
            <a:effectLst/>
            <a:latin typeface="+mn-lt"/>
            <a:ea typeface="+mn-ea"/>
            <a:cs typeface="+mn-cs"/>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11</xdr:row>
      <xdr:rowOff>149679</xdr:rowOff>
    </xdr:from>
    <xdr:to>
      <xdr:col>13</xdr:col>
      <xdr:colOff>544285</xdr:colOff>
      <xdr:row>36</xdr:row>
      <xdr:rowOff>81642</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605118</xdr:colOff>
      <xdr:row>34</xdr:row>
      <xdr:rowOff>134471</xdr:rowOff>
    </xdr:from>
    <xdr:to>
      <xdr:col>3</xdr:col>
      <xdr:colOff>992522</xdr:colOff>
      <xdr:row>35</xdr:row>
      <xdr:rowOff>208111</xdr:rowOff>
    </xdr:to>
    <xdr:sp macro="" textlink="">
      <xdr:nvSpPr>
        <xdr:cNvPr id="3" name="2 CuadroTexto"/>
        <xdr:cNvSpPr txBox="1"/>
      </xdr:nvSpPr>
      <xdr:spPr>
        <a:xfrm>
          <a:off x="605118" y="8951900"/>
          <a:ext cx="2727833" cy="318568"/>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400" b="1"/>
            <a:t>Fuente</a:t>
          </a:r>
          <a:r>
            <a:rPr lang="es-DO" sz="1400"/>
            <a:t>: Portal de la SISALRIL</a:t>
          </a:r>
        </a:p>
      </xdr:txBody>
    </xdr:sp>
    <xdr:clientData/>
  </xdr:twoCellAnchor>
  <xdr:twoCellAnchor>
    <xdr:from>
      <xdr:col>0</xdr:col>
      <xdr:colOff>0</xdr:colOff>
      <xdr:row>0</xdr:row>
      <xdr:rowOff>0</xdr:rowOff>
    </xdr:from>
    <xdr:to>
      <xdr:col>13</xdr:col>
      <xdr:colOff>1061357</xdr:colOff>
      <xdr:row>1</xdr:row>
      <xdr:rowOff>367392</xdr:rowOff>
    </xdr:to>
    <xdr:sp macro="" textlink="">
      <xdr:nvSpPr>
        <xdr:cNvPr id="5" name="4 Rectángulo redondeado"/>
        <xdr:cNvSpPr/>
      </xdr:nvSpPr>
      <xdr:spPr>
        <a:xfrm>
          <a:off x="0" y="0"/>
          <a:ext cx="12314464" cy="95249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Datos Generales del Sistema Dominicano de la Seguridad Social (SDSS) </a:t>
          </a:r>
        </a:p>
        <a:p>
          <a:pPr algn="ctr" eaLnBrk="1" fontAlgn="auto" latinLnBrk="0" hangingPunct="1"/>
          <a:r>
            <a:rPr lang="es-DO" sz="1600" b="1">
              <a:solidFill>
                <a:schemeClr val="lt1"/>
              </a:solidFill>
              <a:effectLst/>
              <a:latin typeface="+mn-lt"/>
              <a:ea typeface="+mn-ea"/>
              <a:cs typeface="+mn-cs"/>
            </a:rPr>
            <a:t>Empresas y Empleados Afiliados Activos al SDSS por</a:t>
          </a:r>
          <a:r>
            <a:rPr lang="es-DO" sz="1600" b="1" baseline="0">
              <a:solidFill>
                <a:schemeClr val="lt1"/>
              </a:solidFill>
              <a:effectLst/>
              <a:latin typeface="+mn-lt"/>
              <a:ea typeface="+mn-ea"/>
              <a:cs typeface="+mn-cs"/>
            </a:rPr>
            <a:t> S</a:t>
          </a:r>
          <a:r>
            <a:rPr lang="es-DO" sz="1600" b="1">
              <a:solidFill>
                <a:schemeClr val="lt1"/>
              </a:solidFill>
              <a:effectLst/>
              <a:latin typeface="+mn-lt"/>
              <a:ea typeface="+mn-ea"/>
              <a:cs typeface="+mn-cs"/>
            </a:rPr>
            <a:t>ector</a:t>
          </a:r>
        </a:p>
        <a:p>
          <a:pPr algn="ctr" eaLnBrk="1" fontAlgn="auto" latinLnBrk="0" hangingPunct="1"/>
          <a:r>
            <a:rPr lang="es-DO" sz="1600" b="1">
              <a:solidFill>
                <a:schemeClr val="lt1"/>
              </a:solidFill>
              <a:effectLst/>
              <a:latin typeface="+mn-lt"/>
              <a:ea typeface="+mn-ea"/>
              <a:cs typeface="+mn-cs"/>
            </a:rPr>
            <a:t>Período: Diciembre 2008 - Noviembre 2015</a:t>
          </a:r>
          <a:endParaRPr lang="es-DO" sz="4800">
            <a:effectLst/>
          </a:endParaRPr>
        </a:p>
      </xdr:txBody>
    </xdr:sp>
    <xdr:clientData/>
  </xdr:twoCellAnchor>
  <xdr:twoCellAnchor editAs="oneCell">
    <xdr:from>
      <xdr:col>12</xdr:col>
      <xdr:colOff>0</xdr:colOff>
      <xdr:row>10</xdr:row>
      <xdr:rowOff>0</xdr:rowOff>
    </xdr:from>
    <xdr:to>
      <xdr:col>12</xdr:col>
      <xdr:colOff>304800</xdr:colOff>
      <xdr:row>11</xdr:row>
      <xdr:rowOff>133350</xdr:rowOff>
    </xdr:to>
    <xdr:sp macro="" textlink="">
      <xdr:nvSpPr>
        <xdr:cNvPr id="11265" name="AutoShape 1" descr="Resultado de imagen para bien"/>
        <xdr:cNvSpPr>
          <a:spLocks noChangeAspect="1" noChangeArrowheads="1"/>
        </xdr:cNvSpPr>
      </xdr:nvSpPr>
      <xdr:spPr bwMode="auto">
        <a:xfrm>
          <a:off x="10391775" y="3238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530679</xdr:colOff>
      <xdr:row>0</xdr:row>
      <xdr:rowOff>190500</xdr:rowOff>
    </xdr:from>
    <xdr:to>
      <xdr:col>1</xdr:col>
      <xdr:colOff>591817</xdr:colOff>
      <xdr:row>1</xdr:row>
      <xdr:rowOff>195943</xdr:rowOff>
    </xdr:to>
    <xdr:pic>
      <xdr:nvPicPr>
        <xdr:cNvPr id="8"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30679" y="190500"/>
          <a:ext cx="795924"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0.xml><?xml version="1.0" encoding="utf-8"?>
<xdr:wsDr xmlns:xdr="http://schemas.openxmlformats.org/drawingml/2006/spreadsheetDrawing" xmlns:a="http://schemas.openxmlformats.org/drawingml/2006/main">
  <xdr:twoCellAnchor editAs="oneCell">
    <xdr:from>
      <xdr:col>3</xdr:col>
      <xdr:colOff>963706</xdr:colOff>
      <xdr:row>9</xdr:row>
      <xdr:rowOff>155907</xdr:rowOff>
    </xdr:from>
    <xdr:to>
      <xdr:col>7</xdr:col>
      <xdr:colOff>1039401</xdr:colOff>
      <xdr:row>36</xdr:row>
      <xdr:rowOff>93544</xdr:rowOff>
    </xdr:to>
    <xdr:pic>
      <xdr:nvPicPr>
        <xdr:cNvPr id="4" name="1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249706" y="2105731"/>
          <a:ext cx="4423577" cy="5081137"/>
        </a:xfrm>
        <a:prstGeom prst="rect">
          <a:avLst/>
        </a:prstGeom>
        <a:noFill/>
        <a:ln>
          <a:noFill/>
        </a:ln>
      </xdr:spPr>
    </xdr:pic>
    <xdr:clientData/>
  </xdr:twoCellAnchor>
  <xdr:twoCellAnchor>
    <xdr:from>
      <xdr:col>0</xdr:col>
      <xdr:colOff>1</xdr:colOff>
      <xdr:row>0</xdr:row>
      <xdr:rowOff>0</xdr:rowOff>
    </xdr:from>
    <xdr:to>
      <xdr:col>12</xdr:col>
      <xdr:colOff>0</xdr:colOff>
      <xdr:row>2</xdr:row>
      <xdr:rowOff>244928</xdr:rowOff>
    </xdr:to>
    <xdr:sp macro="" textlink="">
      <xdr:nvSpPr>
        <xdr:cNvPr id="2" name="3 Rectángulo redondeado"/>
        <xdr:cNvSpPr/>
      </xdr:nvSpPr>
      <xdr:spPr>
        <a:xfrm>
          <a:off x="1" y="0"/>
          <a:ext cx="9143999" cy="78921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Sistema Dominicano de Seguridad Social</a:t>
          </a:r>
          <a:endParaRPr lang="es-DO" sz="3200">
            <a:effectLst/>
          </a:endParaRPr>
        </a:p>
        <a:p>
          <a:pPr algn="ctr" eaLnBrk="1" fontAlgn="auto" latinLnBrk="0" hangingPunct="1"/>
          <a:r>
            <a:rPr lang="es-DO" sz="2000" b="1">
              <a:solidFill>
                <a:schemeClr val="lt1"/>
              </a:solidFill>
              <a:effectLst/>
              <a:latin typeface="+mn-lt"/>
              <a:ea typeface="+mn-ea"/>
              <a:cs typeface="+mn-cs"/>
            </a:rPr>
            <a:t>Ingresos y Egresos por Seguros</a:t>
          </a:r>
          <a:endParaRPr lang="es-DO" sz="3200">
            <a:effectLst/>
          </a:endParaRPr>
        </a:p>
      </xdr:txBody>
    </xdr:sp>
    <xdr:clientData/>
  </xdr:twoCellAnchor>
  <xdr:twoCellAnchor>
    <xdr:from>
      <xdr:col>0</xdr:col>
      <xdr:colOff>44823</xdr:colOff>
      <xdr:row>3</xdr:row>
      <xdr:rowOff>78440</xdr:rowOff>
    </xdr:from>
    <xdr:to>
      <xdr:col>11</xdr:col>
      <xdr:colOff>997324</xdr:colOff>
      <xdr:row>45</xdr:row>
      <xdr:rowOff>78441</xdr:rowOff>
    </xdr:to>
    <xdr:sp macro="" textlink="">
      <xdr:nvSpPr>
        <xdr:cNvPr id="3" name="CuadroTexto 2"/>
        <xdr:cNvSpPr txBox="1"/>
      </xdr:nvSpPr>
      <xdr:spPr>
        <a:xfrm>
          <a:off x="44823" y="885264"/>
          <a:ext cx="11598089" cy="8001001"/>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s-DO" sz="1400" b="0" baseline="0">
              <a:solidFill>
                <a:sysClr val="windowText" lastClr="000000"/>
              </a:solidFill>
              <a:effectLst/>
              <a:latin typeface="+mn-lt"/>
              <a:ea typeface="+mn-ea"/>
              <a:cs typeface="+mn-cs"/>
            </a:rPr>
            <a:t>Desde que inició el Sistema de la Seguridad Social en noviembre de 2002 para el Régimen Subsidiado y en julio de 2003 para el Régimen Contributivo (con el seguro de pensiones), hasta noviembre de 2015, los egresos del SDSS ascienden a  RD$ 513,799,353,613.47, los cuales han sido desembolsado a diferentes entidades que componen el sistema, como se detalla a continuación:</a:t>
          </a:r>
        </a:p>
        <a:p>
          <a:pPr eaLnBrk="1" fontAlgn="auto" latinLnBrk="0" hangingPunct="1"/>
          <a:endParaRPr lang="es-DO" sz="1400" b="0" baseline="0">
            <a:solidFill>
              <a:sysClr val="windowText" lastClr="000000"/>
            </a:solidFill>
            <a:effectLst/>
            <a:latin typeface="+mn-lt"/>
            <a:ea typeface="+mn-ea"/>
            <a:cs typeface="+mn-cs"/>
          </a:endParaRPr>
        </a:p>
        <a:p>
          <a:pPr eaLnBrk="1" fontAlgn="auto" latinLnBrk="0" hangingPunct="1"/>
          <a:r>
            <a:rPr lang="es-DO" sz="1400" b="0" baseline="0">
              <a:solidFill>
                <a:sysClr val="windowText" lastClr="000000"/>
              </a:solidFill>
              <a:effectLst/>
              <a:latin typeface="+mn-lt"/>
              <a:ea typeface="+mn-ea"/>
              <a:cs typeface="+mn-cs"/>
            </a:rPr>
            <a:t>Los fondos pagados al Seguro Familiar de Salud (SFS) del RC en el período comprendido entre septiembre de 2007,  fecha en que inició dicho seguro, hasta noviembre de 2015 asciende a RD$200,615,489,717.98,  de los cuales un 93.67% fue asignado para el cuidado de la salud; 0.76% para cubrir el Fondo Nacional de Atenciones Médicas por Accidentes de Tránsito (FONAMAT); un 4.36% fue asignado a la Cuenta de Subsidios (Enfermedad Común, Maternidad y Lactancia); 0.62% pagado como comisión a SISALRIL y un 0.59% destinado para cubrir los servicios de las Estancias Infantiles los cuales iniciaron en junio de 2009.  Los fondos desembolsado para el SFS del RC en el año 2014 fueron superiores a los del 2013 en un 12.12%, pagándose un total de RD$33,462,601,727.63.    </a:t>
          </a:r>
        </a:p>
        <a:p>
          <a:pPr eaLnBrk="1" fontAlgn="auto" latinLnBrk="0" hangingPunct="1"/>
          <a:endParaRPr lang="es-DO" sz="1400" b="0" baseline="0">
            <a:solidFill>
              <a:sysClr val="windowText" lastClr="000000"/>
            </a:solidFill>
            <a:effectLst/>
            <a:latin typeface="+mn-lt"/>
            <a:ea typeface="+mn-ea"/>
            <a:cs typeface="+mn-cs"/>
          </a:endParaRPr>
        </a:p>
        <a:p>
          <a:pPr eaLnBrk="1" fontAlgn="auto" latinLnBrk="0" hangingPunct="1"/>
          <a:r>
            <a:rPr lang="es-DO" sz="1400" b="0" baseline="0">
              <a:solidFill>
                <a:sysClr val="windowText" lastClr="000000"/>
              </a:solidFill>
              <a:effectLst/>
              <a:latin typeface="+mn-lt"/>
              <a:ea typeface="+mn-ea"/>
              <a:cs typeface="+mn-cs"/>
            </a:rPr>
            <a:t>Los fondos desembolsados para cubrir las cápitas de los afiliados al SFS del RC, a las Administradoras de Riesgos de Salud (ARS) pertenecientes al Sistema Dominicano de Seguridad Social (SDSS), para el mes de noviembre 2015 fue de RD$ 3,405,003,432.40,  distribuidos de la siguiente manera: el 77.6% del dinero fue pagado a las cuatro ARS que poseen el mayor número de afiliados (ARS Humano 35.08%; SENASA Contributivo 15.75%; Palic Salud 15.05%; Universal 11.73%),  el restante 22.4% de los fondos se distribuye entre las 17 ARS restantes.   El monto total pagado a las ARS desde 2007 al mes de  noviembre 2015 alcanza la suma de  RD$189,432,276,059.58,  para cubrir el Plan de Servicios de Salud (PDSS) y el Fondo de Atenciones Médicas por Accidentes  de Tránsito (FONAMAT).</a:t>
          </a:r>
        </a:p>
        <a:p>
          <a:pPr eaLnBrk="1" fontAlgn="auto" latinLnBrk="0" hangingPunct="1"/>
          <a:endParaRPr lang="es-DO" sz="1400" b="0" baseline="0">
            <a:solidFill>
              <a:sysClr val="windowText" lastClr="000000"/>
            </a:solidFill>
            <a:effectLst/>
            <a:latin typeface="+mn-lt"/>
            <a:ea typeface="+mn-ea"/>
            <a:cs typeface="+mn-cs"/>
          </a:endParaRPr>
        </a:p>
        <a:p>
          <a:pPr eaLnBrk="1" fontAlgn="auto" latinLnBrk="0" hangingPunct="1"/>
          <a:r>
            <a:rPr lang="es-DO" sz="1400" b="0" baseline="0">
              <a:solidFill>
                <a:sysClr val="windowText" lastClr="000000"/>
              </a:solidFill>
              <a:effectLst/>
              <a:latin typeface="+mn-lt"/>
              <a:ea typeface="+mn-ea"/>
              <a:cs typeface="+mn-cs"/>
            </a:rPr>
            <a:t>En cuanto a las inversiones de los fondos acumulados en la Cuenta del Cuidado de la Salud del RC, al mes de noviembre 2015, RD$ 6,369,525,131.23, están invertidos diferentes instrumentos financieros.  Con relación al Seguro Familiar de Salud del Régimen Subsidiado, la Ley 87-01 establece en su artículo 7 debe ser financiado fundamentalmente por el Estado Dominicano.      </a:t>
          </a:r>
        </a:p>
        <a:p>
          <a:pPr eaLnBrk="1" fontAlgn="auto" latinLnBrk="0" hangingPunct="1"/>
          <a:endParaRPr lang="es-DO" sz="1400" b="0" baseline="0">
            <a:solidFill>
              <a:sysClr val="windowText" lastClr="000000"/>
            </a:solidFill>
            <a:effectLst/>
            <a:latin typeface="+mn-lt"/>
            <a:ea typeface="+mn-ea"/>
            <a:cs typeface="+mn-cs"/>
          </a:endParaRPr>
        </a:p>
        <a:p>
          <a:pPr eaLnBrk="1" fontAlgn="auto" latinLnBrk="0" hangingPunct="1"/>
          <a:r>
            <a:rPr lang="es-DO" sz="1400" b="0" baseline="0">
              <a:solidFill>
                <a:sysClr val="windowText" lastClr="000000"/>
              </a:solidFill>
              <a:effectLst/>
              <a:latin typeface="+mn-lt"/>
              <a:ea typeface="+mn-ea"/>
              <a:cs typeface="+mn-cs"/>
            </a:rPr>
            <a:t>Desde el inicio de este seguro en noviembre de 2002 hasta el mes de  noviembre 2015 el gobierno ha transferido al sistema según lo presupuestado anualmente la suma de RD$39,347,025,128.25,  para cubrir la afiliación al Seguro Familiar de Salud de los ciudadanos con menos ingresos del país, así como las personas que viven con discapacidad, personas VIH positivas y trabajadores por cuenta propia con ingresos inestables e inferiores al salario mínimo nacional; y RD$39,432,096,880.57,  ha sido desembolsado a  la Administradora de Riesgo de Salud SENASA  (ARS estatal que afilia a las personas que pertenecen al Régimen Subsidiado).   El gobierno central realizó aportes extraordinarios  que ascendieron a RD$720,000,000.00 para el cuidado de la salud de las personas del RS (julio del 2012 aporte de RD$500,000,000.00 y en los meses abril y noviembre 2013 un monto total de RD$220,000,000.00),  dichos montos extraordinarios fueron transferidos en su totalidad a la Administradora de Riesgos y Salud SENASA.  El déficit  de esta cuenta ha sido cubierto con los rendimientos obtenidos de los fondos acumulados en años anteriores y los aportes extraordinarios de parte del gobierno central.</a:t>
          </a:r>
        </a:p>
        <a:p>
          <a:pPr eaLnBrk="1" fontAlgn="auto" latinLnBrk="0" hangingPunct="1"/>
          <a:endParaRPr lang="es-DO" sz="1400" b="0" baseline="0">
            <a:solidFill>
              <a:sysClr val="windowText" lastClr="000000"/>
            </a:solidFill>
            <a:effectLst/>
            <a:latin typeface="+mn-lt"/>
            <a:ea typeface="+mn-ea"/>
            <a:cs typeface="+mn-cs"/>
          </a:endParaRPr>
        </a:p>
        <a:p>
          <a:pPr eaLnBrk="1" fontAlgn="auto" latinLnBrk="0" hangingPunct="1"/>
          <a:r>
            <a:rPr lang="es-DO" sz="1400" b="0" baseline="0">
              <a:solidFill>
                <a:sysClr val="windowText" lastClr="000000"/>
              </a:solidFill>
              <a:effectLst/>
              <a:latin typeface="+mn-lt"/>
              <a:ea typeface="+mn-ea"/>
              <a:cs typeface="+mn-cs"/>
            </a:rPr>
            <a:t>El Régimen Especial Transitorio de Salud de implemento en julio 2009 para el servicio de salud de los pensionados y jubilados afiliados, establecido por el decreto 342-09.  De julio 2010 hasta noviembre 2015 el monto total pagado a las Administradoras de Riesgos de Salud (ARS)  (Salud Segura, SEMMA y SENASA), fue de RD$1,710,313,555.08.  De enero al mes de noviembre 2015, se pagó un total de RD$ 307,729,442.80, de los cuales el 39% fue pagado  a la ARS Salud Segura; el 48% a SENASA y el 13% a SEMMA.  </a:t>
          </a:r>
        </a:p>
        <a:p>
          <a:pPr eaLnBrk="1" fontAlgn="auto" latinLnBrk="0" hangingPunct="1"/>
          <a:endParaRPr lang="es-DO" sz="1400" b="0" baseline="0">
            <a:solidFill>
              <a:srgbClr val="FF0000"/>
            </a:solidFill>
            <a:effectLst/>
            <a:latin typeface="+mn-lt"/>
            <a:ea typeface="+mn-ea"/>
            <a:cs typeface="+mn-cs"/>
          </a:endParaRPr>
        </a:p>
      </xdr:txBody>
    </xdr:sp>
    <xdr:clientData/>
  </xdr:twoCellAnchor>
  <xdr:twoCellAnchor editAs="oneCell">
    <xdr:from>
      <xdr:col>0</xdr:col>
      <xdr:colOff>403416</xdr:colOff>
      <xdr:row>0</xdr:row>
      <xdr:rowOff>154935</xdr:rowOff>
    </xdr:from>
    <xdr:to>
      <xdr:col>1</xdr:col>
      <xdr:colOff>347384</xdr:colOff>
      <xdr:row>1</xdr:row>
      <xdr:rowOff>395363</xdr:rowOff>
    </xdr:to>
    <xdr:pic>
      <xdr:nvPicPr>
        <xdr:cNvPr id="6" name="6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03416" y="154935"/>
          <a:ext cx="705968" cy="5093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1.xml><?xml version="1.0" encoding="utf-8"?>
<xdr:wsDr xmlns:xdr="http://schemas.openxmlformats.org/drawingml/2006/spreadsheetDrawing" xmlns:a="http://schemas.openxmlformats.org/drawingml/2006/main">
  <xdr:twoCellAnchor>
    <xdr:from>
      <xdr:col>0</xdr:col>
      <xdr:colOff>0</xdr:colOff>
      <xdr:row>9</xdr:row>
      <xdr:rowOff>54427</xdr:rowOff>
    </xdr:from>
    <xdr:to>
      <xdr:col>12</xdr:col>
      <xdr:colOff>450272</xdr:colOff>
      <xdr:row>56</xdr:row>
      <xdr:rowOff>17318</xdr:rowOff>
    </xdr:to>
    <xdr:graphicFrame macro="">
      <xdr:nvGraphicFramePr>
        <xdr:cNvPr id="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1</xdr:rowOff>
    </xdr:from>
    <xdr:to>
      <xdr:col>12</xdr:col>
      <xdr:colOff>579292</xdr:colOff>
      <xdr:row>0</xdr:row>
      <xdr:rowOff>1143000</xdr:rowOff>
    </xdr:to>
    <xdr:sp macro="" textlink="">
      <xdr:nvSpPr>
        <xdr:cNvPr id="5" name="4 Rectángulo redondeado"/>
        <xdr:cNvSpPr/>
      </xdr:nvSpPr>
      <xdr:spPr>
        <a:xfrm>
          <a:off x="0" y="1"/>
          <a:ext cx="18254971" cy="114299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Familiar de Salud (SFS) del Régimen Contributivo (RC)</a:t>
          </a:r>
        </a:p>
        <a:p>
          <a:pPr algn="ctr" eaLnBrk="1" fontAlgn="auto" latinLnBrk="0" hangingPunct="1"/>
          <a:r>
            <a:rPr lang="es-DO" sz="1800" b="1">
              <a:solidFill>
                <a:schemeClr val="lt1"/>
              </a:solidFill>
              <a:effectLst/>
              <a:latin typeface="+mn-lt"/>
              <a:ea typeface="+mn-ea"/>
              <a:cs typeface="+mn-cs"/>
            </a:rPr>
            <a:t>Fondos Pagados Anualmente por Cuentas al SFS del RC</a:t>
          </a:r>
        </a:p>
        <a:p>
          <a:pPr algn="ctr" eaLnBrk="1" fontAlgn="auto" latinLnBrk="0" hangingPunct="1"/>
          <a:r>
            <a:rPr lang="es-DO" sz="1800" b="1">
              <a:solidFill>
                <a:schemeClr val="lt1"/>
              </a:solidFill>
              <a:effectLst/>
              <a:latin typeface="+mn-lt"/>
              <a:ea typeface="+mn-ea"/>
              <a:cs typeface="+mn-cs"/>
            </a:rPr>
            <a:t>Período: Septiembre 2007 -</a:t>
          </a:r>
          <a:r>
            <a:rPr lang="es-DO" sz="1800" b="1" baseline="0">
              <a:solidFill>
                <a:schemeClr val="lt1"/>
              </a:solidFill>
              <a:effectLst/>
              <a:latin typeface="+mn-lt"/>
              <a:ea typeface="+mn-ea"/>
              <a:cs typeface="+mn-cs"/>
            </a:rPr>
            <a:t> Noviembre </a:t>
          </a:r>
          <a:r>
            <a:rPr lang="es-DO" sz="1800" b="1">
              <a:solidFill>
                <a:schemeClr val="lt1"/>
              </a:solidFill>
              <a:effectLst/>
              <a:latin typeface="+mn-lt"/>
              <a:ea typeface="+mn-ea"/>
              <a:cs typeface="+mn-cs"/>
            </a:rPr>
            <a:t>2015</a:t>
          </a:r>
          <a:endParaRPr lang="es-DO" sz="2800">
            <a:effectLst/>
          </a:endParaRPr>
        </a:p>
      </xdr:txBody>
    </xdr:sp>
    <xdr:clientData/>
  </xdr:twoCellAnchor>
  <xdr:twoCellAnchor editAs="oneCell">
    <xdr:from>
      <xdr:col>0</xdr:col>
      <xdr:colOff>434191</xdr:colOff>
      <xdr:row>0</xdr:row>
      <xdr:rowOff>204107</xdr:rowOff>
    </xdr:from>
    <xdr:to>
      <xdr:col>0</xdr:col>
      <xdr:colOff>1377142</xdr:colOff>
      <xdr:row>0</xdr:row>
      <xdr:rowOff>884464</xdr:rowOff>
    </xdr:to>
    <xdr:pic>
      <xdr:nvPicPr>
        <xdr:cNvPr id="7"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34191" y="204107"/>
          <a:ext cx="942951" cy="6803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2.xml><?xml version="1.0" encoding="utf-8"?>
<c:userShapes xmlns:c="http://schemas.openxmlformats.org/drawingml/2006/chart">
  <cdr:relSizeAnchor xmlns:cdr="http://schemas.openxmlformats.org/drawingml/2006/chartDrawing">
    <cdr:from>
      <cdr:x>0.02559</cdr:x>
      <cdr:y>0.93539</cdr:y>
    </cdr:from>
    <cdr:to>
      <cdr:x>0.1592</cdr:x>
      <cdr:y>0.98253</cdr:y>
    </cdr:to>
    <cdr:sp macro="" textlink="">
      <cdr:nvSpPr>
        <cdr:cNvPr id="2" name="1 CuadroTexto"/>
        <cdr:cNvSpPr txBox="1"/>
      </cdr:nvSpPr>
      <cdr:spPr>
        <a:xfrm xmlns:a="http://schemas.openxmlformats.org/drawingml/2006/main">
          <a:off x="463620" y="8550935"/>
          <a:ext cx="2420320" cy="43093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400" b="1"/>
            <a:t>Fuente: </a:t>
          </a:r>
          <a:r>
            <a:rPr lang="en-US" sz="1400"/>
            <a:t>TSS</a:t>
          </a:r>
        </a:p>
      </cdr:txBody>
    </cdr:sp>
  </cdr:relSizeAnchor>
</c:userShapes>
</file>

<file path=xl/drawings/drawing103.xml><?xml version="1.0" encoding="utf-8"?>
<xdr:wsDr xmlns:xdr="http://schemas.openxmlformats.org/drawingml/2006/spreadsheetDrawing" xmlns:a="http://schemas.openxmlformats.org/drawingml/2006/main">
  <xdr:twoCellAnchor>
    <xdr:from>
      <xdr:col>0</xdr:col>
      <xdr:colOff>0</xdr:colOff>
      <xdr:row>17</xdr:row>
      <xdr:rowOff>176892</xdr:rowOff>
    </xdr:from>
    <xdr:to>
      <xdr:col>10</xdr:col>
      <xdr:colOff>1578427</xdr:colOff>
      <xdr:row>45</xdr:row>
      <xdr:rowOff>81642</xdr:rowOff>
    </xdr:to>
    <xdr:graphicFrame macro="">
      <xdr:nvGraphicFramePr>
        <xdr:cNvPr id="146546"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1</xdr:rowOff>
    </xdr:from>
    <xdr:to>
      <xdr:col>11</xdr:col>
      <xdr:colOff>13606</xdr:colOff>
      <xdr:row>0</xdr:row>
      <xdr:rowOff>1088571</xdr:rowOff>
    </xdr:to>
    <xdr:sp macro="" textlink="">
      <xdr:nvSpPr>
        <xdr:cNvPr id="4" name="3 Rectángulo redondeado"/>
        <xdr:cNvSpPr/>
      </xdr:nvSpPr>
      <xdr:spPr>
        <a:xfrm>
          <a:off x="0" y="1"/>
          <a:ext cx="15348856" cy="108857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Familiar de Salud (SFS) del Régimen Contributivo (RC)</a:t>
          </a:r>
        </a:p>
        <a:p>
          <a:pPr algn="ctr" eaLnBrk="1" fontAlgn="auto" latinLnBrk="0" hangingPunct="1"/>
          <a:r>
            <a:rPr lang="es-DO" sz="1800" b="1">
              <a:solidFill>
                <a:schemeClr val="lt1"/>
              </a:solidFill>
              <a:effectLst/>
              <a:latin typeface="+mn-lt"/>
              <a:ea typeface="+mn-ea"/>
              <a:cs typeface="+mn-cs"/>
            </a:rPr>
            <a:t>Fondos Pagados Mensualmente por Cuentas al SFS del RC</a:t>
          </a:r>
        </a:p>
        <a:p>
          <a:pPr algn="ctr" eaLnBrk="1" fontAlgn="auto" latinLnBrk="0" hangingPunct="1"/>
          <a:r>
            <a:rPr lang="es-DO" sz="1800" b="1">
              <a:solidFill>
                <a:schemeClr val="lt1"/>
              </a:solidFill>
              <a:effectLst/>
              <a:latin typeface="+mn-lt"/>
              <a:ea typeface="+mn-ea"/>
              <a:cs typeface="+mn-cs"/>
            </a:rPr>
            <a:t>Período: Noviembre 2014  - Noviembre 2015</a:t>
          </a:r>
          <a:endParaRPr lang="es-DO" sz="2800">
            <a:effectLst/>
          </a:endParaRPr>
        </a:p>
      </xdr:txBody>
    </xdr:sp>
    <xdr:clientData/>
  </xdr:twoCellAnchor>
  <xdr:twoCellAnchor editAs="oneCell">
    <xdr:from>
      <xdr:col>0</xdr:col>
      <xdr:colOff>461404</xdr:colOff>
      <xdr:row>0</xdr:row>
      <xdr:rowOff>231322</xdr:rowOff>
    </xdr:from>
    <xdr:to>
      <xdr:col>1</xdr:col>
      <xdr:colOff>393539</xdr:colOff>
      <xdr:row>0</xdr:row>
      <xdr:rowOff>843644</xdr:rowOff>
    </xdr:to>
    <xdr:pic>
      <xdr:nvPicPr>
        <xdr:cNvPr id="5" name="4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61404" y="231322"/>
          <a:ext cx="925456" cy="6123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4.xml><?xml version="1.0" encoding="utf-8"?>
<c:userShapes xmlns:c="http://schemas.openxmlformats.org/drawingml/2006/chart">
  <cdr:relSizeAnchor xmlns:cdr="http://schemas.openxmlformats.org/drawingml/2006/chartDrawing">
    <cdr:from>
      <cdr:x>0.0395</cdr:x>
      <cdr:y>0.91277</cdr:y>
    </cdr:from>
    <cdr:to>
      <cdr:x>0.35278</cdr:x>
      <cdr:y>0.97447</cdr:y>
    </cdr:to>
    <cdr:sp macro="" textlink="">
      <cdr:nvSpPr>
        <cdr:cNvPr id="2" name="CuadroTexto 1"/>
        <cdr:cNvSpPr txBox="1"/>
      </cdr:nvSpPr>
      <cdr:spPr>
        <a:xfrm xmlns:a="http://schemas.openxmlformats.org/drawingml/2006/main">
          <a:off x="598714" y="5837465"/>
          <a:ext cx="4748893" cy="394608"/>
        </a:xfrm>
        <a:prstGeom xmlns:a="http://schemas.openxmlformats.org/drawingml/2006/main" prst="rect">
          <a:avLst/>
        </a:prstGeom>
        <a:ln xmlns:a="http://schemas.openxmlformats.org/drawingml/2006/main">
          <a:noFill/>
        </a:ln>
      </cdr:spPr>
      <cdr:txBody>
        <a:bodyPr xmlns:a="http://schemas.openxmlformats.org/drawingml/2006/main" vertOverflow="clip" wrap="square" rtlCol="0"/>
        <a:lstStyle xmlns:a="http://schemas.openxmlformats.org/drawingml/2006/main"/>
        <a:p xmlns:a="http://schemas.openxmlformats.org/drawingml/2006/main">
          <a:endParaRPr lang="es-ES" sz="1100"/>
        </a:p>
      </cdr:txBody>
    </cdr:sp>
  </cdr:relSizeAnchor>
  <cdr:relSizeAnchor xmlns:cdr="http://schemas.openxmlformats.org/drawingml/2006/chartDrawing">
    <cdr:from>
      <cdr:x>0.07361</cdr:x>
      <cdr:y>0.91489</cdr:y>
    </cdr:from>
    <cdr:to>
      <cdr:x>0.4632</cdr:x>
      <cdr:y>0.9766</cdr:y>
    </cdr:to>
    <cdr:sp macro="" textlink="">
      <cdr:nvSpPr>
        <cdr:cNvPr id="3" name="CuadroTexto 2"/>
        <cdr:cNvSpPr txBox="1"/>
      </cdr:nvSpPr>
      <cdr:spPr>
        <a:xfrm xmlns:a="http://schemas.openxmlformats.org/drawingml/2006/main">
          <a:off x="1115785" y="5851073"/>
          <a:ext cx="5905500" cy="39460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400"/>
            <a:t>Fuente: TSS</a:t>
          </a:r>
        </a:p>
      </cdr:txBody>
    </cdr:sp>
  </cdr:relSizeAnchor>
</c:userShapes>
</file>

<file path=xl/drawings/drawing105.xml><?xml version="1.0" encoding="utf-8"?>
<xdr:wsDr xmlns:xdr="http://schemas.openxmlformats.org/drawingml/2006/spreadsheetDrawing" xmlns:a="http://schemas.openxmlformats.org/drawingml/2006/main">
  <xdr:twoCellAnchor>
    <xdr:from>
      <xdr:col>0</xdr:col>
      <xdr:colOff>156883</xdr:colOff>
      <xdr:row>34</xdr:row>
      <xdr:rowOff>89648</xdr:rowOff>
    </xdr:from>
    <xdr:to>
      <xdr:col>11</xdr:col>
      <xdr:colOff>964725</xdr:colOff>
      <xdr:row>81</xdr:row>
      <xdr:rowOff>68253</xdr:rowOff>
    </xdr:to>
    <xdr:graphicFrame macro="">
      <xdr:nvGraphicFramePr>
        <xdr:cNvPr id="2" name="6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33618</xdr:colOff>
      <xdr:row>0</xdr:row>
      <xdr:rowOff>1030941</xdr:rowOff>
    </xdr:to>
    <xdr:sp macro="" textlink="">
      <xdr:nvSpPr>
        <xdr:cNvPr id="3" name="3 Rectángulo redondeado"/>
        <xdr:cNvSpPr/>
      </xdr:nvSpPr>
      <xdr:spPr>
        <a:xfrm>
          <a:off x="0" y="0"/>
          <a:ext cx="14220265" cy="103094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Familiar de Salud (SFS) del Régimen Contributivo (RC)</a:t>
          </a:r>
        </a:p>
        <a:p>
          <a:pPr algn="ctr" eaLnBrk="1" fontAlgn="auto" latinLnBrk="0" hangingPunct="1"/>
          <a:r>
            <a:rPr lang="es-DO" sz="1600" b="1">
              <a:solidFill>
                <a:schemeClr val="lt1"/>
              </a:solidFill>
              <a:effectLst/>
              <a:latin typeface="+mn-lt"/>
              <a:ea typeface="+mn-ea"/>
              <a:cs typeface="+mn-cs"/>
            </a:rPr>
            <a:t>Fondos Pagados a las Administradora de Riesgos de Salud (ARS) del SFS del RC</a:t>
          </a:r>
        </a:p>
        <a:p>
          <a:pPr algn="ctr" eaLnBrk="1" fontAlgn="auto" latinLnBrk="0" hangingPunct="1"/>
          <a:r>
            <a:rPr lang="es-DO" sz="1600" b="1">
              <a:solidFill>
                <a:schemeClr val="lt1"/>
              </a:solidFill>
              <a:effectLst/>
              <a:latin typeface="+mn-lt"/>
              <a:ea typeface="+mn-ea"/>
              <a:cs typeface="+mn-cs"/>
            </a:rPr>
            <a:t>Período:  Septiembre 2007 - </a:t>
          </a:r>
          <a:r>
            <a:rPr lang="es-DO" sz="1600" b="1" baseline="0">
              <a:solidFill>
                <a:schemeClr val="lt1"/>
              </a:solidFill>
              <a:effectLst/>
              <a:latin typeface="+mn-lt"/>
              <a:ea typeface="+mn-ea"/>
              <a:cs typeface="+mn-cs"/>
            </a:rPr>
            <a:t>Noviembre </a:t>
          </a:r>
          <a:r>
            <a:rPr lang="es-DO" sz="1600" b="1">
              <a:solidFill>
                <a:schemeClr val="lt1"/>
              </a:solidFill>
              <a:effectLst/>
              <a:latin typeface="+mn-lt"/>
              <a:ea typeface="+mn-ea"/>
              <a:cs typeface="+mn-cs"/>
            </a:rPr>
            <a:t>2015</a:t>
          </a:r>
          <a:endParaRPr lang="es-DO" sz="2400">
            <a:effectLst/>
          </a:endParaRPr>
        </a:p>
      </xdr:txBody>
    </xdr:sp>
    <xdr:clientData/>
  </xdr:twoCellAnchor>
  <xdr:twoCellAnchor editAs="oneCell">
    <xdr:from>
      <xdr:col>1</xdr:col>
      <xdr:colOff>851647</xdr:colOff>
      <xdr:row>0</xdr:row>
      <xdr:rowOff>201706</xdr:rowOff>
    </xdr:from>
    <xdr:to>
      <xdr:col>1</xdr:col>
      <xdr:colOff>1581514</xdr:colOff>
      <xdr:row>0</xdr:row>
      <xdr:rowOff>683560</xdr:rowOff>
    </xdr:to>
    <xdr:pic>
      <xdr:nvPicPr>
        <xdr:cNvPr id="4" name="5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51647" y="201706"/>
          <a:ext cx="729867" cy="4818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6.xml><?xml version="1.0" encoding="utf-8"?>
<c:userShapes xmlns:c="http://schemas.openxmlformats.org/drawingml/2006/chart">
  <cdr:relSizeAnchor xmlns:cdr="http://schemas.openxmlformats.org/drawingml/2006/chartDrawing">
    <cdr:from>
      <cdr:x>0</cdr:x>
      <cdr:y>0</cdr:y>
    </cdr:from>
    <cdr:to>
      <cdr:x>0.0026</cdr:x>
      <cdr:y>0.00388</cdr:y>
    </cdr:to>
    <cdr:pic>
      <cdr:nvPicPr>
        <cdr:cNvPr id="2"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0.0026</cdr:x>
      <cdr:y>0.00388</cdr:y>
    </cdr:to>
    <cdr:pic>
      <cdr:nvPicPr>
        <cdr:cNvPr id="3"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0.0026</cdr:x>
      <cdr:y>0.00388</cdr:y>
    </cdr:to>
    <cdr:pic>
      <cdr:nvPicPr>
        <cdr:cNvPr id="4"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0.0026</cdr:x>
      <cdr:y>0.00388</cdr:y>
    </cdr:to>
    <cdr:pic>
      <cdr:nvPicPr>
        <cdr:cNvPr id="5"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0.06542</cdr:x>
      <cdr:y>0.94496</cdr:y>
    </cdr:from>
    <cdr:to>
      <cdr:x>0.13839</cdr:x>
      <cdr:y>0.96815</cdr:y>
    </cdr:to>
    <cdr:pic>
      <cdr:nvPicPr>
        <cdr:cNvPr id="6" name="chart"/>
        <cdr:cNvPicPr>
          <a:picLocks xmlns:a="http://schemas.openxmlformats.org/drawingml/2006/main" noChangeAspect="1"/>
        </cdr:cNvPicPr>
      </cdr:nvPicPr>
      <cdr:blipFill rotWithShape="1">
        <a:blip xmlns:a="http://schemas.openxmlformats.org/drawingml/2006/main" xmlns:r="http://schemas.openxmlformats.org/officeDocument/2006/relationships" r:embed="rId2"/>
        <a:srcRect xmlns:a="http://schemas.openxmlformats.org/drawingml/2006/main" t="22637"/>
        <a:stretch xmlns:a="http://schemas.openxmlformats.org/drawingml/2006/main"/>
      </cdr:blipFill>
      <cdr:spPr>
        <a:xfrm xmlns:a="http://schemas.openxmlformats.org/drawingml/2006/main">
          <a:off x="922317" y="8673400"/>
          <a:ext cx="1028733" cy="212852"/>
        </a:xfrm>
        <a:prstGeom xmlns:a="http://schemas.openxmlformats.org/drawingml/2006/main" prst="rect">
          <a:avLst/>
        </a:prstGeom>
      </cdr:spPr>
    </cdr:pic>
  </cdr:relSizeAnchor>
  <cdr:relSizeAnchor xmlns:cdr="http://schemas.openxmlformats.org/drawingml/2006/chartDrawing">
    <cdr:from>
      <cdr:x>0.54234</cdr:x>
      <cdr:y>0.96159</cdr:y>
    </cdr:from>
    <cdr:to>
      <cdr:x>0.81884</cdr:x>
      <cdr:y>1</cdr:y>
    </cdr:to>
    <cdr:sp macro="" textlink="">
      <cdr:nvSpPr>
        <cdr:cNvPr id="7" name="6 CuadroTexto"/>
        <cdr:cNvSpPr txBox="1"/>
      </cdr:nvSpPr>
      <cdr:spPr>
        <a:xfrm xmlns:a="http://schemas.openxmlformats.org/drawingml/2006/main">
          <a:off x="4629978" y="6070233"/>
          <a:ext cx="2360544" cy="24019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dr:relSizeAnchor xmlns:cdr="http://schemas.openxmlformats.org/drawingml/2006/chartDrawing">
    <cdr:from>
      <cdr:x>0.31981</cdr:x>
      <cdr:y>0.07342</cdr:y>
    </cdr:from>
    <cdr:to>
      <cdr:x>0.34216</cdr:x>
      <cdr:y>0.08702</cdr:y>
    </cdr:to>
    <cdr:sp macro="" textlink="">
      <cdr:nvSpPr>
        <cdr:cNvPr id="8" name="7 Rectángulo"/>
        <cdr:cNvSpPr/>
      </cdr:nvSpPr>
      <cdr:spPr>
        <a:xfrm xmlns:a="http://schemas.openxmlformats.org/drawingml/2006/main">
          <a:off x="4333082" y="673872"/>
          <a:ext cx="302819" cy="124830"/>
        </a:xfrm>
        <a:prstGeom xmlns:a="http://schemas.openxmlformats.org/drawingml/2006/main" prst="rect">
          <a:avLst/>
        </a:prstGeom>
        <a:solidFill xmlns:a="http://schemas.openxmlformats.org/drawingml/2006/main">
          <a:srgbClr val="00B050"/>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s-DO"/>
        </a:p>
      </cdr:txBody>
    </cdr:sp>
  </cdr:relSizeAnchor>
  <cdr:relSizeAnchor xmlns:cdr="http://schemas.openxmlformats.org/drawingml/2006/chartDrawing">
    <cdr:from>
      <cdr:x>0.33549</cdr:x>
      <cdr:y>0.06093</cdr:y>
    </cdr:from>
    <cdr:to>
      <cdr:x>0.81549</cdr:x>
      <cdr:y>0.09772</cdr:y>
    </cdr:to>
    <cdr:sp macro="" textlink="">
      <cdr:nvSpPr>
        <cdr:cNvPr id="9" name="8 CuadroTexto"/>
        <cdr:cNvSpPr txBox="1"/>
      </cdr:nvSpPr>
      <cdr:spPr>
        <a:xfrm xmlns:a="http://schemas.openxmlformats.org/drawingml/2006/main">
          <a:off x="4594411" y="559254"/>
          <a:ext cx="6573403" cy="337682"/>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100"/>
            <a:t>  ARS de Autogestión              </a:t>
          </a:r>
          <a:r>
            <a:rPr lang="en-US" sz="1100" baseline="0"/>
            <a:t> </a:t>
          </a:r>
          <a:r>
            <a:rPr lang="en-US" sz="1100"/>
            <a:t>     </a:t>
          </a:r>
          <a:r>
            <a:rPr lang="en-US" sz="1100">
              <a:effectLst/>
              <a:latin typeface="+mn-lt"/>
              <a:ea typeface="+mn-ea"/>
              <a:cs typeface="+mn-cs"/>
            </a:rPr>
            <a:t>ARS</a:t>
          </a:r>
          <a:r>
            <a:rPr lang="en-US" sz="1100" baseline="0">
              <a:effectLst/>
              <a:latin typeface="+mn-lt"/>
              <a:ea typeface="+mn-ea"/>
              <a:cs typeface="+mn-cs"/>
            </a:rPr>
            <a:t> Privadas                        </a:t>
          </a:r>
          <a:r>
            <a:rPr lang="en-US" sz="1100">
              <a:effectLst/>
              <a:latin typeface="+mn-lt"/>
              <a:ea typeface="+mn-ea"/>
              <a:cs typeface="+mn-cs"/>
            </a:rPr>
            <a:t>ARS Pública                 </a:t>
          </a:r>
          <a:r>
            <a:rPr lang="en-US" sz="1100" baseline="0">
              <a:effectLst/>
              <a:latin typeface="+mn-lt"/>
              <a:ea typeface="+mn-ea"/>
              <a:cs typeface="+mn-cs"/>
            </a:rPr>
            <a:t>          </a:t>
          </a:r>
          <a:r>
            <a:rPr lang="en-US" sz="1100"/>
            <a:t> No existen                      </a:t>
          </a:r>
        </a:p>
      </cdr:txBody>
    </cdr:sp>
  </cdr:relSizeAnchor>
  <cdr:relSizeAnchor xmlns:cdr="http://schemas.openxmlformats.org/drawingml/2006/chartDrawing">
    <cdr:from>
      <cdr:x>0.65489</cdr:x>
      <cdr:y>0.07241</cdr:y>
    </cdr:from>
    <cdr:to>
      <cdr:x>0.67629</cdr:x>
      <cdr:y>0.08564</cdr:y>
    </cdr:to>
    <cdr:sp macro="" textlink="">
      <cdr:nvSpPr>
        <cdr:cNvPr id="10" name="9 Rectángulo"/>
        <cdr:cNvSpPr/>
      </cdr:nvSpPr>
      <cdr:spPr>
        <a:xfrm xmlns:a="http://schemas.openxmlformats.org/drawingml/2006/main" flipH="1" flipV="1">
          <a:off x="8858314" y="664609"/>
          <a:ext cx="289468" cy="121433"/>
        </a:xfrm>
        <a:prstGeom xmlns:a="http://schemas.openxmlformats.org/drawingml/2006/main" prst="rect">
          <a:avLst/>
        </a:prstGeom>
        <a:solidFill xmlns:a="http://schemas.openxmlformats.org/drawingml/2006/main">
          <a:srgbClr val="FF0000"/>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a:t>  </a:t>
          </a:r>
        </a:p>
      </cdr:txBody>
    </cdr:sp>
  </cdr:relSizeAnchor>
  <cdr:relSizeAnchor xmlns:cdr="http://schemas.openxmlformats.org/drawingml/2006/chartDrawing">
    <cdr:from>
      <cdr:x>0.44292</cdr:x>
      <cdr:y>0.0739</cdr:y>
    </cdr:from>
    <cdr:to>
      <cdr:x>0.46432</cdr:x>
      <cdr:y>0.08713</cdr:y>
    </cdr:to>
    <cdr:sp macro="" textlink="">
      <cdr:nvSpPr>
        <cdr:cNvPr id="12" name="9 Rectángulo"/>
        <cdr:cNvSpPr/>
      </cdr:nvSpPr>
      <cdr:spPr>
        <a:xfrm xmlns:a="http://schemas.openxmlformats.org/drawingml/2006/main" flipH="1" flipV="1">
          <a:off x="6001123" y="678329"/>
          <a:ext cx="289947" cy="121433"/>
        </a:xfrm>
        <a:prstGeom xmlns:a="http://schemas.openxmlformats.org/drawingml/2006/main" prst="rect">
          <a:avLst/>
        </a:prstGeom>
        <a:solidFill xmlns:a="http://schemas.openxmlformats.org/drawingml/2006/main">
          <a:srgbClr val="2AB2E2"/>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n-US"/>
            <a:t>  </a:t>
          </a:r>
        </a:p>
      </cdr:txBody>
    </cdr:sp>
  </cdr:relSizeAnchor>
  <cdr:relSizeAnchor xmlns:cdr="http://schemas.openxmlformats.org/drawingml/2006/chartDrawing">
    <cdr:from>
      <cdr:x>0.543</cdr:x>
      <cdr:y>0.07268</cdr:y>
    </cdr:from>
    <cdr:to>
      <cdr:x>0.5644</cdr:x>
      <cdr:y>0.08591</cdr:y>
    </cdr:to>
    <cdr:sp macro="" textlink="">
      <cdr:nvSpPr>
        <cdr:cNvPr id="13" name="9 Rectángulo"/>
        <cdr:cNvSpPr/>
      </cdr:nvSpPr>
      <cdr:spPr>
        <a:xfrm xmlns:a="http://schemas.openxmlformats.org/drawingml/2006/main" flipH="1" flipV="1">
          <a:off x="7357035" y="667123"/>
          <a:ext cx="289947" cy="121433"/>
        </a:xfrm>
        <a:prstGeom xmlns:a="http://schemas.openxmlformats.org/drawingml/2006/main" prst="rect">
          <a:avLst/>
        </a:prstGeom>
        <a:solidFill xmlns:a="http://schemas.openxmlformats.org/drawingml/2006/main">
          <a:schemeClr val="accent5">
            <a:lumMod val="5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n-US"/>
            <a:t>  </a:t>
          </a:r>
        </a:p>
      </cdr:txBody>
    </cdr:sp>
  </cdr:relSizeAnchor>
</c:userShapes>
</file>

<file path=xl/drawings/drawing107.xml><?xml version="1.0" encoding="utf-8"?>
<xdr:wsDr xmlns:xdr="http://schemas.openxmlformats.org/drawingml/2006/spreadsheetDrawing" xmlns:a="http://schemas.openxmlformats.org/drawingml/2006/main">
  <xdr:twoCellAnchor>
    <xdr:from>
      <xdr:col>0</xdr:col>
      <xdr:colOff>0</xdr:colOff>
      <xdr:row>2</xdr:row>
      <xdr:rowOff>68035</xdr:rowOff>
    </xdr:from>
    <xdr:to>
      <xdr:col>9</xdr:col>
      <xdr:colOff>1238250</xdr:colOff>
      <xdr:row>51</xdr:row>
      <xdr:rowOff>13609</xdr:rowOff>
    </xdr:to>
    <xdr:graphicFrame macro="">
      <xdr:nvGraphicFramePr>
        <xdr:cNvPr id="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xdr:colOff>
      <xdr:row>0</xdr:row>
      <xdr:rowOff>0</xdr:rowOff>
    </xdr:from>
    <xdr:to>
      <xdr:col>10</xdr:col>
      <xdr:colOff>1088571</xdr:colOff>
      <xdr:row>0</xdr:row>
      <xdr:rowOff>1088570</xdr:rowOff>
    </xdr:to>
    <xdr:sp macro="" textlink="">
      <xdr:nvSpPr>
        <xdr:cNvPr id="3" name="3 Rectángulo redondeado"/>
        <xdr:cNvSpPr/>
      </xdr:nvSpPr>
      <xdr:spPr>
        <a:xfrm>
          <a:off x="1" y="0"/>
          <a:ext cx="14614070" cy="108857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Familiar de Salud (SFS) del Régimen Contributivo (RC)</a:t>
          </a:r>
        </a:p>
        <a:p>
          <a:pPr algn="ctr" eaLnBrk="1" fontAlgn="auto" latinLnBrk="0" hangingPunct="1"/>
          <a:r>
            <a:rPr lang="es-DO" sz="1600" b="1">
              <a:solidFill>
                <a:schemeClr val="lt1"/>
              </a:solidFill>
              <a:effectLst/>
              <a:latin typeface="+mn-lt"/>
              <a:ea typeface="+mn-ea"/>
              <a:cs typeface="+mn-cs"/>
            </a:rPr>
            <a:t>Fondos Pagados del RC a las ARS del SFS</a:t>
          </a:r>
        </a:p>
        <a:p>
          <a:pPr algn="ctr" eaLnBrk="1" fontAlgn="auto" latinLnBrk="0" hangingPunct="1"/>
          <a:r>
            <a:rPr lang="es-DO" sz="1600" b="1" baseline="0">
              <a:solidFill>
                <a:schemeClr val="lt1"/>
              </a:solidFill>
              <a:effectLst/>
              <a:latin typeface="+mn-lt"/>
              <a:ea typeface="+mn-ea"/>
              <a:cs typeface="+mn-cs"/>
            </a:rPr>
            <a:t>Noviembre </a:t>
          </a:r>
          <a:r>
            <a:rPr lang="es-DO" sz="1600" b="1">
              <a:solidFill>
                <a:schemeClr val="lt1"/>
              </a:solidFill>
              <a:effectLst/>
              <a:latin typeface="+mn-lt"/>
              <a:ea typeface="+mn-ea"/>
              <a:cs typeface="+mn-cs"/>
            </a:rPr>
            <a:t>2015</a:t>
          </a:r>
          <a:endParaRPr lang="es-DO" sz="2400">
            <a:effectLst/>
          </a:endParaRPr>
        </a:p>
      </xdr:txBody>
    </xdr:sp>
    <xdr:clientData/>
  </xdr:twoCellAnchor>
  <xdr:twoCellAnchor editAs="oneCell">
    <xdr:from>
      <xdr:col>0</xdr:col>
      <xdr:colOff>381001</xdr:colOff>
      <xdr:row>0</xdr:row>
      <xdr:rowOff>163285</xdr:rowOff>
    </xdr:from>
    <xdr:to>
      <xdr:col>0</xdr:col>
      <xdr:colOff>1352792</xdr:colOff>
      <xdr:row>0</xdr:row>
      <xdr:rowOff>806583</xdr:rowOff>
    </xdr:to>
    <xdr:pic>
      <xdr:nvPicPr>
        <xdr:cNvPr id="4" name="5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81001" y="163285"/>
          <a:ext cx="971791" cy="6432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8.xml><?xml version="1.0" encoding="utf-8"?>
<c:userShapes xmlns:c="http://schemas.openxmlformats.org/drawingml/2006/chart">
  <cdr:relSizeAnchor xmlns:cdr="http://schemas.openxmlformats.org/drawingml/2006/chartDrawing">
    <cdr:from>
      <cdr:x>0.05316</cdr:x>
      <cdr:y>0.93771</cdr:y>
    </cdr:from>
    <cdr:to>
      <cdr:x>0.25951</cdr:x>
      <cdr:y>0.97167</cdr:y>
    </cdr:to>
    <cdr:sp macro="" textlink="">
      <cdr:nvSpPr>
        <cdr:cNvPr id="2" name="1 CuadroTexto"/>
        <cdr:cNvSpPr txBox="1"/>
      </cdr:nvSpPr>
      <cdr:spPr>
        <a:xfrm xmlns:a="http://schemas.openxmlformats.org/drawingml/2006/main">
          <a:off x="785564" y="8906150"/>
          <a:ext cx="3049308" cy="32254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200" b="1"/>
            <a:t>Fuente: TSS</a:t>
          </a:r>
        </a:p>
      </cdr:txBody>
    </cdr:sp>
  </cdr:relSizeAnchor>
  <cdr:relSizeAnchor xmlns:cdr="http://schemas.openxmlformats.org/drawingml/2006/chartDrawing">
    <cdr:from>
      <cdr:x>0.24521</cdr:x>
      <cdr:y>0.02231</cdr:y>
    </cdr:from>
    <cdr:to>
      <cdr:x>0.27231</cdr:x>
      <cdr:y>0.03532</cdr:y>
    </cdr:to>
    <cdr:sp macro="" textlink="">
      <cdr:nvSpPr>
        <cdr:cNvPr id="4" name="7 Rectángulo"/>
        <cdr:cNvSpPr/>
      </cdr:nvSpPr>
      <cdr:spPr>
        <a:xfrm xmlns:a="http://schemas.openxmlformats.org/drawingml/2006/main">
          <a:off x="3026338" y="212517"/>
          <a:ext cx="334460" cy="123920"/>
        </a:xfrm>
        <a:prstGeom xmlns:a="http://schemas.openxmlformats.org/drawingml/2006/main" prst="rect">
          <a:avLst/>
        </a:prstGeom>
        <a:solidFill xmlns:a="http://schemas.openxmlformats.org/drawingml/2006/main">
          <a:srgbClr val="00B050"/>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s-DO"/>
        </a:p>
      </cdr:txBody>
    </cdr:sp>
  </cdr:relSizeAnchor>
  <cdr:relSizeAnchor xmlns:cdr="http://schemas.openxmlformats.org/drawingml/2006/chartDrawing">
    <cdr:from>
      <cdr:x>0.26548</cdr:x>
      <cdr:y>0.01093</cdr:y>
    </cdr:from>
    <cdr:to>
      <cdr:x>0.81916</cdr:x>
      <cdr:y>0.04613</cdr:y>
    </cdr:to>
    <cdr:sp macro="" textlink="">
      <cdr:nvSpPr>
        <cdr:cNvPr id="5" name="8 CuadroTexto"/>
        <cdr:cNvSpPr txBox="1"/>
      </cdr:nvSpPr>
      <cdr:spPr>
        <a:xfrm xmlns:a="http://schemas.openxmlformats.org/drawingml/2006/main">
          <a:off x="3016423" y="107244"/>
          <a:ext cx="6290859" cy="345338"/>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100"/>
            <a:t>  ARS de Autogestión                                  </a:t>
          </a:r>
          <a:r>
            <a:rPr lang="en-US" sz="1100" baseline="0"/>
            <a:t> </a:t>
          </a:r>
          <a:r>
            <a:rPr lang="en-US" sz="1100"/>
            <a:t>        </a:t>
          </a:r>
          <a:r>
            <a:rPr lang="en-US" sz="1100">
              <a:effectLst/>
              <a:latin typeface="+mn-lt"/>
              <a:ea typeface="+mn-ea"/>
              <a:cs typeface="+mn-cs"/>
            </a:rPr>
            <a:t>ARS</a:t>
          </a:r>
          <a:r>
            <a:rPr lang="en-US" sz="1100" baseline="0">
              <a:effectLst/>
              <a:latin typeface="+mn-lt"/>
              <a:ea typeface="+mn-ea"/>
              <a:cs typeface="+mn-cs"/>
            </a:rPr>
            <a:t> Privadas                                 </a:t>
          </a:r>
          <a:r>
            <a:rPr lang="en-US" sz="1100">
              <a:effectLst/>
              <a:latin typeface="+mn-lt"/>
              <a:ea typeface="+mn-ea"/>
              <a:cs typeface="+mn-cs"/>
            </a:rPr>
            <a:t>ARS Pública   </a:t>
          </a:r>
          <a:r>
            <a:rPr lang="en-US" sz="1100"/>
            <a:t>                     </a:t>
          </a:r>
        </a:p>
      </cdr:txBody>
    </cdr:sp>
  </cdr:relSizeAnchor>
  <cdr:relSizeAnchor xmlns:cdr="http://schemas.openxmlformats.org/drawingml/2006/chartDrawing">
    <cdr:from>
      <cdr:x>0.55121</cdr:x>
      <cdr:y>0.02084</cdr:y>
    </cdr:from>
    <cdr:to>
      <cdr:x>0.57831</cdr:x>
      <cdr:y>0.03386</cdr:y>
    </cdr:to>
    <cdr:sp macro="" textlink="">
      <cdr:nvSpPr>
        <cdr:cNvPr id="6" name="7 Rectángulo"/>
        <cdr:cNvSpPr/>
      </cdr:nvSpPr>
      <cdr:spPr>
        <a:xfrm xmlns:a="http://schemas.openxmlformats.org/drawingml/2006/main">
          <a:off x="6802906" y="198501"/>
          <a:ext cx="334460" cy="124016"/>
        </a:xfrm>
        <a:prstGeom xmlns:a="http://schemas.openxmlformats.org/drawingml/2006/main" prst="rect">
          <a:avLst/>
        </a:prstGeom>
        <a:solidFill xmlns:a="http://schemas.openxmlformats.org/drawingml/2006/main">
          <a:schemeClr val="accent5">
            <a:lumMod val="5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s-DO"/>
        </a:p>
      </cdr:txBody>
    </cdr:sp>
  </cdr:relSizeAnchor>
  <cdr:relSizeAnchor xmlns:cdr="http://schemas.openxmlformats.org/drawingml/2006/chartDrawing">
    <cdr:from>
      <cdr:x>0.42361</cdr:x>
      <cdr:y>0.02367</cdr:y>
    </cdr:from>
    <cdr:to>
      <cdr:x>0.45072</cdr:x>
      <cdr:y>0.03668</cdr:y>
    </cdr:to>
    <cdr:sp macro="" textlink="">
      <cdr:nvSpPr>
        <cdr:cNvPr id="7" name="7 Rectángulo"/>
        <cdr:cNvSpPr/>
      </cdr:nvSpPr>
      <cdr:spPr>
        <a:xfrm xmlns:a="http://schemas.openxmlformats.org/drawingml/2006/main">
          <a:off x="5228118" y="225457"/>
          <a:ext cx="334583" cy="123920"/>
        </a:xfrm>
        <a:prstGeom xmlns:a="http://schemas.openxmlformats.org/drawingml/2006/main" prst="rect">
          <a:avLst/>
        </a:prstGeom>
        <a:solidFill xmlns:a="http://schemas.openxmlformats.org/drawingml/2006/main">
          <a:schemeClr val="tx2">
            <a:lumMod val="60000"/>
            <a:lumOff val="4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s-DO"/>
        </a:p>
      </cdr:txBody>
    </cdr:sp>
  </cdr:relSizeAnchor>
</c:userShapes>
</file>

<file path=xl/drawings/drawing109.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0</xdr:colOff>
      <xdr:row>1</xdr:row>
      <xdr:rowOff>13607</xdr:rowOff>
    </xdr:to>
    <xdr:sp macro="" textlink="">
      <xdr:nvSpPr>
        <xdr:cNvPr id="4" name="3 Rectángulo redondeado"/>
        <xdr:cNvSpPr/>
      </xdr:nvSpPr>
      <xdr:spPr>
        <a:xfrm>
          <a:off x="0" y="0"/>
          <a:ext cx="12518571" cy="102053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Gestión de Fondos</a:t>
          </a:r>
        </a:p>
        <a:p>
          <a:pPr algn="ctr" eaLnBrk="1" fontAlgn="auto" latinLnBrk="0" hangingPunct="1"/>
          <a:r>
            <a:rPr lang="es-DO" sz="1800" b="1">
              <a:solidFill>
                <a:schemeClr val="lt1"/>
              </a:solidFill>
              <a:effectLst/>
              <a:latin typeface="+mn-lt"/>
              <a:ea typeface="+mn-ea"/>
              <a:cs typeface="+mn-cs"/>
            </a:rPr>
            <a:t>Distribución de las Inversiones de la  Cuenta Cuidado de la Salud por Instrumento</a:t>
          </a:r>
        </a:p>
        <a:p>
          <a:pPr algn="ctr" eaLnBrk="1" fontAlgn="auto" latinLnBrk="0" hangingPunct="1"/>
          <a:r>
            <a:rPr lang="es-DO" sz="1800" b="1">
              <a:solidFill>
                <a:schemeClr val="lt1"/>
              </a:solidFill>
              <a:effectLst/>
              <a:latin typeface="+mn-lt"/>
              <a:ea typeface="+mn-ea"/>
              <a:cs typeface="+mn-cs"/>
            </a:rPr>
            <a:t>Noviembre  2015</a:t>
          </a:r>
          <a:endParaRPr lang="es-DO" sz="2800">
            <a:effectLst/>
          </a:endParaRPr>
        </a:p>
      </xdr:txBody>
    </xdr:sp>
    <xdr:clientData/>
  </xdr:twoCellAnchor>
  <xdr:twoCellAnchor editAs="oneCell">
    <xdr:from>
      <xdr:col>0</xdr:col>
      <xdr:colOff>231321</xdr:colOff>
      <xdr:row>0</xdr:row>
      <xdr:rowOff>258535</xdr:rowOff>
    </xdr:from>
    <xdr:to>
      <xdr:col>0</xdr:col>
      <xdr:colOff>1040545</xdr:colOff>
      <xdr:row>0</xdr:row>
      <xdr:rowOff>803620</xdr:rowOff>
    </xdr:to>
    <xdr:pic>
      <xdr:nvPicPr>
        <xdr:cNvPr id="7" name="6 Imagen" descr="Logo_2x4.bmp">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231321" y="258535"/>
          <a:ext cx="809224" cy="545085"/>
        </a:xfrm>
        <a:prstGeom prst="rect">
          <a:avLst/>
        </a:prstGeom>
        <a:ln>
          <a:noFill/>
        </a:ln>
        <a:effectLst>
          <a:outerShdw blurRad="190500" algn="tl" rotWithShape="0">
            <a:srgbClr val="000000">
              <a:alpha val="70000"/>
            </a:srgbClr>
          </a:outerShdw>
        </a:effectLst>
      </xdr:spPr>
    </xdr:pic>
    <xdr:clientData/>
  </xdr:twoCellAnchor>
  <xdr:twoCellAnchor>
    <xdr:from>
      <xdr:col>0</xdr:col>
      <xdr:colOff>27215</xdr:colOff>
      <xdr:row>8</xdr:row>
      <xdr:rowOff>108857</xdr:rowOff>
    </xdr:from>
    <xdr:to>
      <xdr:col>9</xdr:col>
      <xdr:colOff>639536</xdr:colOff>
      <xdr:row>47</xdr:row>
      <xdr:rowOff>95249</xdr:rowOff>
    </xdr:to>
    <xdr:graphicFrame macro="">
      <xdr:nvGraphicFramePr>
        <xdr:cNvPr id="2" name="Gráfico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14</xdr:row>
      <xdr:rowOff>86591</xdr:rowOff>
    </xdr:from>
    <xdr:to>
      <xdr:col>13</xdr:col>
      <xdr:colOff>1285874</xdr:colOff>
      <xdr:row>59</xdr:row>
      <xdr:rowOff>103909</xdr:rowOff>
    </xdr:to>
    <xdr:graphicFrame macro="">
      <xdr:nvGraphicFramePr>
        <xdr:cNvPr id="7" name="6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1</xdr:colOff>
      <xdr:row>2</xdr:row>
      <xdr:rowOff>277089</xdr:rowOff>
    </xdr:to>
    <xdr:sp macro="" textlink="">
      <xdr:nvSpPr>
        <xdr:cNvPr id="6" name="5 Rectángulo redondeado"/>
        <xdr:cNvSpPr/>
      </xdr:nvSpPr>
      <xdr:spPr>
        <a:xfrm>
          <a:off x="0" y="0"/>
          <a:ext cx="18166774" cy="128154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200" b="1">
              <a:solidFill>
                <a:schemeClr val="lt1"/>
              </a:solidFill>
              <a:effectLst/>
              <a:latin typeface="+mn-lt"/>
              <a:ea typeface="+mn-ea"/>
              <a:cs typeface="+mn-cs"/>
            </a:rPr>
            <a:t> Datos Generales del Sistema Dominicano de la Seguridad Social (SDSS)</a:t>
          </a:r>
        </a:p>
        <a:p>
          <a:pPr algn="ctr" eaLnBrk="1" fontAlgn="auto" latinLnBrk="0" hangingPunct="1"/>
          <a:r>
            <a:rPr lang="es-DO" sz="2200" b="1">
              <a:solidFill>
                <a:schemeClr val="lt1"/>
              </a:solidFill>
              <a:effectLst/>
              <a:latin typeface="+mn-lt"/>
              <a:ea typeface="+mn-ea"/>
              <a:cs typeface="+mn-cs"/>
            </a:rPr>
            <a:t>Empresas Afiliadas Activas al SDSS, por Cantidad de Empleados Registrados en TSS</a:t>
          </a:r>
        </a:p>
        <a:p>
          <a:pPr algn="ctr" eaLnBrk="1" fontAlgn="auto" latinLnBrk="0" hangingPunct="1"/>
          <a:r>
            <a:rPr lang="es-DO" sz="2200" b="1">
              <a:solidFill>
                <a:schemeClr val="lt1"/>
              </a:solidFill>
              <a:effectLst/>
              <a:latin typeface="+mn-lt"/>
              <a:ea typeface="+mn-ea"/>
              <a:cs typeface="+mn-cs"/>
            </a:rPr>
            <a:t>Noviembre 2015</a:t>
          </a:r>
          <a:endParaRPr lang="es-DO" sz="2200">
            <a:effectLst/>
          </a:endParaRPr>
        </a:p>
      </xdr:txBody>
    </xdr:sp>
    <xdr:clientData/>
  </xdr:twoCellAnchor>
  <xdr:twoCellAnchor editAs="oneCell">
    <xdr:from>
      <xdr:col>0</xdr:col>
      <xdr:colOff>710044</xdr:colOff>
      <xdr:row>1</xdr:row>
      <xdr:rowOff>69273</xdr:rowOff>
    </xdr:from>
    <xdr:to>
      <xdr:col>1</xdr:col>
      <xdr:colOff>121226</xdr:colOff>
      <xdr:row>1</xdr:row>
      <xdr:rowOff>760722</xdr:rowOff>
    </xdr:to>
    <xdr:pic>
      <xdr:nvPicPr>
        <xdr:cNvPr id="8" name="7 Imagen" descr="logo_2x4.bmp"/>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10044" y="242455"/>
          <a:ext cx="1039091" cy="6914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710044</xdr:colOff>
      <xdr:row>1</xdr:row>
      <xdr:rowOff>69272</xdr:rowOff>
    </xdr:from>
    <xdr:to>
      <xdr:col>1</xdr:col>
      <xdr:colOff>121227</xdr:colOff>
      <xdr:row>2</xdr:row>
      <xdr:rowOff>8972</xdr:rowOff>
    </xdr:to>
    <xdr:pic>
      <xdr:nvPicPr>
        <xdr:cNvPr id="5" name="9 Imagen" descr="logo_2x4.bmp">
          <a:hlinkClick xmlns:r="http://schemas.openxmlformats.org/officeDocument/2006/relationships" r:id="rId3"/>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10044" y="242454"/>
          <a:ext cx="1039092" cy="7709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0.xml><?xml version="1.0" encoding="utf-8"?>
<xdr:wsDr xmlns:xdr="http://schemas.openxmlformats.org/drawingml/2006/spreadsheetDrawing" xmlns:a="http://schemas.openxmlformats.org/drawingml/2006/main">
  <xdr:twoCellAnchor>
    <xdr:from>
      <xdr:col>0</xdr:col>
      <xdr:colOff>0</xdr:colOff>
      <xdr:row>7</xdr:row>
      <xdr:rowOff>81643</xdr:rowOff>
    </xdr:from>
    <xdr:to>
      <xdr:col>10</xdr:col>
      <xdr:colOff>544286</xdr:colOff>
      <xdr:row>43</xdr:row>
      <xdr:rowOff>68036</xdr:rowOff>
    </xdr:to>
    <xdr:graphicFrame macro="">
      <xdr:nvGraphicFramePr>
        <xdr:cNvPr id="3" name="2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10</xdr:col>
      <xdr:colOff>639536</xdr:colOff>
      <xdr:row>0</xdr:row>
      <xdr:rowOff>884464</xdr:rowOff>
    </xdr:to>
    <xdr:sp macro="" textlink="">
      <xdr:nvSpPr>
        <xdr:cNvPr id="4" name="3 Rectángulo redondeado"/>
        <xdr:cNvSpPr/>
      </xdr:nvSpPr>
      <xdr:spPr>
        <a:xfrm>
          <a:off x="0" y="0"/>
          <a:ext cx="11157857" cy="88446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Gestión de Fondos</a:t>
          </a:r>
        </a:p>
        <a:p>
          <a:pPr algn="ctr" eaLnBrk="1" fontAlgn="auto" latinLnBrk="0" hangingPunct="1"/>
          <a:r>
            <a:rPr lang="es-DO" sz="1800" b="1">
              <a:solidFill>
                <a:schemeClr val="lt1"/>
              </a:solidFill>
              <a:effectLst/>
              <a:latin typeface="+mn-lt"/>
              <a:ea typeface="+mn-ea"/>
              <a:cs typeface="+mn-cs"/>
            </a:rPr>
            <a:t>Distribución de las Inversiones del SFS del RC por Cuenta</a:t>
          </a:r>
        </a:p>
        <a:p>
          <a:pPr algn="ctr" eaLnBrk="1" fontAlgn="auto" latinLnBrk="0" hangingPunct="1"/>
          <a:r>
            <a:rPr lang="es-DO" sz="1800" b="1">
              <a:solidFill>
                <a:schemeClr val="lt1"/>
              </a:solidFill>
              <a:effectLst/>
              <a:latin typeface="+mn-lt"/>
              <a:ea typeface="+mn-ea"/>
              <a:cs typeface="+mn-cs"/>
            </a:rPr>
            <a:t>Noviembre 2015</a:t>
          </a:r>
          <a:endParaRPr lang="es-DO" sz="2800">
            <a:effectLst/>
          </a:endParaRPr>
        </a:p>
      </xdr:txBody>
    </xdr:sp>
    <xdr:clientData/>
  </xdr:twoCellAnchor>
  <xdr:twoCellAnchor editAs="oneCell">
    <xdr:from>
      <xdr:col>0</xdr:col>
      <xdr:colOff>435429</xdr:colOff>
      <xdr:row>0</xdr:row>
      <xdr:rowOff>190502</xdr:rowOff>
    </xdr:from>
    <xdr:to>
      <xdr:col>0</xdr:col>
      <xdr:colOff>1199563</xdr:colOff>
      <xdr:row>0</xdr:row>
      <xdr:rowOff>680358</xdr:rowOff>
    </xdr:to>
    <xdr:pic>
      <xdr:nvPicPr>
        <xdr:cNvPr id="5" name="3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35429" y="190502"/>
          <a:ext cx="764134" cy="4898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1.xml><?xml version="1.0" encoding="utf-8"?>
<xdr:wsDr xmlns:xdr="http://schemas.openxmlformats.org/drawingml/2006/spreadsheetDrawing" xmlns:a="http://schemas.openxmlformats.org/drawingml/2006/main">
  <xdr:twoCellAnchor>
    <xdr:from>
      <xdr:col>0</xdr:col>
      <xdr:colOff>0</xdr:colOff>
      <xdr:row>18</xdr:row>
      <xdr:rowOff>17318</xdr:rowOff>
    </xdr:from>
    <xdr:to>
      <xdr:col>11</xdr:col>
      <xdr:colOff>917863</xdr:colOff>
      <xdr:row>61</xdr:row>
      <xdr:rowOff>173182</xdr:rowOff>
    </xdr:to>
    <xdr:graphicFrame macro="">
      <xdr:nvGraphicFramePr>
        <xdr:cNvPr id="158833"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27214</xdr:rowOff>
    </xdr:from>
    <xdr:to>
      <xdr:col>12</xdr:col>
      <xdr:colOff>0</xdr:colOff>
      <xdr:row>1</xdr:row>
      <xdr:rowOff>54428</xdr:rowOff>
    </xdr:to>
    <xdr:sp macro="" textlink="">
      <xdr:nvSpPr>
        <xdr:cNvPr id="4" name="3 Rectángulo redondeado"/>
        <xdr:cNvSpPr/>
      </xdr:nvSpPr>
      <xdr:spPr>
        <a:xfrm>
          <a:off x="0" y="27214"/>
          <a:ext cx="14682107" cy="89807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Seguro Familiar de Salud (SFS) del Régimen Subsidiado (RS)</a:t>
          </a:r>
        </a:p>
        <a:p>
          <a:pPr algn="ctr" eaLnBrk="1" fontAlgn="auto" latinLnBrk="0" hangingPunct="1"/>
          <a:r>
            <a:rPr lang="es-DO" sz="2400" b="1">
              <a:solidFill>
                <a:schemeClr val="lt1"/>
              </a:solidFill>
              <a:effectLst/>
              <a:latin typeface="+mn-lt"/>
              <a:ea typeface="+mn-ea"/>
              <a:cs typeface="+mn-cs"/>
            </a:rPr>
            <a:t>Aporte  del Gobierno Central y Pago a SENASA</a:t>
          </a:r>
        </a:p>
        <a:p>
          <a:pPr algn="ctr" eaLnBrk="1" fontAlgn="auto" latinLnBrk="0" hangingPunct="1"/>
          <a:r>
            <a:rPr lang="es-DO" sz="2400" b="1">
              <a:solidFill>
                <a:schemeClr val="lt1"/>
              </a:solidFill>
              <a:effectLst/>
              <a:latin typeface="+mn-lt"/>
              <a:ea typeface="+mn-ea"/>
              <a:cs typeface="+mn-cs"/>
            </a:rPr>
            <a:t>Período: 2003 -  Noviembre 2015</a:t>
          </a:r>
          <a:endParaRPr lang="es-DO" sz="3600">
            <a:effectLst/>
          </a:endParaRPr>
        </a:p>
      </xdr:txBody>
    </xdr:sp>
    <xdr:clientData/>
  </xdr:twoCellAnchor>
  <xdr:twoCellAnchor editAs="oneCell">
    <xdr:from>
      <xdr:col>0</xdr:col>
      <xdr:colOff>476250</xdr:colOff>
      <xdr:row>0</xdr:row>
      <xdr:rowOff>258536</xdr:rowOff>
    </xdr:from>
    <xdr:to>
      <xdr:col>0</xdr:col>
      <xdr:colOff>1244494</xdr:colOff>
      <xdr:row>0</xdr:row>
      <xdr:rowOff>772886</xdr:rowOff>
    </xdr:to>
    <xdr:pic>
      <xdr:nvPicPr>
        <xdr:cNvPr id="5" name="7 Imagen" descr="logo_2x4.bmp"/>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76250" y="258536"/>
          <a:ext cx="768244"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355023</xdr:colOff>
      <xdr:row>0</xdr:row>
      <xdr:rowOff>258536</xdr:rowOff>
    </xdr:from>
    <xdr:to>
      <xdr:col>0</xdr:col>
      <xdr:colOff>1281546</xdr:colOff>
      <xdr:row>0</xdr:row>
      <xdr:rowOff>927040</xdr:rowOff>
    </xdr:to>
    <xdr:pic>
      <xdr:nvPicPr>
        <xdr:cNvPr id="6" name="6 Imagen" descr="logo_2x4.bmp">
          <a:hlinkClick xmlns:r="http://schemas.openxmlformats.org/officeDocument/2006/relationships" r:id="rId3"/>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55023" y="258536"/>
          <a:ext cx="926523" cy="6685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2.xml><?xml version="1.0" encoding="utf-8"?>
<c:userShapes xmlns:c="http://schemas.openxmlformats.org/drawingml/2006/chart">
  <cdr:relSizeAnchor xmlns:cdr="http://schemas.openxmlformats.org/drawingml/2006/chartDrawing">
    <cdr:from>
      <cdr:x>0.0472</cdr:x>
      <cdr:y>0.92089</cdr:y>
    </cdr:from>
    <cdr:to>
      <cdr:x>0.12737</cdr:x>
      <cdr:y>0.9675</cdr:y>
    </cdr:to>
    <cdr:pic>
      <cdr:nvPicPr>
        <cdr:cNvPr id="2"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601352" y="5087472"/>
          <a:ext cx="1021498" cy="257472"/>
        </a:xfrm>
        <a:prstGeom xmlns:a="http://schemas.openxmlformats.org/drawingml/2006/main" prst="rect">
          <a:avLst/>
        </a:prstGeom>
      </cdr:spPr>
    </cdr:pic>
  </cdr:relSizeAnchor>
</c:userShapes>
</file>

<file path=xl/drawings/drawing113.xml><?xml version="1.0" encoding="utf-8"?>
<xdr:wsDr xmlns:xdr="http://schemas.openxmlformats.org/drawingml/2006/spreadsheetDrawing" xmlns:a="http://schemas.openxmlformats.org/drawingml/2006/main">
  <xdr:twoCellAnchor editAs="oneCell">
    <xdr:from>
      <xdr:col>1</xdr:col>
      <xdr:colOff>400050</xdr:colOff>
      <xdr:row>0</xdr:row>
      <xdr:rowOff>38100</xdr:rowOff>
    </xdr:from>
    <xdr:to>
      <xdr:col>2</xdr:col>
      <xdr:colOff>172305</xdr:colOff>
      <xdr:row>0</xdr:row>
      <xdr:rowOff>186012</xdr:rowOff>
    </xdr:to>
    <xdr:pic>
      <xdr:nvPicPr>
        <xdr:cNvPr id="3"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162050" y="419100"/>
          <a:ext cx="1123950" cy="735824"/>
        </a:xfrm>
        <a:prstGeom prst="rect">
          <a:avLst/>
        </a:prstGeom>
        <a:ln>
          <a:noFill/>
        </a:ln>
        <a:effectLst>
          <a:softEdge rad="112500"/>
        </a:effectLst>
      </xdr:spPr>
    </xdr:pic>
    <xdr:clientData/>
  </xdr:twoCellAnchor>
  <xdr:twoCellAnchor>
    <xdr:from>
      <xdr:col>0</xdr:col>
      <xdr:colOff>0</xdr:colOff>
      <xdr:row>15</xdr:row>
      <xdr:rowOff>149678</xdr:rowOff>
    </xdr:from>
    <xdr:to>
      <xdr:col>11</xdr:col>
      <xdr:colOff>1428750</xdr:colOff>
      <xdr:row>50</xdr:row>
      <xdr:rowOff>107155</xdr:rowOff>
    </xdr:to>
    <xdr:graphicFrame macro="">
      <xdr:nvGraphicFramePr>
        <xdr:cNvPr id="159970"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400050</xdr:colOff>
      <xdr:row>0</xdr:row>
      <xdr:rowOff>38100</xdr:rowOff>
    </xdr:from>
    <xdr:to>
      <xdr:col>2</xdr:col>
      <xdr:colOff>172305</xdr:colOff>
      <xdr:row>0</xdr:row>
      <xdr:rowOff>186012</xdr:rowOff>
    </xdr:to>
    <xdr:pic>
      <xdr:nvPicPr>
        <xdr:cNvPr id="5" name="4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162050" y="38100"/>
          <a:ext cx="1186718" cy="147912"/>
        </a:xfrm>
        <a:prstGeom prst="rect">
          <a:avLst/>
        </a:prstGeom>
        <a:ln>
          <a:noFill/>
        </a:ln>
        <a:effectLst>
          <a:softEdge rad="112500"/>
        </a:effectLst>
      </xdr:spPr>
    </xdr:pic>
    <xdr:clientData/>
  </xdr:twoCellAnchor>
  <xdr:twoCellAnchor>
    <xdr:from>
      <xdr:col>0</xdr:col>
      <xdr:colOff>0</xdr:colOff>
      <xdr:row>0</xdr:row>
      <xdr:rowOff>0</xdr:rowOff>
    </xdr:from>
    <xdr:to>
      <xdr:col>11</xdr:col>
      <xdr:colOff>1488281</xdr:colOff>
      <xdr:row>0</xdr:row>
      <xdr:rowOff>1074964</xdr:rowOff>
    </xdr:to>
    <xdr:sp macro="" textlink="">
      <xdr:nvSpPr>
        <xdr:cNvPr id="7" name="6 Rectángulo redondeado"/>
        <xdr:cNvSpPr/>
      </xdr:nvSpPr>
      <xdr:spPr>
        <a:xfrm>
          <a:off x="0" y="0"/>
          <a:ext cx="13067960" cy="107496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Familiar de Salud (SFS) del Régimen Subsidiado (RS)</a:t>
          </a:r>
        </a:p>
        <a:p>
          <a:pPr algn="ctr" eaLnBrk="1" fontAlgn="auto" latinLnBrk="0" hangingPunct="1"/>
          <a:r>
            <a:rPr lang="es-DO" sz="1800" b="1">
              <a:solidFill>
                <a:schemeClr val="lt1"/>
              </a:solidFill>
              <a:effectLst/>
              <a:latin typeface="+mn-lt"/>
              <a:ea typeface="+mn-ea"/>
              <a:cs typeface="+mn-cs"/>
            </a:rPr>
            <a:t>Aportes y Pagos Mensual </a:t>
          </a:r>
        </a:p>
        <a:p>
          <a:pPr algn="ctr" eaLnBrk="1" fontAlgn="auto" latinLnBrk="0" hangingPunct="1"/>
          <a:r>
            <a:rPr lang="es-DO" sz="1400" b="1">
              <a:solidFill>
                <a:schemeClr val="lt1"/>
              </a:solidFill>
              <a:effectLst/>
              <a:latin typeface="+mn-lt"/>
              <a:ea typeface="+mn-ea"/>
              <a:cs typeface="+mn-cs"/>
            </a:rPr>
            <a:t>Período: Noviembre 2014 - Noviembre  2015</a:t>
          </a:r>
          <a:endParaRPr lang="es-DO" sz="2000">
            <a:effectLst/>
          </a:endParaRPr>
        </a:p>
      </xdr:txBody>
    </xdr:sp>
    <xdr:clientData/>
  </xdr:twoCellAnchor>
  <xdr:twoCellAnchor editAs="oneCell">
    <xdr:from>
      <xdr:col>0</xdr:col>
      <xdr:colOff>452440</xdr:colOff>
      <xdr:row>0</xdr:row>
      <xdr:rowOff>189270</xdr:rowOff>
    </xdr:from>
    <xdr:to>
      <xdr:col>1</xdr:col>
      <xdr:colOff>540802</xdr:colOff>
      <xdr:row>0</xdr:row>
      <xdr:rowOff>802822</xdr:rowOff>
    </xdr:to>
    <xdr:pic>
      <xdr:nvPicPr>
        <xdr:cNvPr id="8" name="6 Imagen" descr="logo_2x4.bmp">
          <a:hlinkClick xmlns:r="http://schemas.openxmlformats.org/officeDocument/2006/relationships" r:id="rId4"/>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52440" y="189270"/>
          <a:ext cx="850362" cy="6135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4.xml><?xml version="1.0" encoding="utf-8"?>
<c:userShapes xmlns:c="http://schemas.openxmlformats.org/drawingml/2006/chart">
  <cdr:relSizeAnchor xmlns:cdr="http://schemas.openxmlformats.org/drawingml/2006/chartDrawing">
    <cdr:from>
      <cdr:x>0.02039</cdr:x>
      <cdr:y>0.91343</cdr:y>
    </cdr:from>
    <cdr:to>
      <cdr:x>0.13557</cdr:x>
      <cdr:y>0.96267</cdr:y>
    </cdr:to>
    <cdr:sp macro="" textlink="">
      <cdr:nvSpPr>
        <cdr:cNvPr id="2" name="1 CuadroTexto"/>
        <cdr:cNvSpPr txBox="1"/>
      </cdr:nvSpPr>
      <cdr:spPr>
        <a:xfrm xmlns:a="http://schemas.openxmlformats.org/drawingml/2006/main">
          <a:off x="265214" y="6155540"/>
          <a:ext cx="1498310" cy="3318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800" b="1"/>
            <a:t>Fuente: </a:t>
          </a:r>
          <a:r>
            <a:rPr lang="es-ES" sz="1800"/>
            <a:t>TSS</a:t>
          </a:r>
        </a:p>
      </cdr:txBody>
    </cdr:sp>
  </cdr:relSizeAnchor>
</c:userShapes>
</file>

<file path=xl/drawings/drawing115.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752475</xdr:colOff>
      <xdr:row>3</xdr:row>
      <xdr:rowOff>302559</xdr:rowOff>
    </xdr:to>
    <xdr:sp macro="" textlink="">
      <xdr:nvSpPr>
        <xdr:cNvPr id="2" name="3 Rectángulo redondeado"/>
        <xdr:cNvSpPr/>
      </xdr:nvSpPr>
      <xdr:spPr>
        <a:xfrm>
          <a:off x="0" y="0"/>
          <a:ext cx="9672357" cy="87405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Régimen Especial Transitorio para la Salud de Pensionados Ley 1896 - 379</a:t>
          </a:r>
        </a:p>
        <a:p>
          <a:pPr algn="ctr" eaLnBrk="1" fontAlgn="auto" latinLnBrk="0" hangingPunct="1"/>
          <a:r>
            <a:rPr lang="es-DO" sz="1600" b="1">
              <a:solidFill>
                <a:schemeClr val="lt1"/>
              </a:solidFill>
              <a:effectLst/>
              <a:latin typeface="+mn-lt"/>
              <a:ea typeface="+mn-ea"/>
              <a:cs typeface="+mn-cs"/>
            </a:rPr>
            <a:t>Pagos Anuales del  SFSP </a:t>
          </a:r>
          <a:br>
            <a:rPr lang="es-DO" sz="1600" b="1">
              <a:solidFill>
                <a:schemeClr val="lt1"/>
              </a:solidFill>
              <a:effectLst/>
              <a:latin typeface="+mn-lt"/>
              <a:ea typeface="+mn-ea"/>
              <a:cs typeface="+mn-cs"/>
            </a:rPr>
          </a:br>
          <a:r>
            <a:rPr lang="es-DO" sz="1600" b="1">
              <a:solidFill>
                <a:schemeClr val="lt1"/>
              </a:solidFill>
              <a:effectLst/>
              <a:latin typeface="+mn-lt"/>
              <a:ea typeface="+mn-ea"/>
              <a:cs typeface="+mn-cs"/>
            </a:rPr>
            <a:t>Período:  Julio 2010 -  Noviembre 2015</a:t>
          </a:r>
          <a:endParaRPr lang="es-DO" sz="2400">
            <a:effectLst/>
          </a:endParaRPr>
        </a:p>
      </xdr:txBody>
    </xdr:sp>
    <xdr:clientData/>
  </xdr:twoCellAnchor>
  <xdr:twoCellAnchor>
    <xdr:from>
      <xdr:col>0</xdr:col>
      <xdr:colOff>44824</xdr:colOff>
      <xdr:row>14</xdr:row>
      <xdr:rowOff>33616</xdr:rowOff>
    </xdr:from>
    <xdr:to>
      <xdr:col>9</xdr:col>
      <xdr:colOff>649940</xdr:colOff>
      <xdr:row>51</xdr:row>
      <xdr:rowOff>56029</xdr:rowOff>
    </xdr:to>
    <xdr:graphicFrame macro="">
      <xdr:nvGraphicFramePr>
        <xdr:cNvPr id="3"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280147</xdr:colOff>
      <xdr:row>0</xdr:row>
      <xdr:rowOff>134471</xdr:rowOff>
    </xdr:from>
    <xdr:to>
      <xdr:col>0</xdr:col>
      <xdr:colOff>1032622</xdr:colOff>
      <xdr:row>3</xdr:row>
      <xdr:rowOff>105896</xdr:rowOff>
    </xdr:to>
    <xdr:pic>
      <xdr:nvPicPr>
        <xdr:cNvPr id="5"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80147" y="134471"/>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6.xml><?xml version="1.0" encoding="utf-8"?>
<c:userShapes xmlns:c="http://schemas.openxmlformats.org/drawingml/2006/chart">
  <cdr:relSizeAnchor xmlns:cdr="http://schemas.openxmlformats.org/drawingml/2006/chartDrawing">
    <cdr:from>
      <cdr:x>0.05485</cdr:x>
      <cdr:y>0.92795</cdr:y>
    </cdr:from>
    <cdr:to>
      <cdr:x>0.19185</cdr:x>
      <cdr:y>0.97147</cdr:y>
    </cdr:to>
    <cdr:sp macro="" textlink="">
      <cdr:nvSpPr>
        <cdr:cNvPr id="2" name="1 CuadroTexto"/>
        <cdr:cNvSpPr txBox="1"/>
      </cdr:nvSpPr>
      <cdr:spPr>
        <a:xfrm xmlns:a="http://schemas.openxmlformats.org/drawingml/2006/main">
          <a:off x="599888" y="6561419"/>
          <a:ext cx="1498310" cy="30778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400" b="1"/>
            <a:t>Fuente: </a:t>
          </a:r>
          <a:r>
            <a:rPr lang="es-ES" sz="1400"/>
            <a:t>TSS</a:t>
          </a:r>
        </a:p>
      </cdr:txBody>
    </cdr:sp>
  </cdr:relSizeAnchor>
</c:userShapes>
</file>

<file path=xl/drawings/drawing117.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0</xdr:colOff>
      <xdr:row>4</xdr:row>
      <xdr:rowOff>68036</xdr:rowOff>
    </xdr:to>
    <xdr:sp macro="" textlink="">
      <xdr:nvSpPr>
        <xdr:cNvPr id="2" name="3 Rectángulo redondeado"/>
        <xdr:cNvSpPr/>
      </xdr:nvSpPr>
      <xdr:spPr>
        <a:xfrm>
          <a:off x="0" y="0"/>
          <a:ext cx="12192000" cy="83003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Régimen Especial Transitorio para la Salud de Pensionados Ley 1896 - 379</a:t>
          </a:r>
        </a:p>
        <a:p>
          <a:pPr algn="ctr" eaLnBrk="1" fontAlgn="auto" latinLnBrk="0" hangingPunct="1"/>
          <a:r>
            <a:rPr lang="es-DO" sz="1800" b="1">
              <a:solidFill>
                <a:schemeClr val="lt1"/>
              </a:solidFill>
              <a:effectLst/>
              <a:latin typeface="+mn-lt"/>
              <a:ea typeface="+mn-ea"/>
              <a:cs typeface="+mn-cs"/>
            </a:rPr>
            <a:t>Pagos Mensuales  del  SFSP por  ARS</a:t>
          </a:r>
        </a:p>
        <a:p>
          <a:pPr algn="ctr" eaLnBrk="1" fontAlgn="auto" latinLnBrk="0" hangingPunct="1"/>
          <a:r>
            <a:rPr lang="es-DO" sz="1800" b="1">
              <a:solidFill>
                <a:schemeClr val="lt1"/>
              </a:solidFill>
              <a:effectLst/>
              <a:latin typeface="+mn-lt"/>
              <a:ea typeface="+mn-ea"/>
              <a:cs typeface="+mn-cs"/>
            </a:rPr>
            <a:t>Período: Noviembre 2014 - Noviembre 2015</a:t>
          </a:r>
          <a:endParaRPr lang="es-DO" sz="2800">
            <a:effectLst/>
          </a:endParaRPr>
        </a:p>
      </xdr:txBody>
    </xdr:sp>
    <xdr:clientData/>
  </xdr:twoCellAnchor>
  <xdr:twoCellAnchor>
    <xdr:from>
      <xdr:col>0</xdr:col>
      <xdr:colOff>27214</xdr:colOff>
      <xdr:row>19</xdr:row>
      <xdr:rowOff>108857</xdr:rowOff>
    </xdr:from>
    <xdr:to>
      <xdr:col>12</xdr:col>
      <xdr:colOff>598714</xdr:colOff>
      <xdr:row>52</xdr:row>
      <xdr:rowOff>149679</xdr:rowOff>
    </xdr:to>
    <xdr:graphicFrame macro="">
      <xdr:nvGraphicFramePr>
        <xdr:cNvPr id="3"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392205</xdr:colOff>
      <xdr:row>0</xdr:row>
      <xdr:rowOff>112059</xdr:rowOff>
    </xdr:from>
    <xdr:to>
      <xdr:col>1</xdr:col>
      <xdr:colOff>360268</xdr:colOff>
      <xdr:row>3</xdr:row>
      <xdr:rowOff>83484</xdr:rowOff>
    </xdr:to>
    <xdr:pic>
      <xdr:nvPicPr>
        <xdr:cNvPr id="4"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2205" y="112059"/>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8.xml><?xml version="1.0" encoding="utf-8"?>
<xdr:wsDr xmlns:xdr="http://schemas.openxmlformats.org/drawingml/2006/spreadsheetDrawing" xmlns:a="http://schemas.openxmlformats.org/drawingml/2006/main">
  <xdr:twoCellAnchor editAs="oneCell">
    <xdr:from>
      <xdr:col>4</xdr:col>
      <xdr:colOff>89648</xdr:colOff>
      <xdr:row>11</xdr:row>
      <xdr:rowOff>112059</xdr:rowOff>
    </xdr:from>
    <xdr:to>
      <xdr:col>8</xdr:col>
      <xdr:colOff>647196</xdr:colOff>
      <xdr:row>38</xdr:row>
      <xdr:rowOff>49696</xdr:rowOff>
    </xdr:to>
    <xdr:pic>
      <xdr:nvPicPr>
        <xdr:cNvPr id="7" name="1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137648" y="2286000"/>
          <a:ext cx="4423577" cy="5081137"/>
        </a:xfrm>
        <a:prstGeom prst="rect">
          <a:avLst/>
        </a:prstGeom>
        <a:noFill/>
        <a:ln>
          <a:noFill/>
        </a:ln>
      </xdr:spPr>
    </xdr:pic>
    <xdr:clientData/>
  </xdr:twoCellAnchor>
  <xdr:twoCellAnchor>
    <xdr:from>
      <xdr:col>0</xdr:col>
      <xdr:colOff>33618</xdr:colOff>
      <xdr:row>4</xdr:row>
      <xdr:rowOff>190501</xdr:rowOff>
    </xdr:from>
    <xdr:to>
      <xdr:col>11</xdr:col>
      <xdr:colOff>1299882</xdr:colOff>
      <xdr:row>49</xdr:row>
      <xdr:rowOff>56030</xdr:rowOff>
    </xdr:to>
    <xdr:sp macro="" textlink="">
      <xdr:nvSpPr>
        <xdr:cNvPr id="3" name="CuadroTexto 2"/>
        <xdr:cNvSpPr txBox="1"/>
      </xdr:nvSpPr>
      <xdr:spPr>
        <a:xfrm>
          <a:off x="33618" y="952501"/>
          <a:ext cx="11497235" cy="851647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400">
              <a:solidFill>
                <a:sysClr val="windowText" lastClr="000000"/>
              </a:solidFill>
              <a:effectLst/>
              <a:latin typeface="+mn-lt"/>
              <a:ea typeface="+mn-ea"/>
              <a:cs typeface="+mn-cs"/>
            </a:rPr>
            <a:t>La dispersión de los fondos correspondientes a las aportes de los trabajadores asalariados y empleadores al Seguro de Vejez, Discapacidad y Sobrevivencia se distribuye a través de las cinco cuentas que pertenecen a dicho  seguro: a) Cuenta de Capitalización Individual, la cual es un registro individual unificado de los aportes que de conformidad con el artículo 59 de la Ley 87-01, son propiedad exclusiva de cada afiliado. Este registro se efectúa en el fondo de pensiones  de elección del trabajador y comprende todos los aportes voluntarios y obligatorios, el monto que corresponda al bono de reconocimiento  cuando se haga efectivo, si aplica, pago de prestaciones y la rentabilidad que le genere el fondo administrado;  o al Cuenta de Reparto en caso de que el trabajador esté afiliado a un fondo de esta naturaleza y no a una AFP; b) Cuenta Seguro de Vida, corresponde al 1% del salario cotizable, el cual es pagado a las compañías de seguro autorizadas, y sirve para proteger al afiliado en caso de discapacidad y sobrevivencia; c) Cuenta Comisión AFP, comisión mensual  por administración del fondo personal, la cual no puede ser mayor del 0.5% del salario cotizable; d) Cuenta Comisión Superintendencia de Pensiones (SIPEN), comisión destinada para los gastos operativos de SIPEN, corresponde al 0.07% del salario cotizable y e) Cuenta Fondo de Solidaridad Social (FSS), fondo constituido para favorecer a los afiliados de bajos ingresos mayores de 65 años de edad, que hayan cotizado durante por lo menos 300 meses en cualquiera de los sistemas de pensión vigentes y cuya cuenta personal no acumule lo suficiente para cubrir una pensión mínima.</a:t>
          </a:r>
        </a:p>
        <a:p>
          <a:endParaRPr lang="es-DO" sz="1400">
            <a:solidFill>
              <a:srgbClr val="FF0000"/>
            </a:solidFill>
            <a:effectLst/>
            <a:latin typeface="+mn-lt"/>
            <a:ea typeface="+mn-ea"/>
            <a:cs typeface="+mn-cs"/>
          </a:endParaRPr>
        </a:p>
        <a:p>
          <a:r>
            <a:rPr lang="es-DO" sz="1400">
              <a:solidFill>
                <a:sysClr val="windowText" lastClr="000000"/>
              </a:solidFill>
              <a:effectLst/>
              <a:latin typeface="+mn-lt"/>
              <a:ea typeface="+mn-ea"/>
              <a:cs typeface="+mn-cs"/>
            </a:rPr>
            <a:t>Los fondos desembolsado al Seguro de Vejez, Discapacidad y Sobrevivencia (SVDS) por cuentas, durante el período julio 2003, fecha en que inició el recaudo para el SVDS del RC, hasta noviembre de 2015 ascienden a un monto total de RD$ 247,459,687,313.32,</a:t>
          </a:r>
          <a:r>
            <a:rPr lang="es-DO" sz="1400" baseline="0">
              <a:solidFill>
                <a:sysClr val="windowText" lastClr="000000"/>
              </a:solidFill>
              <a:effectLst/>
              <a:latin typeface="+mn-lt"/>
              <a:ea typeface="+mn-ea"/>
              <a:cs typeface="+mn-cs"/>
            </a:rPr>
            <a:t>  d</a:t>
          </a:r>
          <a:r>
            <a:rPr lang="es-DO" sz="1400">
              <a:solidFill>
                <a:sysClr val="windowText" lastClr="000000"/>
              </a:solidFill>
              <a:effectLst/>
              <a:latin typeface="+mn-lt"/>
              <a:ea typeface="+mn-ea"/>
              <a:cs typeface="+mn-cs"/>
            </a:rPr>
            <a:t>e los cuales RD$ 197,344,330,560.23 han si asignados a Capitalización Individual y Reparto, representando un 79.7%; al Seguro de Vida RD$21,324,427,997.80 (8.6%); Comisión AFP RD$12,193,984,007.96</a:t>
          </a:r>
          <a:r>
            <a:rPr lang="es-DO" sz="1400" baseline="0">
              <a:solidFill>
                <a:sysClr val="windowText" lastClr="000000"/>
              </a:solidFill>
              <a:effectLst/>
              <a:latin typeface="+mn-lt"/>
              <a:ea typeface="+mn-ea"/>
              <a:cs typeface="+mn-cs"/>
            </a:rPr>
            <a:t> </a:t>
          </a:r>
          <a:r>
            <a:rPr lang="es-DO" sz="1400">
              <a:solidFill>
                <a:sysClr val="windowText" lastClr="000000"/>
              </a:solidFill>
              <a:effectLst/>
              <a:latin typeface="+mn-lt"/>
              <a:ea typeface="+mn-ea"/>
              <a:cs typeface="+mn-cs"/>
            </a:rPr>
            <a:t>(4.9%);  Comisión SIPEN RD$1,897,389,927.35 (0.8%) y por último RD$9,684,575,762.91 desembolsado al Fondo de Solidaridad Social (FSS), equivalente al 3.9% del total de la recaudación individualizada. Cabe destacar que el FSS representa el 2.7% del patrimonio total del Sistema Dominicano de Pensiones.  </a:t>
          </a:r>
        </a:p>
        <a:p>
          <a:endParaRPr lang="es-DO" sz="1400">
            <a:solidFill>
              <a:srgbClr val="FF0000"/>
            </a:solidFill>
            <a:effectLst/>
            <a:latin typeface="+mn-lt"/>
            <a:ea typeface="+mn-ea"/>
            <a:cs typeface="+mn-cs"/>
          </a:endParaRPr>
        </a:p>
        <a:p>
          <a:r>
            <a:rPr lang="es-DO" sz="1400">
              <a:solidFill>
                <a:sysClr val="windowText" lastClr="000000"/>
              </a:solidFill>
              <a:effectLst/>
              <a:latin typeface="+mn-lt"/>
              <a:ea typeface="+mn-ea"/>
              <a:cs typeface="+mn-cs"/>
            </a:rPr>
            <a:t>El patrimonio de los fondos de pensiones está constituido por cinco tipos de fondos: Capitalización Individual (CCI), Planes Complementarios, fondo de Solidaridad Social, Planes de reparto Individualizado y por último, el Fondo  del Instituto Nacional de Bienestar Magisterial (INABIMA). </a:t>
          </a:r>
        </a:p>
        <a:p>
          <a:endParaRPr lang="es-DO" sz="1400">
            <a:solidFill>
              <a:sysClr val="windowText" lastClr="000000"/>
            </a:solidFill>
            <a:effectLst/>
            <a:latin typeface="+mn-lt"/>
            <a:ea typeface="+mn-ea"/>
            <a:cs typeface="+mn-cs"/>
          </a:endParaRPr>
        </a:p>
        <a:p>
          <a:r>
            <a:rPr lang="es-DO" sz="1400">
              <a:solidFill>
                <a:sysClr val="windowText" lastClr="000000"/>
              </a:solidFill>
              <a:effectLst/>
              <a:latin typeface="+mn-lt"/>
              <a:ea typeface="+mn-ea"/>
              <a:cs typeface="+mn-cs"/>
            </a:rPr>
            <a:t>En el período julio 2003 al mes de noviembre 2015 el patrimonio de los fondos de pensiones ha alcanzó un monto acumulado de RD$362,499.41 millones, representando el un 13.01% del Producto Interno Bruto (PIB) y en diciembre de 2003 se contaba con un patrimonio de RD$6,849.88 millones lo que al mes de noviembre de 2015 se ha multiplicado 52.92veces.  Hasta diciembre de 2014 se había experimentado un crecimiento promedio anual de 43.0%.   </a:t>
          </a:r>
        </a:p>
        <a:p>
          <a:endParaRPr lang="es-DO" sz="1400">
            <a:solidFill>
              <a:sysClr val="windowText" lastClr="000000"/>
            </a:solidFill>
            <a:effectLst/>
            <a:latin typeface="+mn-lt"/>
            <a:ea typeface="+mn-ea"/>
            <a:cs typeface="+mn-cs"/>
          </a:endParaRPr>
        </a:p>
        <a:p>
          <a:r>
            <a:rPr lang="es-DO" sz="1400">
              <a:solidFill>
                <a:sysClr val="windowText" lastClr="000000"/>
              </a:solidFill>
              <a:effectLst/>
              <a:latin typeface="+mn-lt"/>
              <a:ea typeface="+mn-ea"/>
              <a:cs typeface="+mn-cs"/>
            </a:rPr>
            <a:t>La Cartera total de Inversión de los fondos de pensiones a septiembre 2015, ascendió a un monto de RD$323,688,421,085.74.  La composición por tipo de emisor de  instrumento de inversión, se observa que el 94.4% está colocada en tres tipos de  emisores principales: Banco Central contiene el 47.2%;  el 26.5%  en Bancos Múltiples y el  20.7%  en la cartera del Ministerio de Hacienda.   En cuanto a la de la diversificación por instrumentos financieros el  37.92% están colocados en certificados de ventanillas; el 22.99% en certificado de depósitos; el 19.05% en bonos del Gobierno Central; el 9.95% en nota de renta fija;  9.60% en otros bonos (ordinarios, corporativos o subordinados) y el 0.21% en otras inversiones.   </a:t>
          </a:r>
        </a:p>
        <a:p>
          <a:endParaRPr lang="es-DO" sz="1400">
            <a:solidFill>
              <a:sysClr val="windowText" lastClr="000000"/>
            </a:solidFill>
            <a:effectLst/>
            <a:latin typeface="+mn-lt"/>
            <a:ea typeface="+mn-ea"/>
            <a:cs typeface="+mn-cs"/>
          </a:endParaRPr>
        </a:p>
        <a:p>
          <a:r>
            <a:rPr lang="es-DO" sz="1400">
              <a:solidFill>
                <a:sysClr val="windowText" lastClr="000000"/>
              </a:solidFill>
              <a:effectLst/>
              <a:latin typeface="+mn-lt"/>
              <a:ea typeface="+mn-ea"/>
              <a:cs typeface="+mn-cs"/>
            </a:rPr>
            <a:t>Desde diciembre 2003 hasta noviembre 2015,  la rentabilidad nominal promedio de los fondos de pensiones tanto de la Cuenta de Capitalización Individual como del sistema en general, ha tenido un comportamiento similar, acorde a los cambios de las tasas de interés en la economía.  </a:t>
          </a:r>
          <a:r>
            <a:rPr lang="es-DO" sz="1400" baseline="0">
              <a:solidFill>
                <a:sysClr val="windowText" lastClr="000000"/>
              </a:solidFill>
              <a:effectLst/>
              <a:latin typeface="+mn-lt"/>
              <a:ea typeface="+mn-ea"/>
              <a:cs typeface="+mn-cs"/>
            </a:rPr>
            <a:t> </a:t>
          </a:r>
          <a:r>
            <a:rPr lang="es-DO" sz="1400">
              <a:solidFill>
                <a:sysClr val="windowText" lastClr="000000"/>
              </a:solidFill>
              <a:effectLst/>
              <a:latin typeface="+mn-lt"/>
              <a:ea typeface="+mn-ea"/>
              <a:cs typeface="+mn-cs"/>
            </a:rPr>
            <a:t>Para noviembre 2015 la tasa promedio del sistema es de 11.26% y la tasa promedio de la CCI es de 10.91%.   Utilizando la inflación acumulada disponible en el Banco Central de la República Dominicana, se estima una rentabilidad real es de un 9.72% al mes de noviembre de 2015.  </a:t>
          </a:r>
        </a:p>
        <a:p>
          <a:r>
            <a:rPr lang="es-DO" sz="1400">
              <a:solidFill>
                <a:sysClr val="windowText" lastClr="000000"/>
              </a:solidFill>
              <a:effectLst/>
              <a:latin typeface="+mn-lt"/>
              <a:ea typeface="+mn-ea"/>
              <a:cs typeface="+mn-cs"/>
            </a:rPr>
            <a:t> </a:t>
          </a:r>
        </a:p>
        <a:p>
          <a:endParaRPr lang="es-DO" sz="1400">
            <a:solidFill>
              <a:srgbClr val="FF0000"/>
            </a:solidFill>
            <a:effectLst/>
            <a:latin typeface="+mn-lt"/>
            <a:ea typeface="+mn-ea"/>
            <a:cs typeface="+mn-cs"/>
          </a:endParaRPr>
        </a:p>
      </xdr:txBody>
    </xdr:sp>
    <xdr:clientData/>
  </xdr:twoCellAnchor>
  <xdr:twoCellAnchor>
    <xdr:from>
      <xdr:col>0</xdr:col>
      <xdr:colOff>0</xdr:colOff>
      <xdr:row>0</xdr:row>
      <xdr:rowOff>0</xdr:rowOff>
    </xdr:from>
    <xdr:to>
      <xdr:col>12</xdr:col>
      <xdr:colOff>9524</xdr:colOff>
      <xdr:row>4</xdr:row>
      <xdr:rowOff>85725</xdr:rowOff>
    </xdr:to>
    <xdr:sp macro="" textlink="">
      <xdr:nvSpPr>
        <xdr:cNvPr id="4" name="3 Rectángulo redondeado"/>
        <xdr:cNvSpPr/>
      </xdr:nvSpPr>
      <xdr:spPr>
        <a:xfrm>
          <a:off x="0" y="0"/>
          <a:ext cx="9667874" cy="84772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Sistema Dominicano de Seguridad Social (SDSS)</a:t>
          </a:r>
          <a:endParaRPr lang="es-ES" sz="1800">
            <a:effectLst/>
          </a:endParaRPr>
        </a:p>
        <a:p>
          <a:pPr algn="ctr" eaLnBrk="1" fontAlgn="auto" latinLnBrk="0" hangingPunct="1"/>
          <a:r>
            <a:rPr lang="es-DO" sz="1800" b="1">
              <a:solidFill>
                <a:schemeClr val="lt1"/>
              </a:solidFill>
              <a:effectLst/>
              <a:latin typeface="+mn-lt"/>
              <a:ea typeface="+mn-ea"/>
              <a:cs typeface="+mn-cs"/>
            </a:rPr>
            <a:t>Pagos</a:t>
          </a:r>
          <a:r>
            <a:rPr lang="es-DO" sz="1800" b="1" baseline="0">
              <a:solidFill>
                <a:schemeClr val="lt1"/>
              </a:solidFill>
              <a:effectLst/>
              <a:latin typeface="+mn-lt"/>
              <a:ea typeface="+mn-ea"/>
              <a:cs typeface="+mn-cs"/>
            </a:rPr>
            <a:t> </a:t>
          </a:r>
          <a:r>
            <a:rPr lang="es-DO" sz="1800" b="1">
              <a:solidFill>
                <a:schemeClr val="lt1"/>
              </a:solidFill>
              <a:effectLst/>
              <a:latin typeface="+mn-lt"/>
              <a:ea typeface="+mn-ea"/>
              <a:cs typeface="+mn-cs"/>
            </a:rPr>
            <a:t>Seguro de Vejez, Discapacidad y Sobrevivencia (SVDS)</a:t>
          </a:r>
          <a:endParaRPr lang="es-ES" sz="1800">
            <a:effectLst/>
          </a:endParaRPr>
        </a:p>
      </xdr:txBody>
    </xdr:sp>
    <xdr:clientData/>
  </xdr:twoCellAnchor>
  <xdr:twoCellAnchor editAs="oneCell">
    <xdr:from>
      <xdr:col>0</xdr:col>
      <xdr:colOff>374836</xdr:colOff>
      <xdr:row>0</xdr:row>
      <xdr:rowOff>149038</xdr:rowOff>
    </xdr:from>
    <xdr:to>
      <xdr:col>1</xdr:col>
      <xdr:colOff>357648</xdr:colOff>
      <xdr:row>3</xdr:row>
      <xdr:rowOff>76200</xdr:rowOff>
    </xdr:to>
    <xdr:pic>
      <xdr:nvPicPr>
        <xdr:cNvPr id="5" name="7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74836" y="149038"/>
          <a:ext cx="744812" cy="4986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9.xml><?xml version="1.0" encoding="utf-8"?>
<xdr:wsDr xmlns:xdr="http://schemas.openxmlformats.org/drawingml/2006/spreadsheetDrawing" xmlns:a="http://schemas.openxmlformats.org/drawingml/2006/main">
  <xdr:twoCellAnchor>
    <xdr:from>
      <xdr:col>0</xdr:col>
      <xdr:colOff>138545</xdr:colOff>
      <xdr:row>18</xdr:row>
      <xdr:rowOff>155863</xdr:rowOff>
    </xdr:from>
    <xdr:to>
      <xdr:col>11</xdr:col>
      <xdr:colOff>519547</xdr:colOff>
      <xdr:row>56</xdr:row>
      <xdr:rowOff>163284</xdr:rowOff>
    </xdr:to>
    <xdr:graphicFrame macro="">
      <xdr:nvGraphicFramePr>
        <xdr:cNvPr id="2" name="6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748392</xdr:colOff>
      <xdr:row>1</xdr:row>
      <xdr:rowOff>34637</xdr:rowOff>
    </xdr:to>
    <xdr:sp macro="" textlink="">
      <xdr:nvSpPr>
        <xdr:cNvPr id="4" name="3 Rectángulo redondeado"/>
        <xdr:cNvSpPr/>
      </xdr:nvSpPr>
      <xdr:spPr>
        <a:xfrm>
          <a:off x="0" y="0"/>
          <a:ext cx="17166028" cy="119495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Seguro de Vejez, Discapacidad y Sobrevivencia (SVDS)</a:t>
          </a:r>
        </a:p>
        <a:p>
          <a:pPr algn="ctr" eaLnBrk="1" fontAlgn="auto" latinLnBrk="0" hangingPunct="1"/>
          <a:r>
            <a:rPr lang="es-DO" sz="2400" b="1">
              <a:solidFill>
                <a:schemeClr val="lt1"/>
              </a:solidFill>
              <a:effectLst/>
              <a:latin typeface="+mn-lt"/>
              <a:ea typeface="+mn-ea"/>
              <a:cs typeface="+mn-cs"/>
            </a:rPr>
            <a:t>Dispersión Histórica del SVDS</a:t>
          </a:r>
        </a:p>
        <a:p>
          <a:pPr algn="ctr" eaLnBrk="1" fontAlgn="auto" latinLnBrk="0" hangingPunct="1"/>
          <a:r>
            <a:rPr lang="es-DO" sz="2400" b="1">
              <a:solidFill>
                <a:schemeClr val="lt1"/>
              </a:solidFill>
              <a:effectLst/>
              <a:latin typeface="+mn-lt"/>
              <a:ea typeface="+mn-ea"/>
              <a:cs typeface="+mn-cs"/>
            </a:rPr>
            <a:t>Período: 2003 -  Noviembre 2015</a:t>
          </a:r>
          <a:endParaRPr lang="es-DO" sz="3600">
            <a:effectLst/>
          </a:endParaRPr>
        </a:p>
      </xdr:txBody>
    </xdr:sp>
    <xdr:clientData/>
  </xdr:twoCellAnchor>
  <xdr:twoCellAnchor editAs="oneCell">
    <xdr:from>
      <xdr:col>0</xdr:col>
      <xdr:colOff>721179</xdr:colOff>
      <xdr:row>0</xdr:row>
      <xdr:rowOff>163285</xdr:rowOff>
    </xdr:from>
    <xdr:to>
      <xdr:col>0</xdr:col>
      <xdr:colOff>1477365</xdr:colOff>
      <xdr:row>0</xdr:row>
      <xdr:rowOff>734785</xdr:rowOff>
    </xdr:to>
    <xdr:pic>
      <xdr:nvPicPr>
        <xdr:cNvPr id="5"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21179" y="163285"/>
          <a:ext cx="752475"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c:userShapes xmlns:c="http://schemas.openxmlformats.org/drawingml/2006/chart">
  <cdr:relSizeAnchor xmlns:cdr="http://schemas.openxmlformats.org/drawingml/2006/chartDrawing">
    <cdr:from>
      <cdr:x>0.04765</cdr:x>
      <cdr:y>0.91781</cdr:y>
    </cdr:from>
    <cdr:to>
      <cdr:x>0.32882</cdr:x>
      <cdr:y>0.96137</cdr:y>
    </cdr:to>
    <cdr:sp macro="" textlink="">
      <cdr:nvSpPr>
        <cdr:cNvPr id="2" name="2 CuadroTexto"/>
        <cdr:cNvSpPr txBox="1"/>
      </cdr:nvSpPr>
      <cdr:spPr>
        <a:xfrm xmlns:a="http://schemas.openxmlformats.org/drawingml/2006/main">
          <a:off x="830118" y="7168572"/>
          <a:ext cx="4898571" cy="340178"/>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a:t>
          </a:r>
          <a:r>
            <a:rPr lang="es-DO" sz="1400"/>
            <a:t>: Portal de la SISALRIL</a:t>
          </a:r>
        </a:p>
      </cdr:txBody>
    </cdr:sp>
  </cdr:relSizeAnchor>
</c:userShapes>
</file>

<file path=xl/drawings/drawing120.xml><?xml version="1.0" encoding="utf-8"?>
<c:userShapes xmlns:c="http://schemas.openxmlformats.org/drawingml/2006/chart">
  <cdr:relSizeAnchor xmlns:cdr="http://schemas.openxmlformats.org/drawingml/2006/chartDrawing">
    <cdr:from>
      <cdr:x>0.0473</cdr:x>
      <cdr:y>0.91475</cdr:y>
    </cdr:from>
    <cdr:to>
      <cdr:x>0.20211</cdr:x>
      <cdr:y>0.95597</cdr:y>
    </cdr:to>
    <cdr:sp macro="" textlink="">
      <cdr:nvSpPr>
        <cdr:cNvPr id="2" name="1 CuadroTexto"/>
        <cdr:cNvSpPr txBox="1"/>
      </cdr:nvSpPr>
      <cdr:spPr>
        <a:xfrm xmlns:a="http://schemas.openxmlformats.org/drawingml/2006/main">
          <a:off x="573883" y="6842157"/>
          <a:ext cx="1878386" cy="30831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600" b="1"/>
            <a:t>Fuente: </a:t>
          </a:r>
          <a:r>
            <a:rPr lang="en-US" sz="1600"/>
            <a:t>TSS</a:t>
          </a:r>
        </a:p>
      </cdr:txBody>
    </cdr:sp>
  </cdr:relSizeAnchor>
</c:userShapes>
</file>

<file path=xl/drawings/drawing121.xml><?xml version="1.0" encoding="utf-8"?>
<xdr:wsDr xmlns:xdr="http://schemas.openxmlformats.org/drawingml/2006/spreadsheetDrawing" xmlns:a="http://schemas.openxmlformats.org/drawingml/2006/main">
  <xdr:twoCellAnchor>
    <xdr:from>
      <xdr:col>0</xdr:col>
      <xdr:colOff>0</xdr:colOff>
      <xdr:row>12</xdr:row>
      <xdr:rowOff>42190</xdr:rowOff>
    </xdr:from>
    <xdr:to>
      <xdr:col>14</xdr:col>
      <xdr:colOff>1255059</xdr:colOff>
      <xdr:row>38</xdr:row>
      <xdr:rowOff>582706</xdr:rowOff>
    </xdr:to>
    <xdr:graphicFrame macro="">
      <xdr:nvGraphicFramePr>
        <xdr:cNvPr id="20597" name="6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1378323</xdr:colOff>
      <xdr:row>0</xdr:row>
      <xdr:rowOff>974912</xdr:rowOff>
    </xdr:to>
    <xdr:sp macro="" textlink="">
      <xdr:nvSpPr>
        <xdr:cNvPr id="4" name="3 Rectángulo redondeado"/>
        <xdr:cNvSpPr/>
      </xdr:nvSpPr>
      <xdr:spPr>
        <a:xfrm>
          <a:off x="0" y="0"/>
          <a:ext cx="15408088" cy="97491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de Vejez, Discapacidad y Sobrevivencia (SVDS)</a:t>
          </a:r>
        </a:p>
        <a:p>
          <a:pPr algn="ctr" eaLnBrk="1" fontAlgn="auto" latinLnBrk="0" hangingPunct="1"/>
          <a:r>
            <a:rPr lang="es-DO" sz="1600" b="1">
              <a:solidFill>
                <a:schemeClr val="lt1"/>
              </a:solidFill>
              <a:effectLst/>
              <a:latin typeface="+mn-lt"/>
              <a:ea typeface="+mn-ea"/>
              <a:cs typeface="+mn-cs"/>
            </a:rPr>
            <a:t>Pagos Anual por Cuentas del SVDS (RD$)</a:t>
          </a:r>
        </a:p>
        <a:p>
          <a:pPr algn="ctr" eaLnBrk="1" fontAlgn="auto" latinLnBrk="0" hangingPunct="1"/>
          <a:r>
            <a:rPr lang="es-DO" sz="1600" b="1">
              <a:solidFill>
                <a:schemeClr val="lt1"/>
              </a:solidFill>
              <a:effectLst/>
              <a:latin typeface="+mn-lt"/>
              <a:ea typeface="+mn-ea"/>
              <a:cs typeface="+mn-cs"/>
            </a:rPr>
            <a:t>Período: 2003</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 Noviembre</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2015</a:t>
          </a:r>
          <a:endParaRPr lang="es-DO" sz="2400">
            <a:effectLst/>
          </a:endParaRPr>
        </a:p>
      </xdr:txBody>
    </xdr:sp>
    <xdr:clientData/>
  </xdr:twoCellAnchor>
  <xdr:twoCellAnchor editAs="oneCell">
    <xdr:from>
      <xdr:col>0</xdr:col>
      <xdr:colOff>683559</xdr:colOff>
      <xdr:row>0</xdr:row>
      <xdr:rowOff>212911</xdr:rowOff>
    </xdr:from>
    <xdr:to>
      <xdr:col>1</xdr:col>
      <xdr:colOff>156882</xdr:colOff>
      <xdr:row>0</xdr:row>
      <xdr:rowOff>714776</xdr:rowOff>
    </xdr:to>
    <xdr:pic>
      <xdr:nvPicPr>
        <xdr:cNvPr id="7"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83559" y="212911"/>
          <a:ext cx="649941" cy="5018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2.xml><?xml version="1.0" encoding="utf-8"?>
<c:userShapes xmlns:c="http://schemas.openxmlformats.org/drawingml/2006/chart">
  <cdr:relSizeAnchor xmlns:cdr="http://schemas.openxmlformats.org/drawingml/2006/chartDrawing">
    <cdr:from>
      <cdr:x>0.0754</cdr:x>
      <cdr:y>0.90678</cdr:y>
    </cdr:from>
    <cdr:to>
      <cdr:x>0.27451</cdr:x>
      <cdr:y>0.95224</cdr:y>
    </cdr:to>
    <cdr:sp macro="" textlink="">
      <cdr:nvSpPr>
        <cdr:cNvPr id="2" name="1 CuadroTexto"/>
        <cdr:cNvSpPr txBox="1"/>
      </cdr:nvSpPr>
      <cdr:spPr>
        <a:xfrm xmlns:a="http://schemas.openxmlformats.org/drawingml/2006/main">
          <a:off x="996587" y="5220844"/>
          <a:ext cx="2631816" cy="26173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100" b="1"/>
            <a:t>Fuente:</a:t>
          </a:r>
          <a:r>
            <a:rPr lang="es-ES" sz="1100" b="1" baseline="0"/>
            <a:t> </a:t>
          </a:r>
          <a:r>
            <a:rPr lang="es-ES" sz="1100" baseline="0"/>
            <a:t>TSS</a:t>
          </a:r>
          <a:endParaRPr lang="es-ES" sz="1100"/>
        </a:p>
      </cdr:txBody>
    </cdr:sp>
  </cdr:relSizeAnchor>
  <cdr:relSizeAnchor xmlns:cdr="http://schemas.openxmlformats.org/drawingml/2006/chartDrawing">
    <cdr:from>
      <cdr:x>0.47148</cdr:x>
      <cdr:y>0.08756</cdr:y>
    </cdr:from>
    <cdr:to>
      <cdr:x>0.57107</cdr:x>
      <cdr:y>0.12937</cdr:y>
    </cdr:to>
    <cdr:sp macro="" textlink="">
      <cdr:nvSpPr>
        <cdr:cNvPr id="3" name="2 CuadroTexto"/>
        <cdr:cNvSpPr txBox="1"/>
      </cdr:nvSpPr>
      <cdr:spPr>
        <a:xfrm xmlns:a="http://schemas.openxmlformats.org/drawingml/2006/main">
          <a:off x="5782235" y="492820"/>
          <a:ext cx="1221441" cy="23532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userShapes>
</file>

<file path=xl/drawings/drawing123.xml><?xml version="1.0" encoding="utf-8"?>
<xdr:wsDr xmlns:xdr="http://schemas.openxmlformats.org/drawingml/2006/spreadsheetDrawing" xmlns:a="http://schemas.openxmlformats.org/drawingml/2006/main">
  <xdr:twoCellAnchor>
    <xdr:from>
      <xdr:col>0</xdr:col>
      <xdr:colOff>0</xdr:colOff>
      <xdr:row>19</xdr:row>
      <xdr:rowOff>59231</xdr:rowOff>
    </xdr:from>
    <xdr:to>
      <xdr:col>10</xdr:col>
      <xdr:colOff>1402772</xdr:colOff>
      <xdr:row>60</xdr:row>
      <xdr:rowOff>89646</xdr:rowOff>
    </xdr:to>
    <xdr:graphicFrame macro="">
      <xdr:nvGraphicFramePr>
        <xdr:cNvPr id="3"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10</xdr:col>
      <xdr:colOff>1469570</xdr:colOff>
      <xdr:row>0</xdr:row>
      <xdr:rowOff>843643</xdr:rowOff>
    </xdr:to>
    <xdr:sp macro="" textlink="">
      <xdr:nvSpPr>
        <xdr:cNvPr id="4" name="4 Rectángulo redondeado"/>
        <xdr:cNvSpPr/>
      </xdr:nvSpPr>
      <xdr:spPr>
        <a:xfrm>
          <a:off x="0" y="0"/>
          <a:ext cx="15920356" cy="843643"/>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Vejez, Discapacidad y Sobrevivencia (SVDS)</a:t>
          </a:r>
          <a:br>
            <a:rPr lang="es-DO" sz="1600" b="1">
              <a:solidFill>
                <a:schemeClr val="lt1"/>
              </a:solidFill>
              <a:effectLst/>
              <a:latin typeface="+mn-lt"/>
              <a:ea typeface="+mn-ea"/>
              <a:cs typeface="+mn-cs"/>
            </a:rPr>
          </a:br>
          <a:r>
            <a:rPr lang="es-DO" sz="1600" b="1">
              <a:solidFill>
                <a:schemeClr val="lt1"/>
              </a:solidFill>
              <a:effectLst/>
              <a:latin typeface="+mn-lt"/>
              <a:ea typeface="+mn-ea"/>
              <a:cs typeface="+mn-cs"/>
            </a:rPr>
            <a:t>Pagos a Entidades del Seguro de Vejez, Discapacidad y Sobrevivencia (SVDS)</a:t>
          </a:r>
        </a:p>
        <a:p>
          <a:pPr algn="ctr" eaLnBrk="1" fontAlgn="auto" latinLnBrk="0" hangingPunct="1"/>
          <a:r>
            <a:rPr lang="es-DO" sz="1600" b="1">
              <a:solidFill>
                <a:schemeClr val="lt1"/>
              </a:solidFill>
              <a:effectLst/>
              <a:latin typeface="+mn-lt"/>
              <a:ea typeface="+mn-ea"/>
              <a:cs typeface="+mn-cs"/>
            </a:rPr>
            <a:t>Período: 2007 -  Noviembre 2015</a:t>
          </a:r>
          <a:endParaRPr lang="es-DO" sz="1600">
            <a:effectLst/>
          </a:endParaRPr>
        </a:p>
      </xdr:txBody>
    </xdr:sp>
    <xdr:clientData/>
  </xdr:twoCellAnchor>
  <xdr:twoCellAnchor editAs="oneCell">
    <xdr:from>
      <xdr:col>0</xdr:col>
      <xdr:colOff>435429</xdr:colOff>
      <xdr:row>0</xdr:row>
      <xdr:rowOff>176893</xdr:rowOff>
    </xdr:from>
    <xdr:to>
      <xdr:col>0</xdr:col>
      <xdr:colOff>1042314</xdr:colOff>
      <xdr:row>0</xdr:row>
      <xdr:rowOff>672193</xdr:rowOff>
    </xdr:to>
    <xdr:pic>
      <xdr:nvPicPr>
        <xdr:cNvPr id="5" name="4 Imagen" descr="logo_2x4.bmp"/>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35429" y="176893"/>
          <a:ext cx="60688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435429</xdr:colOff>
      <xdr:row>0</xdr:row>
      <xdr:rowOff>176893</xdr:rowOff>
    </xdr:from>
    <xdr:to>
      <xdr:col>0</xdr:col>
      <xdr:colOff>1187904</xdr:colOff>
      <xdr:row>0</xdr:row>
      <xdr:rowOff>719818</xdr:rowOff>
    </xdr:to>
    <xdr:pic>
      <xdr:nvPicPr>
        <xdr:cNvPr id="6" name="6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35429" y="176893"/>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4.xml><?xml version="1.0" encoding="utf-8"?>
<xdr:wsDr xmlns:xdr="http://schemas.openxmlformats.org/drawingml/2006/spreadsheetDrawing" xmlns:a="http://schemas.openxmlformats.org/drawingml/2006/main">
  <xdr:twoCellAnchor editAs="oneCell">
    <xdr:from>
      <xdr:col>0</xdr:col>
      <xdr:colOff>171450</xdr:colOff>
      <xdr:row>0</xdr:row>
      <xdr:rowOff>95250</xdr:rowOff>
    </xdr:from>
    <xdr:to>
      <xdr:col>1</xdr:col>
      <xdr:colOff>22305</xdr:colOff>
      <xdr:row>0</xdr:row>
      <xdr:rowOff>638175</xdr:rowOff>
    </xdr:to>
    <xdr:pic>
      <xdr:nvPicPr>
        <xdr:cNvPr id="2"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1450" y="95250"/>
          <a:ext cx="96202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17</xdr:row>
      <xdr:rowOff>48227</xdr:rowOff>
    </xdr:from>
    <xdr:to>
      <xdr:col>9</xdr:col>
      <xdr:colOff>916328</xdr:colOff>
      <xdr:row>41</xdr:row>
      <xdr:rowOff>204968</xdr:rowOff>
    </xdr:to>
    <xdr:graphicFrame macro="">
      <xdr:nvGraphicFramePr>
        <xdr:cNvPr id="4" name="6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10</xdr:col>
      <xdr:colOff>0</xdr:colOff>
      <xdr:row>0</xdr:row>
      <xdr:rowOff>892214</xdr:rowOff>
    </xdr:to>
    <xdr:sp macro="" textlink="">
      <xdr:nvSpPr>
        <xdr:cNvPr id="5" name="4 Rectángulo redondeado"/>
        <xdr:cNvSpPr/>
      </xdr:nvSpPr>
      <xdr:spPr>
        <a:xfrm>
          <a:off x="0" y="0"/>
          <a:ext cx="13190316" cy="89221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Patrimonio de los Fondos de Pensiones por año (Millones RD$)</a:t>
          </a:r>
        </a:p>
        <a:p>
          <a:pPr algn="ctr" eaLnBrk="1" fontAlgn="auto" latinLnBrk="0" hangingPunct="1"/>
          <a:r>
            <a:rPr lang="es-DO" sz="1800" b="1">
              <a:solidFill>
                <a:schemeClr val="lt1"/>
              </a:solidFill>
              <a:effectLst/>
              <a:latin typeface="+mn-lt"/>
              <a:ea typeface="+mn-ea"/>
              <a:cs typeface="+mn-cs"/>
            </a:rPr>
            <a:t>Período: 2005 -  Noviembre 2015</a:t>
          </a:r>
          <a:endParaRPr lang="es-DO" sz="2800">
            <a:effectLst/>
          </a:endParaRPr>
        </a:p>
      </xdr:txBody>
    </xdr:sp>
    <xdr:clientData/>
  </xdr:twoCellAnchor>
  <xdr:twoCellAnchor editAs="oneCell">
    <xdr:from>
      <xdr:col>0</xdr:col>
      <xdr:colOff>663133</xdr:colOff>
      <xdr:row>0</xdr:row>
      <xdr:rowOff>204967</xdr:rowOff>
    </xdr:from>
    <xdr:to>
      <xdr:col>1</xdr:col>
      <xdr:colOff>272803</xdr:colOff>
      <xdr:row>0</xdr:row>
      <xdr:rowOff>687246</xdr:rowOff>
    </xdr:to>
    <xdr:pic>
      <xdr:nvPicPr>
        <xdr:cNvPr id="6" name="4 Imagen" descr="logo_2x4.bmp"/>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63133" y="204967"/>
          <a:ext cx="718911" cy="4822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626962</xdr:colOff>
      <xdr:row>0</xdr:row>
      <xdr:rowOff>192910</xdr:rowOff>
    </xdr:from>
    <xdr:to>
      <xdr:col>1</xdr:col>
      <xdr:colOff>270196</xdr:colOff>
      <xdr:row>0</xdr:row>
      <xdr:rowOff>735835</xdr:rowOff>
    </xdr:to>
    <xdr:pic>
      <xdr:nvPicPr>
        <xdr:cNvPr id="7" name="6 Imagen" descr="logo_2x4.bmp">
          <a:hlinkClick xmlns:r="http://schemas.openxmlformats.org/officeDocument/2006/relationships" r:id="rId4"/>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6962" y="192910"/>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5.xml><?xml version="1.0" encoding="utf-8"?>
<c:userShapes xmlns:c="http://schemas.openxmlformats.org/drawingml/2006/chart">
  <cdr:relSizeAnchor xmlns:cdr="http://schemas.openxmlformats.org/drawingml/2006/chartDrawing">
    <cdr:from>
      <cdr:x>0.06481</cdr:x>
      <cdr:y>0.93552</cdr:y>
    </cdr:from>
    <cdr:to>
      <cdr:x>0.28385</cdr:x>
      <cdr:y>0.98022</cdr:y>
    </cdr:to>
    <cdr:sp macro="" textlink="">
      <cdr:nvSpPr>
        <cdr:cNvPr id="2" name="1 CuadroTexto"/>
        <cdr:cNvSpPr txBox="1"/>
      </cdr:nvSpPr>
      <cdr:spPr>
        <a:xfrm xmlns:a="http://schemas.openxmlformats.org/drawingml/2006/main">
          <a:off x="840758" y="6530853"/>
          <a:ext cx="2841670" cy="3120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1"/>
            <a:t>Fuentes: </a:t>
          </a:r>
          <a:r>
            <a:rPr lang="en-US" sz="1100"/>
            <a:t>SIPEN</a:t>
          </a:r>
          <a:r>
            <a:rPr lang="en-US" sz="1100" baseline="0"/>
            <a:t> y Banco Central</a:t>
          </a:r>
          <a:endParaRPr lang="en-US" sz="1100"/>
        </a:p>
      </cdr:txBody>
    </cdr:sp>
  </cdr:relSizeAnchor>
</c:userShapes>
</file>

<file path=xl/drawings/drawing126.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734785</xdr:colOff>
      <xdr:row>1</xdr:row>
      <xdr:rowOff>81642</xdr:rowOff>
    </xdr:to>
    <xdr:sp macro="" textlink="">
      <xdr:nvSpPr>
        <xdr:cNvPr id="4" name="3 Rectángulo redondeado"/>
        <xdr:cNvSpPr/>
      </xdr:nvSpPr>
      <xdr:spPr>
        <a:xfrm>
          <a:off x="0" y="0"/>
          <a:ext cx="12913178" cy="89807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Vejez, Discapacidad y Sobrevivencia (SVDS)</a:t>
          </a:r>
        </a:p>
        <a:p>
          <a:pPr algn="ctr" eaLnBrk="1" fontAlgn="auto" latinLnBrk="0" hangingPunct="1"/>
          <a:r>
            <a:rPr lang="es-DO" sz="1600" b="1">
              <a:solidFill>
                <a:schemeClr val="lt1"/>
              </a:solidFill>
              <a:effectLst/>
              <a:latin typeface="+mn-lt"/>
              <a:ea typeface="+mn-ea"/>
              <a:cs typeface="+mn-cs"/>
            </a:rPr>
            <a:t>Composición de la Cartera Total de Inversión de los Fondos de Pensiones por Tipo de Emisor</a:t>
          </a:r>
        </a:p>
        <a:p>
          <a:pPr algn="ctr" eaLnBrk="1" fontAlgn="auto" latinLnBrk="0" hangingPunct="1"/>
          <a:r>
            <a:rPr lang="es-DO" sz="1600" b="1">
              <a:solidFill>
                <a:schemeClr val="lt1"/>
              </a:solidFill>
              <a:effectLst/>
              <a:latin typeface="+mn-lt"/>
              <a:ea typeface="+mn-ea"/>
              <a:cs typeface="+mn-cs"/>
            </a:rPr>
            <a:t>Septiembre 2015</a:t>
          </a:r>
          <a:endParaRPr lang="es-DO" sz="2400">
            <a:effectLst/>
          </a:endParaRPr>
        </a:p>
      </xdr:txBody>
    </xdr:sp>
    <xdr:clientData/>
  </xdr:twoCellAnchor>
  <xdr:oneCellAnchor>
    <xdr:from>
      <xdr:col>0</xdr:col>
      <xdr:colOff>571499</xdr:colOff>
      <xdr:row>0</xdr:row>
      <xdr:rowOff>190499</xdr:rowOff>
    </xdr:from>
    <xdr:ext cx="705971" cy="500747"/>
    <xdr:pic>
      <xdr:nvPicPr>
        <xdr:cNvPr id="5" name="4 Imagen" descr="logo_2x4.bmp"/>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1499" y="190499"/>
          <a:ext cx="705971" cy="5007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571499</xdr:colOff>
      <xdr:row>0</xdr:row>
      <xdr:rowOff>190499</xdr:rowOff>
    </xdr:from>
    <xdr:to>
      <xdr:col>0</xdr:col>
      <xdr:colOff>1323974</xdr:colOff>
      <xdr:row>0</xdr:row>
      <xdr:rowOff>733424</xdr:rowOff>
    </xdr:to>
    <xdr:pic>
      <xdr:nvPicPr>
        <xdr:cNvPr id="6"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1499" y="190499"/>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13</xdr:row>
      <xdr:rowOff>40821</xdr:rowOff>
    </xdr:from>
    <xdr:to>
      <xdr:col>9</xdr:col>
      <xdr:colOff>557893</xdr:colOff>
      <xdr:row>53</xdr:row>
      <xdr:rowOff>81642</xdr:rowOff>
    </xdr:to>
    <xdr:graphicFrame macro="">
      <xdr:nvGraphicFramePr>
        <xdr:cNvPr id="2" name="Gráfico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27.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1537608</xdr:colOff>
      <xdr:row>0</xdr:row>
      <xdr:rowOff>870856</xdr:rowOff>
    </xdr:to>
    <xdr:sp macro="" textlink="">
      <xdr:nvSpPr>
        <xdr:cNvPr id="4" name="3 Rectángulo redondeado"/>
        <xdr:cNvSpPr/>
      </xdr:nvSpPr>
      <xdr:spPr>
        <a:xfrm>
          <a:off x="0" y="0"/>
          <a:ext cx="12436929" cy="87085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Vejez, Discapacidad y Sobrevivencia (SVDS)</a:t>
          </a:r>
        </a:p>
        <a:p>
          <a:pPr algn="ctr" eaLnBrk="1" fontAlgn="auto" latinLnBrk="0" hangingPunct="1"/>
          <a:r>
            <a:rPr lang="es-DO" sz="1600" b="1">
              <a:solidFill>
                <a:schemeClr val="lt1"/>
              </a:solidFill>
              <a:effectLst/>
              <a:latin typeface="+mn-lt"/>
              <a:ea typeface="+mn-ea"/>
              <a:cs typeface="+mn-cs"/>
            </a:rPr>
            <a:t>Composición de la Cartera Total de Inversiones de los Fondos de Pensiones por Instrumentos</a:t>
          </a:r>
        </a:p>
        <a:p>
          <a:pPr algn="ctr" eaLnBrk="1" fontAlgn="auto" latinLnBrk="0" hangingPunct="1"/>
          <a:r>
            <a:rPr lang="es-DO" sz="1600" b="1">
              <a:solidFill>
                <a:schemeClr val="lt1"/>
              </a:solidFill>
              <a:effectLst/>
              <a:latin typeface="+mn-lt"/>
              <a:ea typeface="+mn-ea"/>
              <a:cs typeface="+mn-cs"/>
            </a:rPr>
            <a:t>Septiembre  2015</a:t>
          </a:r>
          <a:endParaRPr lang="es-DO" sz="2400">
            <a:effectLst/>
          </a:endParaRPr>
        </a:p>
      </xdr:txBody>
    </xdr:sp>
    <xdr:clientData/>
  </xdr:twoCellAnchor>
  <xdr:twoCellAnchor editAs="oneCell">
    <xdr:from>
      <xdr:col>0</xdr:col>
      <xdr:colOff>504264</xdr:colOff>
      <xdr:row>0</xdr:row>
      <xdr:rowOff>156883</xdr:rowOff>
    </xdr:from>
    <xdr:to>
      <xdr:col>0</xdr:col>
      <xdr:colOff>1176618</xdr:colOff>
      <xdr:row>0</xdr:row>
      <xdr:rowOff>705614</xdr:rowOff>
    </xdr:to>
    <xdr:pic>
      <xdr:nvPicPr>
        <xdr:cNvPr id="6" name="5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04264" y="156883"/>
          <a:ext cx="672354" cy="5487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27213</xdr:colOff>
      <xdr:row>14</xdr:row>
      <xdr:rowOff>9524</xdr:rowOff>
    </xdr:from>
    <xdr:to>
      <xdr:col>7</xdr:col>
      <xdr:colOff>1483179</xdr:colOff>
      <xdr:row>53</xdr:row>
      <xdr:rowOff>108857</xdr:rowOff>
    </xdr:to>
    <xdr:graphicFrame macro="">
      <xdr:nvGraphicFramePr>
        <xdr:cNvPr id="3" name="Gráfico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28.xml><?xml version="1.0" encoding="utf-8"?>
<xdr:wsDr xmlns:xdr="http://schemas.openxmlformats.org/drawingml/2006/spreadsheetDrawing" xmlns:a="http://schemas.openxmlformats.org/drawingml/2006/main">
  <xdr:twoCellAnchor>
    <xdr:from>
      <xdr:col>0</xdr:col>
      <xdr:colOff>51955</xdr:colOff>
      <xdr:row>64</xdr:row>
      <xdr:rowOff>51955</xdr:rowOff>
    </xdr:from>
    <xdr:to>
      <xdr:col>18</xdr:col>
      <xdr:colOff>675408</xdr:colOff>
      <xdr:row>110</xdr:row>
      <xdr:rowOff>173182</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18</xdr:col>
      <xdr:colOff>761999</xdr:colOff>
      <xdr:row>1</xdr:row>
      <xdr:rowOff>242454</xdr:rowOff>
    </xdr:to>
    <xdr:sp macro="" textlink="">
      <xdr:nvSpPr>
        <xdr:cNvPr id="4" name="3 Rectángulo redondeado"/>
        <xdr:cNvSpPr/>
      </xdr:nvSpPr>
      <xdr:spPr>
        <a:xfrm>
          <a:off x="0" y="0"/>
          <a:ext cx="16192499" cy="11603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Seguro de Vejez, Discapacidad y Sobrevivencia (SVDS)</a:t>
          </a:r>
        </a:p>
        <a:p>
          <a:pPr algn="ctr" eaLnBrk="1" fontAlgn="auto" latinLnBrk="0" hangingPunct="1"/>
          <a:r>
            <a:rPr lang="es-DO" sz="2000" b="1">
              <a:solidFill>
                <a:schemeClr val="lt1"/>
              </a:solidFill>
              <a:effectLst/>
              <a:latin typeface="+mn-lt"/>
              <a:ea typeface="+mn-ea"/>
              <a:cs typeface="+mn-cs"/>
            </a:rPr>
            <a:t>Rentabilidad Nominal Promedio  de los Fondos de Pensiones </a:t>
          </a:r>
        </a:p>
        <a:p>
          <a:pPr algn="ctr" eaLnBrk="1" fontAlgn="auto" latinLnBrk="0" hangingPunct="1"/>
          <a:r>
            <a:rPr lang="es-DO" sz="2000" b="1">
              <a:solidFill>
                <a:schemeClr val="lt1"/>
              </a:solidFill>
              <a:effectLst/>
              <a:latin typeface="+mn-lt"/>
              <a:ea typeface="+mn-ea"/>
              <a:cs typeface="+mn-cs"/>
            </a:rPr>
            <a:t>Período: Junio 2005 -  Noviembre 2015</a:t>
          </a:r>
          <a:endParaRPr lang="es-DO" sz="3200">
            <a:effectLst/>
          </a:endParaRPr>
        </a:p>
      </xdr:txBody>
    </xdr:sp>
    <xdr:clientData/>
  </xdr:twoCellAnchor>
  <xdr:twoCellAnchor editAs="oneCell">
    <xdr:from>
      <xdr:col>0</xdr:col>
      <xdr:colOff>476249</xdr:colOff>
      <xdr:row>0</xdr:row>
      <xdr:rowOff>168592</xdr:rowOff>
    </xdr:from>
    <xdr:to>
      <xdr:col>1</xdr:col>
      <xdr:colOff>329044</xdr:colOff>
      <xdr:row>0</xdr:row>
      <xdr:rowOff>882866</xdr:rowOff>
    </xdr:to>
    <xdr:pic>
      <xdr:nvPicPr>
        <xdr:cNvPr id="5" name="4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76249" y="168592"/>
          <a:ext cx="1013113" cy="7142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9.xml><?xml version="1.0" encoding="utf-8"?>
<c:userShapes xmlns:c="http://schemas.openxmlformats.org/drawingml/2006/chart">
  <cdr:relSizeAnchor xmlns:cdr="http://schemas.openxmlformats.org/drawingml/2006/chartDrawing">
    <cdr:from>
      <cdr:x>0.03441</cdr:x>
      <cdr:y>0.92327</cdr:y>
    </cdr:from>
    <cdr:to>
      <cdr:x>0.39814</cdr:x>
      <cdr:y>0.97901</cdr:y>
    </cdr:to>
    <cdr:sp macro="" textlink="">
      <cdr:nvSpPr>
        <cdr:cNvPr id="2" name="1 CuadroTexto"/>
        <cdr:cNvSpPr txBox="1"/>
      </cdr:nvSpPr>
      <cdr:spPr>
        <a:xfrm xmlns:a="http://schemas.openxmlformats.org/drawingml/2006/main">
          <a:off x="397989" y="4912178"/>
          <a:ext cx="4206927" cy="29653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800" b="1">
              <a:latin typeface="+mn-lt"/>
              <a:ea typeface="+mn-ea"/>
              <a:cs typeface="+mn-cs"/>
            </a:rPr>
            <a:t>Fuente: </a:t>
          </a:r>
          <a:r>
            <a:rPr lang="en-US" sz="1800">
              <a:latin typeface="+mn-lt"/>
              <a:ea typeface="+mn-ea"/>
              <a:cs typeface="+mn-cs"/>
            </a:rPr>
            <a:t>SIPEN </a:t>
          </a:r>
          <a:endParaRPr lang="en-US" sz="1800"/>
        </a:p>
        <a:p xmlns:a="http://schemas.openxmlformats.org/drawingml/2006/main">
          <a:endParaRPr lang="en-US" sz="2000"/>
        </a:p>
      </cdr:txBody>
    </cdr:sp>
  </cdr:relSizeAnchor>
</c:userShapes>
</file>

<file path=xl/drawings/drawing13.xml><?xml version="1.0" encoding="utf-8"?>
<xdr:wsDr xmlns:xdr="http://schemas.openxmlformats.org/drawingml/2006/spreadsheetDrawing" xmlns:a="http://schemas.openxmlformats.org/drawingml/2006/main">
  <xdr:twoCellAnchor>
    <xdr:from>
      <xdr:col>0</xdr:col>
      <xdr:colOff>408214</xdr:colOff>
      <xdr:row>56</xdr:row>
      <xdr:rowOff>68036</xdr:rowOff>
    </xdr:from>
    <xdr:to>
      <xdr:col>2</xdr:col>
      <xdr:colOff>585107</xdr:colOff>
      <xdr:row>58</xdr:row>
      <xdr:rowOff>81643</xdr:rowOff>
    </xdr:to>
    <xdr:sp macro="" textlink="">
      <xdr:nvSpPr>
        <xdr:cNvPr id="4" name="3 CuadroTexto"/>
        <xdr:cNvSpPr txBox="1"/>
      </xdr:nvSpPr>
      <xdr:spPr>
        <a:xfrm>
          <a:off x="408214" y="9869261"/>
          <a:ext cx="2767693" cy="299357"/>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400"/>
            <a:t>Fuente: Página</a:t>
          </a:r>
          <a:r>
            <a:rPr lang="es-DO" sz="1400" baseline="0"/>
            <a:t> Web Sisalril</a:t>
          </a:r>
          <a:endParaRPr lang="es-DO" sz="1400"/>
        </a:p>
      </xdr:txBody>
    </xdr:sp>
    <xdr:clientData/>
  </xdr:twoCellAnchor>
  <xdr:twoCellAnchor>
    <xdr:from>
      <xdr:col>0</xdr:col>
      <xdr:colOff>0</xdr:colOff>
      <xdr:row>12</xdr:row>
      <xdr:rowOff>51953</xdr:rowOff>
    </xdr:from>
    <xdr:to>
      <xdr:col>13</xdr:col>
      <xdr:colOff>1541318</xdr:colOff>
      <xdr:row>75</xdr:row>
      <xdr:rowOff>51955</xdr:rowOff>
    </xdr:to>
    <xdr:graphicFrame macro="">
      <xdr:nvGraphicFramePr>
        <xdr:cNvPr id="5" name="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0</xdr:row>
      <xdr:rowOff>1229591</xdr:rowOff>
    </xdr:to>
    <xdr:sp macro="" textlink="">
      <xdr:nvSpPr>
        <xdr:cNvPr id="6" name="5 Rectángulo redondeado"/>
        <xdr:cNvSpPr/>
      </xdr:nvSpPr>
      <xdr:spPr>
        <a:xfrm>
          <a:off x="0" y="0"/>
          <a:ext cx="16123227" cy="122959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Datos Generales del Sistema Dominicano de la Seguridad Social (SDSS) </a:t>
          </a:r>
        </a:p>
        <a:p>
          <a:pPr algn="ctr" eaLnBrk="1" fontAlgn="auto" latinLnBrk="0" hangingPunct="1"/>
          <a:r>
            <a:rPr lang="es-DO" sz="2000" b="1">
              <a:solidFill>
                <a:schemeClr val="lt1"/>
              </a:solidFill>
              <a:effectLst/>
              <a:latin typeface="+mn-lt"/>
              <a:ea typeface="+mn-ea"/>
              <a:cs typeface="+mn-cs"/>
            </a:rPr>
            <a:t>Salario Promedio Mensual de los Empleados Afiliados Activos al SDSS, por Sector</a:t>
          </a:r>
        </a:p>
        <a:p>
          <a:pPr algn="ctr" eaLnBrk="1" fontAlgn="auto" latinLnBrk="0" hangingPunct="1"/>
          <a:r>
            <a:rPr lang="es-DO" sz="2000" b="1">
              <a:solidFill>
                <a:schemeClr val="lt1"/>
              </a:solidFill>
              <a:effectLst/>
              <a:latin typeface="+mn-lt"/>
              <a:ea typeface="+mn-ea"/>
              <a:cs typeface="+mn-cs"/>
            </a:rPr>
            <a:t>Período: Diciembre 2008 - </a:t>
          </a:r>
          <a:r>
            <a:rPr lang="es-DO" sz="2000" b="1" baseline="0">
              <a:solidFill>
                <a:schemeClr val="lt1"/>
              </a:solidFill>
              <a:effectLst/>
              <a:latin typeface="+mn-lt"/>
              <a:ea typeface="+mn-ea"/>
              <a:cs typeface="+mn-cs"/>
            </a:rPr>
            <a:t> Noviembre </a:t>
          </a:r>
          <a:r>
            <a:rPr lang="es-DO" sz="2000" b="1">
              <a:solidFill>
                <a:schemeClr val="lt1"/>
              </a:solidFill>
              <a:effectLst/>
              <a:latin typeface="+mn-lt"/>
              <a:ea typeface="+mn-ea"/>
              <a:cs typeface="+mn-cs"/>
            </a:rPr>
            <a:t>2015</a:t>
          </a:r>
          <a:endParaRPr lang="es-DO" sz="6000">
            <a:effectLst/>
          </a:endParaRPr>
        </a:p>
      </xdr:txBody>
    </xdr:sp>
    <xdr:clientData/>
  </xdr:twoCellAnchor>
  <xdr:twoCellAnchor editAs="oneCell">
    <xdr:from>
      <xdr:col>0</xdr:col>
      <xdr:colOff>554181</xdr:colOff>
      <xdr:row>0</xdr:row>
      <xdr:rowOff>190498</xdr:rowOff>
    </xdr:from>
    <xdr:to>
      <xdr:col>1</xdr:col>
      <xdr:colOff>277091</xdr:colOff>
      <xdr:row>0</xdr:row>
      <xdr:rowOff>1008809</xdr:rowOff>
    </xdr:to>
    <xdr:pic>
      <xdr:nvPicPr>
        <xdr:cNvPr id="7" name="4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4181" y="190498"/>
          <a:ext cx="1229592" cy="8183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0.xml><?xml version="1.0" encoding="utf-8"?>
<xdr:wsDr xmlns:xdr="http://schemas.openxmlformats.org/drawingml/2006/spreadsheetDrawing" xmlns:a="http://schemas.openxmlformats.org/drawingml/2006/main">
  <xdr:twoCellAnchor>
    <xdr:from>
      <xdr:col>0</xdr:col>
      <xdr:colOff>138546</xdr:colOff>
      <xdr:row>17</xdr:row>
      <xdr:rowOff>95249</xdr:rowOff>
    </xdr:from>
    <xdr:to>
      <xdr:col>14</xdr:col>
      <xdr:colOff>640772</xdr:colOff>
      <xdr:row>69</xdr:row>
      <xdr:rowOff>69273</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0</xdr:colOff>
      <xdr:row>0</xdr:row>
      <xdr:rowOff>1160318</xdr:rowOff>
    </xdr:to>
    <xdr:sp macro="" textlink="">
      <xdr:nvSpPr>
        <xdr:cNvPr id="4" name="3 Rectángulo redondeado"/>
        <xdr:cNvSpPr/>
      </xdr:nvSpPr>
      <xdr:spPr>
        <a:xfrm>
          <a:off x="0" y="0"/>
          <a:ext cx="16867909" cy="11603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Seguro de Vejez, Discapacidad y Sobrevivencia (SVDS)</a:t>
          </a:r>
        </a:p>
        <a:p>
          <a:pPr algn="ctr" eaLnBrk="1" fontAlgn="auto" latinLnBrk="0" hangingPunct="1"/>
          <a:r>
            <a:rPr lang="es-DO" sz="2000" b="1">
              <a:solidFill>
                <a:schemeClr val="lt1"/>
              </a:solidFill>
              <a:effectLst/>
              <a:latin typeface="+mn-lt"/>
              <a:ea typeface="+mn-ea"/>
              <a:cs typeface="+mn-cs"/>
            </a:rPr>
            <a:t>Rentabilidad Promedio  de los Fondos de Pensiones</a:t>
          </a:r>
        </a:p>
        <a:p>
          <a:pPr algn="ctr" eaLnBrk="1" fontAlgn="auto" latinLnBrk="0" hangingPunct="1"/>
          <a:r>
            <a:rPr lang="es-DO" sz="2000" b="1">
              <a:solidFill>
                <a:schemeClr val="lt1"/>
              </a:solidFill>
              <a:effectLst/>
              <a:latin typeface="+mn-lt"/>
              <a:ea typeface="+mn-ea"/>
              <a:cs typeface="+mn-cs"/>
            </a:rPr>
            <a:t>Período: 2003 -   Noviembre</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 2015</a:t>
          </a:r>
          <a:endParaRPr lang="es-DO" sz="3200">
            <a:effectLst/>
          </a:endParaRPr>
        </a:p>
      </xdr:txBody>
    </xdr:sp>
    <xdr:clientData/>
  </xdr:twoCellAnchor>
  <xdr:twoCellAnchor editAs="oneCell">
    <xdr:from>
      <xdr:col>0</xdr:col>
      <xdr:colOff>685305</xdr:colOff>
      <xdr:row>0</xdr:row>
      <xdr:rowOff>132359</xdr:rowOff>
    </xdr:from>
    <xdr:to>
      <xdr:col>1</xdr:col>
      <xdr:colOff>596709</xdr:colOff>
      <xdr:row>0</xdr:row>
      <xdr:rowOff>865908</xdr:rowOff>
    </xdr:to>
    <xdr:pic>
      <xdr:nvPicPr>
        <xdr:cNvPr id="5" name="4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85305" y="132359"/>
          <a:ext cx="1037086" cy="733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1.xml><?xml version="1.0" encoding="utf-8"?>
<c:userShapes xmlns:c="http://schemas.openxmlformats.org/drawingml/2006/chart">
  <cdr:relSizeAnchor xmlns:cdr="http://schemas.openxmlformats.org/drawingml/2006/chartDrawing">
    <cdr:from>
      <cdr:x>0.03083</cdr:x>
      <cdr:y>0.90651</cdr:y>
    </cdr:from>
    <cdr:to>
      <cdr:x>0.6276</cdr:x>
      <cdr:y>0.95975</cdr:y>
    </cdr:to>
    <cdr:sp macro="" textlink="">
      <cdr:nvSpPr>
        <cdr:cNvPr id="2" name="1 CuadroTexto"/>
        <cdr:cNvSpPr txBox="1"/>
      </cdr:nvSpPr>
      <cdr:spPr>
        <a:xfrm xmlns:a="http://schemas.openxmlformats.org/drawingml/2006/main">
          <a:off x="507777" y="8956347"/>
          <a:ext cx="9828557" cy="52601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800" b="1">
              <a:latin typeface="+mn-lt"/>
              <a:ea typeface="+mn-ea"/>
              <a:cs typeface="+mn-cs"/>
            </a:rPr>
            <a:t>Fuente: </a:t>
          </a:r>
          <a:r>
            <a:rPr lang="en-US" sz="1800">
              <a:latin typeface="+mn-lt"/>
              <a:ea typeface="+mn-ea"/>
              <a:cs typeface="+mn-cs"/>
            </a:rPr>
            <a:t>SIPEN y Banco Central de la República  Dominicana </a:t>
          </a:r>
          <a:endParaRPr lang="en-US" sz="1800"/>
        </a:p>
        <a:p xmlns:a="http://schemas.openxmlformats.org/drawingml/2006/main">
          <a:endParaRPr lang="en-US" sz="2000"/>
        </a:p>
      </cdr:txBody>
    </cdr:sp>
  </cdr:relSizeAnchor>
</c:userShapes>
</file>

<file path=xl/drawings/drawing132.xml><?xml version="1.0" encoding="utf-8"?>
<xdr:wsDr xmlns:xdr="http://schemas.openxmlformats.org/drawingml/2006/spreadsheetDrawing" xmlns:a="http://schemas.openxmlformats.org/drawingml/2006/main">
  <xdr:twoCellAnchor editAs="oneCell">
    <xdr:from>
      <xdr:col>2</xdr:col>
      <xdr:colOff>515658</xdr:colOff>
      <xdr:row>5</xdr:row>
      <xdr:rowOff>166408</xdr:rowOff>
    </xdr:from>
    <xdr:to>
      <xdr:col>6</xdr:col>
      <xdr:colOff>628649</xdr:colOff>
      <xdr:row>25</xdr:row>
      <xdr:rowOff>180976</xdr:rowOff>
    </xdr:to>
    <xdr:pic>
      <xdr:nvPicPr>
        <xdr:cNvPr id="5" name="1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039658" y="1118908"/>
          <a:ext cx="3561041" cy="3824568"/>
        </a:xfrm>
        <a:prstGeom prst="rect">
          <a:avLst/>
        </a:prstGeom>
        <a:noFill/>
        <a:ln>
          <a:noFill/>
        </a:ln>
      </xdr:spPr>
    </xdr:pic>
    <xdr:clientData/>
  </xdr:twoCellAnchor>
  <xdr:twoCellAnchor>
    <xdr:from>
      <xdr:col>0</xdr:col>
      <xdr:colOff>85727</xdr:colOff>
      <xdr:row>5</xdr:row>
      <xdr:rowOff>19050</xdr:rowOff>
    </xdr:from>
    <xdr:to>
      <xdr:col>9</xdr:col>
      <xdr:colOff>590550</xdr:colOff>
      <xdr:row>28</xdr:row>
      <xdr:rowOff>76200</xdr:rowOff>
    </xdr:to>
    <xdr:sp macro="" textlink="">
      <xdr:nvSpPr>
        <xdr:cNvPr id="3" name="CuadroTexto 2"/>
        <xdr:cNvSpPr txBox="1"/>
      </xdr:nvSpPr>
      <xdr:spPr>
        <a:xfrm>
          <a:off x="85727" y="971550"/>
          <a:ext cx="7553323" cy="4438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Los pagos efectuados al Seguro de Riesgos Laborales (SRL), durante el período febrero 2005 hasta noviembre 2015,  para prevenir y cubrir daños ocasionados por accidentes de trabajo y/o enfermedades profesionales fue de</a:t>
          </a:r>
          <a:r>
            <a:rPr lang="en-US" sz="1400" b="0" baseline="0">
              <a:solidFill>
                <a:schemeClr val="dk1"/>
              </a:solidFill>
              <a:effectLst/>
              <a:latin typeface="+mn-lt"/>
              <a:ea typeface="+mn-ea"/>
              <a:cs typeface="+mn-cs"/>
            </a:rPr>
            <a:t> </a:t>
          </a:r>
          <a:r>
            <a:rPr lang="es-DO" sz="1400" b="0" baseline="0">
              <a:solidFill>
                <a:schemeClr val="dk1"/>
              </a:solidFill>
              <a:effectLst/>
              <a:latin typeface="+mn-lt"/>
              <a:ea typeface="+mn-ea"/>
              <a:cs typeface="+mn-cs"/>
            </a:rPr>
            <a:t>RD$23,821,200,466.26</a:t>
          </a:r>
          <a:r>
            <a:rPr lang="en-US" sz="1400" b="0" baseline="0">
              <a:solidFill>
                <a:schemeClr val="dk1"/>
              </a:solidFill>
              <a:effectLst/>
              <a:latin typeface="+mn-lt"/>
              <a:ea typeface="+mn-ea"/>
              <a:cs typeface="+mn-cs"/>
            </a:rPr>
            <a:t>.</a:t>
          </a:r>
        </a:p>
        <a:p>
          <a:pPr marL="0" marR="0" indent="0" defTabSz="914400" eaLnBrk="1" fontAlgn="auto" latinLnBrk="0" hangingPunct="1">
            <a:lnSpc>
              <a:spcPct val="100000"/>
            </a:lnSpc>
            <a:spcBef>
              <a:spcPts val="0"/>
            </a:spcBef>
            <a:spcAft>
              <a:spcPts val="0"/>
            </a:spcAft>
            <a:buClrTx/>
            <a:buSzTx/>
            <a:buFontTx/>
            <a:buNone/>
            <a:tabLst/>
            <a:defRPr/>
          </a:pPr>
          <a:endParaRPr lang="en-US" sz="1400" b="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Para el mismo período, el 95.01% de los fondos pagados al SRL, pertenecen a ARL Salud Segura; el 4.09% a la  Comisión de la SISALRIL y el 0.90% al Fondo de Solidaridad Social.   El crecimiento anual promedio  pagado a la ARL es de un 11.02%.</a:t>
          </a:r>
          <a:endParaRPr lang="es-ES" sz="1400" b="0" baseline="0">
            <a:solidFill>
              <a:schemeClr val="dk1"/>
            </a:solidFill>
            <a:effectLst/>
            <a:latin typeface="+mn-lt"/>
            <a:ea typeface="+mn-ea"/>
            <a:cs typeface="+mn-cs"/>
          </a:endParaRPr>
        </a:p>
        <a:p>
          <a:pPr eaLnBrk="1" fontAlgn="auto" latinLnBrk="0" hangingPunct="1"/>
          <a:endParaRPr lang="es-DO" sz="1400" b="0" baseline="0">
            <a:solidFill>
              <a:schemeClr val="dk1"/>
            </a:solidFill>
            <a:effectLst/>
            <a:latin typeface="+mn-lt"/>
            <a:ea typeface="+mn-ea"/>
            <a:cs typeface="+mn-cs"/>
          </a:endParaRPr>
        </a:p>
        <a:p>
          <a:pPr eaLnBrk="1" fontAlgn="auto" latinLnBrk="0" hangingPunct="1"/>
          <a:r>
            <a:rPr lang="es-DO" sz="1400" b="0" baseline="0">
              <a:solidFill>
                <a:schemeClr val="dk1"/>
              </a:solidFill>
              <a:effectLst/>
              <a:latin typeface="+mn-lt"/>
              <a:ea typeface="+mn-ea"/>
              <a:cs typeface="+mn-cs"/>
            </a:rPr>
            <a:t>De enero al mes de noviembre  2015, la suma total pagada ascienden a RD$</a:t>
          </a:r>
          <a:r>
            <a:rPr lang="es-ES" sz="1400" b="0" baseline="0">
              <a:solidFill>
                <a:schemeClr val="dk1"/>
              </a:solidFill>
              <a:effectLst/>
              <a:latin typeface="+mn-lt"/>
              <a:ea typeface="+mn-ea"/>
              <a:cs typeface="+mn-cs"/>
            </a:rPr>
            <a:t>3,225,582,586.72, </a:t>
          </a:r>
          <a:r>
            <a:rPr lang="es-DO" sz="1400" b="0" baseline="0">
              <a:solidFill>
                <a:schemeClr val="dk1"/>
              </a:solidFill>
              <a:effectLst/>
              <a:latin typeface="+mn-lt"/>
              <a:ea typeface="+mn-ea"/>
              <a:cs typeface="+mn-cs"/>
            </a:rPr>
            <a:t>distribuidos de la siguiente forma: el 95.35% a ARL Salud Segura; 4.13%  a la Comisión SISALRIL y 0.52% al Fondo de Solidaridad Social del Seguro de Riesgos Laborales (SRL).   </a:t>
          </a:r>
        </a:p>
        <a:p>
          <a:pPr eaLnBrk="1" fontAlgn="auto" latinLnBrk="0" hangingPunct="1"/>
          <a:endParaRPr lang="es-DO" sz="1400" b="0" baseline="0">
            <a:solidFill>
              <a:schemeClr val="dk1"/>
            </a:solidFill>
            <a:effectLst/>
            <a:latin typeface="+mn-lt"/>
            <a:ea typeface="+mn-ea"/>
            <a:cs typeface="+mn-cs"/>
          </a:endParaRPr>
        </a:p>
        <a:p>
          <a:pPr eaLnBrk="1" fontAlgn="auto" latinLnBrk="0" hangingPunct="1"/>
          <a:r>
            <a:rPr lang="es-DO" sz="1400" b="0" baseline="0">
              <a:solidFill>
                <a:schemeClr val="dk1"/>
              </a:solidFill>
              <a:effectLst/>
              <a:latin typeface="+mn-lt"/>
              <a:ea typeface="+mn-ea"/>
              <a:cs typeface="+mn-cs"/>
            </a:rPr>
            <a:t>Los fondos pagados a SRL de enero al mes de noviembre 2014 fueron de RD$</a:t>
          </a:r>
          <a:r>
            <a:rPr lang="es-ES" sz="1400" b="0" baseline="0">
              <a:solidFill>
                <a:schemeClr val="dk1"/>
              </a:solidFill>
              <a:effectLst/>
              <a:latin typeface="+mn-lt"/>
              <a:ea typeface="+mn-ea"/>
              <a:cs typeface="+mn-cs"/>
            </a:rPr>
            <a:t>2,884,024,799.17</a:t>
          </a:r>
          <a:r>
            <a:rPr lang="es-DO" sz="1400" b="0" baseline="0">
              <a:solidFill>
                <a:schemeClr val="dk1"/>
              </a:solidFill>
              <a:effectLst/>
              <a:latin typeface="+mn-lt"/>
              <a:ea typeface="+mn-ea"/>
              <a:cs typeface="+mn-cs"/>
            </a:rPr>
            <a:t>, comparándolo con el período anterior del 2015, se observa una variación en los pagos RD$341,557,787.55.</a:t>
          </a:r>
          <a:endParaRPr lang="es-ES" sz="1400" b="0" baseline="0">
            <a:solidFill>
              <a:schemeClr val="dk1"/>
            </a:solidFill>
            <a:effectLst/>
            <a:latin typeface="+mn-lt"/>
            <a:ea typeface="+mn-ea"/>
            <a:cs typeface="+mn-cs"/>
          </a:endParaRPr>
        </a:p>
      </xdr:txBody>
    </xdr:sp>
    <xdr:clientData/>
  </xdr:twoCellAnchor>
  <xdr:twoCellAnchor>
    <xdr:from>
      <xdr:col>0</xdr:col>
      <xdr:colOff>0</xdr:colOff>
      <xdr:row>0</xdr:row>
      <xdr:rowOff>0</xdr:rowOff>
    </xdr:from>
    <xdr:to>
      <xdr:col>10</xdr:col>
      <xdr:colOff>0</xdr:colOff>
      <xdr:row>3</xdr:row>
      <xdr:rowOff>174625</xdr:rowOff>
    </xdr:to>
    <xdr:sp macro="" textlink="">
      <xdr:nvSpPr>
        <xdr:cNvPr id="4" name="3 Rectángulo redondeado"/>
        <xdr:cNvSpPr/>
      </xdr:nvSpPr>
      <xdr:spPr>
        <a:xfrm>
          <a:off x="0" y="0"/>
          <a:ext cx="9128125" cy="74612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marL="0" marR="0" indent="0" algn="ctr" defTabSz="914400" eaLnBrk="1" fontAlgn="auto" latinLnBrk="0" hangingPunct="1">
            <a:lnSpc>
              <a:spcPct val="100000"/>
            </a:lnSpc>
            <a:spcBef>
              <a:spcPts val="0"/>
            </a:spcBef>
            <a:spcAft>
              <a:spcPts val="0"/>
            </a:spcAft>
            <a:buClrTx/>
            <a:buSzTx/>
            <a:buFontTx/>
            <a:buNone/>
            <a:tabLst/>
            <a:defRPr/>
          </a:pPr>
          <a:r>
            <a:rPr lang="es-DO" sz="1800" b="1">
              <a:solidFill>
                <a:schemeClr val="lt1"/>
              </a:solidFill>
              <a:effectLst/>
              <a:latin typeface="+mn-lt"/>
              <a:ea typeface="+mn-ea"/>
              <a:cs typeface="+mn-cs"/>
            </a:rPr>
            <a:t>Sistema Dominicano de Seguridad Social</a:t>
          </a:r>
          <a:endParaRPr lang="es-ES" sz="2400">
            <a:effectLst/>
          </a:endParaRPr>
        </a:p>
        <a:p>
          <a:pPr algn="ctr" eaLnBrk="1" fontAlgn="auto" latinLnBrk="0" hangingPunct="1"/>
          <a:r>
            <a:rPr lang="es-DO" sz="1600" b="1">
              <a:solidFill>
                <a:schemeClr val="lt1"/>
              </a:solidFill>
              <a:effectLst/>
              <a:latin typeface="+mn-lt"/>
              <a:ea typeface="+mn-ea"/>
              <a:cs typeface="+mn-cs"/>
            </a:rPr>
            <a:t>Pagos al Seguro de Riesgos Laborales (SRL)</a:t>
          </a:r>
        </a:p>
      </xdr:txBody>
    </xdr:sp>
    <xdr:clientData/>
  </xdr:twoCellAnchor>
  <xdr:oneCellAnchor>
    <xdr:from>
      <xdr:col>0</xdr:col>
      <xdr:colOff>302558</xdr:colOff>
      <xdr:row>0</xdr:row>
      <xdr:rowOff>112058</xdr:rowOff>
    </xdr:from>
    <xdr:ext cx="705971" cy="500747"/>
    <xdr:pic>
      <xdr:nvPicPr>
        <xdr:cNvPr id="6" name="4 Imagen" descr="logo_2x4.bmp"/>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02558" y="112058"/>
          <a:ext cx="705971" cy="5007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302558</xdr:colOff>
      <xdr:row>0</xdr:row>
      <xdr:rowOff>112058</xdr:rowOff>
    </xdr:from>
    <xdr:to>
      <xdr:col>1</xdr:col>
      <xdr:colOff>293033</xdr:colOff>
      <xdr:row>3</xdr:row>
      <xdr:rowOff>83483</xdr:rowOff>
    </xdr:to>
    <xdr:pic>
      <xdr:nvPicPr>
        <xdr:cNvPr id="7" name="6 Imagen" descr="logo_2x4.bmp">
          <a:hlinkClick xmlns:r="http://schemas.openxmlformats.org/officeDocument/2006/relationships" r:id="rId4"/>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02558" y="112058"/>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3.xml><?xml version="1.0" encoding="utf-8"?>
<xdr:wsDr xmlns:xdr="http://schemas.openxmlformats.org/drawingml/2006/spreadsheetDrawing" xmlns:a="http://schemas.openxmlformats.org/drawingml/2006/main">
  <xdr:twoCellAnchor>
    <xdr:from>
      <xdr:col>0</xdr:col>
      <xdr:colOff>0</xdr:colOff>
      <xdr:row>16</xdr:row>
      <xdr:rowOff>117432</xdr:rowOff>
    </xdr:from>
    <xdr:to>
      <xdr:col>11</xdr:col>
      <xdr:colOff>1161266</xdr:colOff>
      <xdr:row>44</xdr:row>
      <xdr:rowOff>39144</xdr:rowOff>
    </xdr:to>
    <xdr:graphicFrame macro="">
      <xdr:nvGraphicFramePr>
        <xdr:cNvPr id="66671"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0</xdr:colOff>
      <xdr:row>1</xdr:row>
      <xdr:rowOff>39143</xdr:rowOff>
    </xdr:to>
    <xdr:sp macro="" textlink="">
      <xdr:nvSpPr>
        <xdr:cNvPr id="4" name="3 Rectángulo redondeado"/>
        <xdr:cNvSpPr/>
      </xdr:nvSpPr>
      <xdr:spPr>
        <a:xfrm>
          <a:off x="0" y="0"/>
          <a:ext cx="13739486" cy="86116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Riesgos Laborales</a:t>
          </a:r>
        </a:p>
        <a:p>
          <a:pPr algn="ctr" eaLnBrk="1" fontAlgn="auto" latinLnBrk="0" hangingPunct="1"/>
          <a:r>
            <a:rPr lang="es-DO" sz="1800" b="1">
              <a:solidFill>
                <a:schemeClr val="lt1"/>
              </a:solidFill>
              <a:effectLst/>
              <a:latin typeface="+mn-lt"/>
              <a:ea typeface="+mn-ea"/>
              <a:cs typeface="+mn-cs"/>
            </a:rPr>
            <a:t>Pagos Anuales al Seguro de Riesgo Laborales</a:t>
          </a:r>
          <a:r>
            <a:rPr lang="es-DO" sz="1800" b="1" baseline="0">
              <a:solidFill>
                <a:schemeClr val="lt1"/>
              </a:solidFill>
              <a:effectLst/>
              <a:latin typeface="+mn-lt"/>
              <a:ea typeface="+mn-ea"/>
              <a:cs typeface="+mn-cs"/>
            </a:rPr>
            <a:t> (S</a:t>
          </a:r>
          <a:r>
            <a:rPr lang="es-DO" sz="1800" b="1">
              <a:solidFill>
                <a:schemeClr val="lt1"/>
              </a:solidFill>
              <a:effectLst/>
              <a:latin typeface="+mn-lt"/>
              <a:ea typeface="+mn-ea"/>
              <a:cs typeface="+mn-cs"/>
            </a:rPr>
            <a:t>RL) por Cuentas</a:t>
          </a:r>
        </a:p>
        <a:p>
          <a:pPr algn="ctr" eaLnBrk="1" fontAlgn="auto" latinLnBrk="0" hangingPunct="1"/>
          <a:r>
            <a:rPr lang="es-DO" sz="1800" b="1">
              <a:solidFill>
                <a:schemeClr val="lt1"/>
              </a:solidFill>
              <a:effectLst/>
              <a:latin typeface="+mn-lt"/>
              <a:ea typeface="+mn-ea"/>
              <a:cs typeface="+mn-cs"/>
            </a:rPr>
            <a:t>Período: Febrero 2005 - Noviembre 2015</a:t>
          </a:r>
          <a:endParaRPr lang="es-DO" sz="2800">
            <a:effectLst/>
          </a:endParaRPr>
        </a:p>
      </xdr:txBody>
    </xdr:sp>
    <xdr:clientData/>
  </xdr:twoCellAnchor>
  <xdr:twoCellAnchor editAs="oneCell">
    <xdr:from>
      <xdr:col>0</xdr:col>
      <xdr:colOff>482772</xdr:colOff>
      <xdr:row>0</xdr:row>
      <xdr:rowOff>195718</xdr:rowOff>
    </xdr:from>
    <xdr:to>
      <xdr:col>1</xdr:col>
      <xdr:colOff>399537</xdr:colOff>
      <xdr:row>0</xdr:row>
      <xdr:rowOff>782876</xdr:rowOff>
    </xdr:to>
    <xdr:pic>
      <xdr:nvPicPr>
        <xdr:cNvPr id="5"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2772" y="195718"/>
          <a:ext cx="856217" cy="5871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4.xml><?xml version="1.0" encoding="utf-8"?>
<c:userShapes xmlns:c="http://schemas.openxmlformats.org/drawingml/2006/chart">
  <cdr:relSizeAnchor xmlns:cdr="http://schemas.openxmlformats.org/drawingml/2006/chartDrawing">
    <cdr:from>
      <cdr:x>0.04889</cdr:x>
      <cdr:y>0.93135</cdr:y>
    </cdr:from>
    <cdr:to>
      <cdr:x>0.28251</cdr:x>
      <cdr:y>0.9825</cdr:y>
    </cdr:to>
    <cdr:sp macro="" textlink="">
      <cdr:nvSpPr>
        <cdr:cNvPr id="2" name="1 CuadroTexto"/>
        <cdr:cNvSpPr txBox="1"/>
      </cdr:nvSpPr>
      <cdr:spPr>
        <a:xfrm xmlns:a="http://schemas.openxmlformats.org/drawingml/2006/main">
          <a:off x="689585" y="5310513"/>
          <a:ext cx="3295170" cy="29165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400"/>
            <a:t>Fuente: TSS</a:t>
          </a:r>
        </a:p>
      </cdr:txBody>
    </cdr:sp>
  </cdr:relSizeAnchor>
</c:userShapes>
</file>

<file path=xl/drawings/drawing135.xml><?xml version="1.0" encoding="utf-8"?>
<xdr:wsDr xmlns:xdr="http://schemas.openxmlformats.org/drawingml/2006/spreadsheetDrawing" xmlns:a="http://schemas.openxmlformats.org/drawingml/2006/main">
  <xdr:twoCellAnchor editAs="oneCell">
    <xdr:from>
      <xdr:col>1</xdr:col>
      <xdr:colOff>1238250</xdr:colOff>
      <xdr:row>0</xdr:row>
      <xdr:rowOff>74830</xdr:rowOff>
    </xdr:from>
    <xdr:to>
      <xdr:col>3</xdr:col>
      <xdr:colOff>181894</xdr:colOff>
      <xdr:row>0</xdr:row>
      <xdr:rowOff>186736</xdr:rowOff>
    </xdr:to>
    <xdr:pic>
      <xdr:nvPicPr>
        <xdr:cNvPr id="3"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2000250" y="74830"/>
          <a:ext cx="1009650" cy="660994"/>
        </a:xfrm>
        <a:prstGeom prst="rect">
          <a:avLst/>
        </a:prstGeom>
        <a:ln>
          <a:noFill/>
        </a:ln>
        <a:effectLst>
          <a:softEdge rad="112500"/>
        </a:effectLst>
      </xdr:spPr>
    </xdr:pic>
    <xdr:clientData/>
  </xdr:twoCellAnchor>
  <xdr:twoCellAnchor editAs="oneCell">
    <xdr:from>
      <xdr:col>1</xdr:col>
      <xdr:colOff>1238250</xdr:colOff>
      <xdr:row>0</xdr:row>
      <xdr:rowOff>74830</xdr:rowOff>
    </xdr:from>
    <xdr:to>
      <xdr:col>3</xdr:col>
      <xdr:colOff>181894</xdr:colOff>
      <xdr:row>0</xdr:row>
      <xdr:rowOff>186736</xdr:rowOff>
    </xdr:to>
    <xdr:pic>
      <xdr:nvPicPr>
        <xdr:cNvPr id="5" name="4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2076450" y="74830"/>
          <a:ext cx="1069789" cy="111906"/>
        </a:xfrm>
        <a:prstGeom prst="rect">
          <a:avLst/>
        </a:prstGeom>
        <a:ln>
          <a:noFill/>
        </a:ln>
        <a:effectLst>
          <a:softEdge rad="112500"/>
        </a:effectLst>
      </xdr:spPr>
    </xdr:pic>
    <xdr:clientData/>
  </xdr:twoCellAnchor>
  <xdr:twoCellAnchor>
    <xdr:from>
      <xdr:col>0</xdr:col>
      <xdr:colOff>33617</xdr:colOff>
      <xdr:row>17</xdr:row>
      <xdr:rowOff>156882</xdr:rowOff>
    </xdr:from>
    <xdr:to>
      <xdr:col>11</xdr:col>
      <xdr:colOff>515470</xdr:colOff>
      <xdr:row>44</xdr:row>
      <xdr:rowOff>78441</xdr:rowOff>
    </xdr:to>
    <xdr:graphicFrame macro="">
      <xdr:nvGraphicFramePr>
        <xdr:cNvPr id="67809" name="10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12</xdr:col>
      <xdr:colOff>0</xdr:colOff>
      <xdr:row>1</xdr:row>
      <xdr:rowOff>44823</xdr:rowOff>
    </xdr:to>
    <xdr:sp macro="" textlink="">
      <xdr:nvSpPr>
        <xdr:cNvPr id="7" name="6 Rectángulo redondeado"/>
        <xdr:cNvSpPr/>
      </xdr:nvSpPr>
      <xdr:spPr>
        <a:xfrm>
          <a:off x="0" y="0"/>
          <a:ext cx="11396382" cy="82923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 (SRL)</a:t>
          </a:r>
        </a:p>
        <a:p>
          <a:pPr algn="ctr" eaLnBrk="1" fontAlgn="auto" latinLnBrk="0" hangingPunct="1"/>
          <a:r>
            <a:rPr lang="es-DO" sz="1600" b="1">
              <a:solidFill>
                <a:schemeClr val="lt1"/>
              </a:solidFill>
              <a:effectLst/>
              <a:latin typeface="+mn-lt"/>
              <a:ea typeface="+mn-ea"/>
              <a:cs typeface="+mn-cs"/>
            </a:rPr>
            <a:t>Pagos Mensuales</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por Cuentas al  SRL</a:t>
          </a:r>
        </a:p>
        <a:p>
          <a:pPr algn="ctr" eaLnBrk="1" fontAlgn="auto" latinLnBrk="0" hangingPunct="1"/>
          <a:r>
            <a:rPr lang="es-DO" sz="1600" b="1">
              <a:solidFill>
                <a:schemeClr val="lt1"/>
              </a:solidFill>
              <a:effectLst/>
              <a:latin typeface="+mn-lt"/>
              <a:ea typeface="+mn-ea"/>
              <a:cs typeface="+mn-cs"/>
            </a:rPr>
            <a:t>Período: Noviembre 2014 -  Noviembre 2015</a:t>
          </a:r>
          <a:endParaRPr lang="es-DO" sz="2400">
            <a:effectLst/>
          </a:endParaRPr>
        </a:p>
      </xdr:txBody>
    </xdr:sp>
    <xdr:clientData/>
  </xdr:twoCellAnchor>
  <xdr:twoCellAnchor editAs="oneCell">
    <xdr:from>
      <xdr:col>0</xdr:col>
      <xdr:colOff>448236</xdr:colOff>
      <xdr:row>0</xdr:row>
      <xdr:rowOff>156882</xdr:rowOff>
    </xdr:from>
    <xdr:to>
      <xdr:col>1</xdr:col>
      <xdr:colOff>278881</xdr:colOff>
      <xdr:row>0</xdr:row>
      <xdr:rowOff>605117</xdr:rowOff>
    </xdr:to>
    <xdr:pic>
      <xdr:nvPicPr>
        <xdr:cNvPr id="9" name="9 Imagen" descr="logo_2x4.bmp">
          <a:hlinkClick xmlns:r="http://schemas.openxmlformats.org/officeDocument/2006/relationships" r:id="rId4"/>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48236" y="156882"/>
          <a:ext cx="626263" cy="448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6.xml><?xml version="1.0" encoding="utf-8"?>
<c:userShapes xmlns:c="http://schemas.openxmlformats.org/drawingml/2006/chart">
  <cdr:relSizeAnchor xmlns:cdr="http://schemas.openxmlformats.org/drawingml/2006/chartDrawing">
    <cdr:from>
      <cdr:x>0.02941</cdr:x>
      <cdr:y>0.94041</cdr:y>
    </cdr:from>
    <cdr:to>
      <cdr:x>0.21323</cdr:x>
      <cdr:y>0.99446</cdr:y>
    </cdr:to>
    <cdr:sp macro="" textlink="">
      <cdr:nvSpPr>
        <cdr:cNvPr id="2" name="1 CuadroTexto"/>
        <cdr:cNvSpPr txBox="1"/>
      </cdr:nvSpPr>
      <cdr:spPr>
        <a:xfrm xmlns:a="http://schemas.openxmlformats.org/drawingml/2006/main">
          <a:off x="356878" y="4689483"/>
          <a:ext cx="2230834" cy="26952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1"/>
            <a:t>Fuente: </a:t>
          </a:r>
          <a:r>
            <a:rPr lang="en-US" sz="1100"/>
            <a:t>TSS</a:t>
          </a:r>
        </a:p>
      </cdr:txBody>
    </cdr:sp>
  </cdr:relSizeAnchor>
</c:userShapes>
</file>

<file path=xl/drawings/drawing137.xml><?xml version="1.0" encoding="utf-8"?>
<xdr:wsDr xmlns:xdr="http://schemas.openxmlformats.org/drawingml/2006/spreadsheetDrawing" xmlns:a="http://schemas.openxmlformats.org/drawingml/2006/main">
  <xdr:twoCellAnchor editAs="oneCell">
    <xdr:from>
      <xdr:col>2</xdr:col>
      <xdr:colOff>687456</xdr:colOff>
      <xdr:row>4</xdr:row>
      <xdr:rowOff>57978</xdr:rowOff>
    </xdr:from>
    <xdr:to>
      <xdr:col>8</xdr:col>
      <xdr:colOff>708894</xdr:colOff>
      <xdr:row>30</xdr:row>
      <xdr:rowOff>186115</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211456" y="819978"/>
          <a:ext cx="4419503" cy="5081137"/>
        </a:xfrm>
        <a:prstGeom prst="rect">
          <a:avLst/>
        </a:prstGeom>
        <a:noFill/>
        <a:ln>
          <a:noFill/>
        </a:ln>
      </xdr:spPr>
    </xdr:pic>
    <xdr:clientData/>
  </xdr:twoCellAnchor>
  <xdr:twoCellAnchor>
    <xdr:from>
      <xdr:col>0</xdr:col>
      <xdr:colOff>298173</xdr:colOff>
      <xdr:row>9</xdr:row>
      <xdr:rowOff>157371</xdr:rowOff>
    </xdr:from>
    <xdr:to>
      <xdr:col>11</xdr:col>
      <xdr:colOff>629477</xdr:colOff>
      <xdr:row>21</xdr:row>
      <xdr:rowOff>107675</xdr:rowOff>
    </xdr:to>
    <xdr:sp macro="" textlink="">
      <xdr:nvSpPr>
        <xdr:cNvPr id="2" name="1 CuadroTexto"/>
        <xdr:cNvSpPr txBox="1"/>
      </xdr:nvSpPr>
      <xdr:spPr>
        <a:xfrm>
          <a:off x="298173" y="1871871"/>
          <a:ext cx="8539369" cy="22363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BENEFICIOS, SOLICITUDES DE BENEFICIOS Y BENEFICIARIOS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rPr>
            <a:t>Estadísticas del Sistema Dominicano de Seguridad Social</a:t>
          </a:r>
        </a:p>
      </xdr:txBody>
    </xdr:sp>
    <xdr:clientData/>
  </xdr:twoCellAnchor>
  <xdr:twoCellAnchor editAs="oneCell">
    <xdr:from>
      <xdr:col>0</xdr:col>
      <xdr:colOff>256759</xdr:colOff>
      <xdr:row>1</xdr:row>
      <xdr:rowOff>173934</xdr:rowOff>
    </xdr:from>
    <xdr:to>
      <xdr:col>1</xdr:col>
      <xdr:colOff>513522</xdr:colOff>
      <xdr:row>5</xdr:row>
      <xdr:rowOff>39533</xdr:rowOff>
    </xdr:to>
    <xdr:pic>
      <xdr:nvPicPr>
        <xdr:cNvPr id="3" name="4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4627" t="9783" r="3607" b="13044"/>
        <a:stretch/>
      </xdr:blipFill>
      <xdr:spPr bwMode="auto">
        <a:xfrm>
          <a:off x="256759" y="364434"/>
          <a:ext cx="1018763" cy="6275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8.xml><?xml version="1.0" encoding="utf-8"?>
<xdr:wsDr xmlns:xdr="http://schemas.openxmlformats.org/drawingml/2006/spreadsheetDrawing" xmlns:a="http://schemas.openxmlformats.org/drawingml/2006/main">
  <xdr:twoCellAnchor editAs="oneCell">
    <xdr:from>
      <xdr:col>4</xdr:col>
      <xdr:colOff>291353</xdr:colOff>
      <xdr:row>3</xdr:row>
      <xdr:rowOff>44823</xdr:rowOff>
    </xdr:from>
    <xdr:to>
      <xdr:col>10</xdr:col>
      <xdr:colOff>273327</xdr:colOff>
      <xdr:row>29</xdr:row>
      <xdr:rowOff>172960</xdr:rowOff>
    </xdr:to>
    <xdr:pic>
      <xdr:nvPicPr>
        <xdr:cNvPr id="6" name="5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339353" y="616323"/>
          <a:ext cx="4419503" cy="5081137"/>
        </a:xfrm>
        <a:prstGeom prst="rect">
          <a:avLst/>
        </a:prstGeom>
        <a:noFill/>
        <a:ln>
          <a:noFill/>
        </a:ln>
      </xdr:spPr>
    </xdr:pic>
    <xdr:clientData/>
  </xdr:twoCellAnchor>
  <xdr:twoCellAnchor>
    <xdr:from>
      <xdr:col>1</xdr:col>
      <xdr:colOff>661146</xdr:colOff>
      <xdr:row>6</xdr:row>
      <xdr:rowOff>56031</xdr:rowOff>
    </xdr:from>
    <xdr:to>
      <xdr:col>12</xdr:col>
      <xdr:colOff>302559</xdr:colOff>
      <xdr:row>16</xdr:row>
      <xdr:rowOff>33619</xdr:rowOff>
    </xdr:to>
    <xdr:sp macro="" textlink="">
      <xdr:nvSpPr>
        <xdr:cNvPr id="3" name="2 CuadroTexto"/>
        <xdr:cNvSpPr txBox="1"/>
      </xdr:nvSpPr>
      <xdr:spPr>
        <a:xfrm>
          <a:off x="1423146" y="1199031"/>
          <a:ext cx="7888942" cy="1882588"/>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800" b="1" baseline="0">
              <a:solidFill>
                <a:srgbClr val="0070C0"/>
              </a:solidFill>
              <a:effectLst/>
              <a:latin typeface="+mn-lt"/>
              <a:ea typeface="+mn-ea"/>
              <a:cs typeface="+mn-cs"/>
            </a:rPr>
            <a:t>Beneficiarios, Beneficios</a:t>
          </a:r>
        </a:p>
        <a:p>
          <a:pPr marL="0" marR="0" indent="0" algn="ctr" defTabSz="914400" eaLnBrk="1" fontAlgn="auto" latinLnBrk="0" hangingPunct="1">
            <a:lnSpc>
              <a:spcPct val="100000"/>
            </a:lnSpc>
            <a:spcBef>
              <a:spcPts val="0"/>
            </a:spcBef>
            <a:spcAft>
              <a:spcPts val="0"/>
            </a:spcAft>
            <a:buClrTx/>
            <a:buSzTx/>
            <a:buFontTx/>
            <a:buNone/>
            <a:tabLst/>
            <a:defRPr/>
          </a:pPr>
          <a:r>
            <a:rPr lang="es-DO" sz="4000" b="1">
              <a:solidFill>
                <a:schemeClr val="accent3">
                  <a:lumMod val="50000"/>
                </a:schemeClr>
              </a:solidFill>
            </a:rPr>
            <a:t>Estancias Infantiles </a:t>
          </a:r>
        </a:p>
      </xdr:txBody>
    </xdr:sp>
    <xdr:clientData/>
  </xdr:twoCellAnchor>
  <xdr:twoCellAnchor editAs="oneCell">
    <xdr:from>
      <xdr:col>0</xdr:col>
      <xdr:colOff>168088</xdr:colOff>
      <xdr:row>0</xdr:row>
      <xdr:rowOff>173183</xdr:rowOff>
    </xdr:from>
    <xdr:to>
      <xdr:col>1</xdr:col>
      <xdr:colOff>750794</xdr:colOff>
      <xdr:row>5</xdr:row>
      <xdr:rowOff>69971</xdr:rowOff>
    </xdr:to>
    <xdr:pic>
      <xdr:nvPicPr>
        <xdr:cNvPr id="4"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168088" y="173183"/>
          <a:ext cx="1344706" cy="8492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179292</xdr:colOff>
      <xdr:row>18</xdr:row>
      <xdr:rowOff>6536</xdr:rowOff>
    </xdr:from>
    <xdr:to>
      <xdr:col>9</xdr:col>
      <xdr:colOff>582706</xdr:colOff>
      <xdr:row>32</xdr:row>
      <xdr:rowOff>174175</xdr:rowOff>
    </xdr:to>
    <xdr:pic>
      <xdr:nvPicPr>
        <xdr:cNvPr id="5" name="4 Imagen" descr="http://www.primicias.com.do/images/stories/Diaria/Va-de-primero.jpg"/>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227292" y="3435536"/>
          <a:ext cx="4078943" cy="2834639"/>
        </a:xfrm>
        <a:prstGeom prst="rect">
          <a:avLst/>
        </a:prstGeom>
        <a:ln>
          <a:noFill/>
        </a:ln>
        <a:effectLst>
          <a:softEdge rad="112500"/>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139.xml><?xml version="1.0" encoding="utf-8"?>
<xdr:wsDr xmlns:xdr="http://schemas.openxmlformats.org/drawingml/2006/spreadsheetDrawing" xmlns:a="http://schemas.openxmlformats.org/drawingml/2006/main">
  <xdr:twoCellAnchor editAs="oneCell">
    <xdr:from>
      <xdr:col>4</xdr:col>
      <xdr:colOff>425823</xdr:colOff>
      <xdr:row>5</xdr:row>
      <xdr:rowOff>100853</xdr:rowOff>
    </xdr:from>
    <xdr:to>
      <xdr:col>10</xdr:col>
      <xdr:colOff>407797</xdr:colOff>
      <xdr:row>32</xdr:row>
      <xdr:rowOff>38490</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473823" y="1053353"/>
          <a:ext cx="4419503" cy="5081137"/>
        </a:xfrm>
        <a:prstGeom prst="rect">
          <a:avLst/>
        </a:prstGeom>
        <a:noFill/>
        <a:ln>
          <a:noFill/>
        </a:ln>
      </xdr:spPr>
    </xdr:pic>
    <xdr:clientData/>
  </xdr:twoCellAnchor>
  <xdr:twoCellAnchor>
    <xdr:from>
      <xdr:col>0</xdr:col>
      <xdr:colOff>0</xdr:colOff>
      <xdr:row>0</xdr:row>
      <xdr:rowOff>0</xdr:rowOff>
    </xdr:from>
    <xdr:to>
      <xdr:col>13</xdr:col>
      <xdr:colOff>739588</xdr:colOff>
      <xdr:row>38</xdr:row>
      <xdr:rowOff>0</xdr:rowOff>
    </xdr:to>
    <xdr:sp macro="" textlink="">
      <xdr:nvSpPr>
        <xdr:cNvPr id="2" name="1 CuadroTexto"/>
        <xdr:cNvSpPr txBox="1"/>
      </xdr:nvSpPr>
      <xdr:spPr>
        <a:xfrm>
          <a:off x="0" y="0"/>
          <a:ext cx="10511117" cy="7239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chemeClr val="accent3">
                <a:lumMod val="50000"/>
              </a:schemeClr>
            </a:solidFill>
          </a:endParaRPr>
        </a:p>
        <a:p>
          <a:r>
            <a:rPr lang="en-US" sz="1400" b="0" i="0" u="none" strike="noStrike" baseline="0" smtClean="0">
              <a:solidFill>
                <a:schemeClr val="dk1"/>
              </a:solidFill>
              <a:latin typeface="+mn-lt"/>
              <a:ea typeface="+mn-ea"/>
              <a:cs typeface="+mn-cs"/>
            </a:rPr>
            <a:t>El creciente papel de la mujer en el ámbito laboral, sin dejar de cumplir con su papel en la familia, ha ido de la mano con la necesidad de contar con espacios apropiados para el cuidado y el desarrollo de los hijos.</a:t>
          </a:r>
          <a:endParaRPr lang="es-DO" sz="14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La Ley 87-01 en su artículo 134 establece  que el </a:t>
          </a:r>
          <a:r>
            <a:rPr lang="es-DO" sz="1400" b="0">
              <a:solidFill>
                <a:schemeClr val="dk1"/>
              </a:solidFill>
              <a:effectLst/>
              <a:latin typeface="+mn-lt"/>
              <a:ea typeface="+mn-ea"/>
              <a:cs typeface="+mn-cs"/>
            </a:rPr>
            <a:t>Sistema Dominicano de Seguridad Social (SDSS)  desarrollará servicios</a:t>
          </a:r>
          <a:r>
            <a:rPr lang="es-DO" sz="1400" b="0" baseline="0">
              <a:solidFill>
                <a:schemeClr val="dk1"/>
              </a:solidFill>
              <a:effectLst/>
              <a:latin typeface="+mn-lt"/>
              <a:ea typeface="+mn-ea"/>
              <a:cs typeface="+mn-cs"/>
            </a:rPr>
            <a:t> de estancias infantiles para atender  a los hijos de los trabajadores , en edades desde los cuarenta y cinco (45) días  de nacidos  hasta cumplir los  cinco (5) años de edad</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1" baseline="0">
              <a:solidFill>
                <a:schemeClr val="dk1"/>
              </a:solidFill>
              <a:effectLst/>
              <a:latin typeface="+mn-lt"/>
              <a:ea typeface="+mn-ea"/>
              <a:cs typeface="+mn-cs"/>
            </a:rPr>
            <a:t>Las Estancias Infantiles otorgan servicios de atención  física, educativa y afectiva mediante las siguientes prestaciones:</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 Alimentación apropiada en consonancia con la edad y salud del niño o niña;</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 Servicios de salud materno infantil;</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-Educación pre-escolar;</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-Actividades de desarrollo psico-social;</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-Recreación</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La </a:t>
          </a:r>
          <a:r>
            <a:rPr lang="es-ES" sz="1400" b="0" baseline="0">
              <a:solidFill>
                <a:schemeClr val="dk1"/>
              </a:solidFill>
              <a:effectLst/>
              <a:latin typeface="+mn-lt"/>
              <a:ea typeface="+mn-ea"/>
              <a:cs typeface="+mn-cs"/>
            </a:rPr>
            <a:t> prestación de estos servicios está a cargo del Instituto Dominicano de Seguros Sociales (IDSS), el cual es ofrecido utilizando instalaciones propias, cogestionada  o subrogadas, siempre que en cualquier caso las estancias infantiles cuenten en cada área con un personal técnicamente calificado en la atención de menores y se apliquen las políticas, metodologías y normas establecidas por el Consejo Nacional de las Estancias Infantiles (CONDEI).</a:t>
          </a:r>
          <a:endParaRPr lang="en-US" sz="1400" b="0" baseline="0">
            <a:solidFill>
              <a:schemeClr val="dk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endParaRPr lang="en-US" sz="1400" b="0" baseline="0">
            <a:solidFill>
              <a:schemeClr val="dk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b="0" baseline="0">
              <a:solidFill>
                <a:schemeClr val="dk1"/>
              </a:solidFill>
              <a:effectLst/>
              <a:latin typeface="+mn-lt"/>
              <a:ea typeface="+mn-ea"/>
              <a:cs typeface="+mn-cs"/>
            </a:rPr>
            <a:t>Esta prestación complementaria del Sistema representa un punto importante para las familias dominicanas afiliadas, pues los servicios de Estancias, están libres de cuota o copago adicionales a la cotización de los afiliados al Seguro Familiar de Salud, sin importar el número de menores dependientes que califiquen para esta prestación</a:t>
          </a:r>
          <a:r>
            <a:rPr lang="en-US" sz="1400">
              <a:effectLst/>
            </a:rPr>
            <a:t>.</a:t>
          </a:r>
        </a:p>
        <a:p>
          <a:pPr marL="0" marR="0" indent="0" algn="l" defTabSz="914400" eaLnBrk="1" fontAlgn="auto" latinLnBrk="0" hangingPunct="1">
            <a:lnSpc>
              <a:spcPct val="100000"/>
            </a:lnSpc>
            <a:spcBef>
              <a:spcPts val="0"/>
            </a:spcBef>
            <a:spcAft>
              <a:spcPts val="0"/>
            </a:spcAft>
            <a:buClrTx/>
            <a:buSzTx/>
            <a:buFontTx/>
            <a:buNone/>
            <a:tabLst/>
            <a:defRPr/>
          </a:pPr>
          <a:endParaRPr lang="en-US" sz="1200">
            <a:effectLst/>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0" baseline="0">
            <a:solidFill>
              <a:schemeClr val="dk1"/>
            </a:solidFill>
            <a:effectLst/>
            <a:latin typeface="+mn-lt"/>
            <a:ea typeface="+mn-ea"/>
            <a:cs typeface="+mn-cs"/>
          </a:endParaRPr>
        </a:p>
      </xdr:txBody>
    </xdr:sp>
    <xdr:clientData/>
  </xdr:twoCellAnchor>
  <xdr:twoCellAnchor>
    <xdr:from>
      <xdr:col>0</xdr:col>
      <xdr:colOff>0</xdr:colOff>
      <xdr:row>0</xdr:row>
      <xdr:rowOff>0</xdr:rowOff>
    </xdr:from>
    <xdr:to>
      <xdr:col>13</xdr:col>
      <xdr:colOff>761999</xdr:colOff>
      <xdr:row>3</xdr:row>
      <xdr:rowOff>156882</xdr:rowOff>
    </xdr:to>
    <xdr:sp macro="" textlink="">
      <xdr:nvSpPr>
        <xdr:cNvPr id="5" name="4 Rectángulo redondeado"/>
        <xdr:cNvSpPr/>
      </xdr:nvSpPr>
      <xdr:spPr>
        <a:xfrm>
          <a:off x="0" y="0"/>
          <a:ext cx="10533528" cy="72838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Estancias</a:t>
          </a:r>
          <a:r>
            <a:rPr lang="es-DO" sz="2400" b="1" baseline="0">
              <a:solidFill>
                <a:schemeClr val="lt1"/>
              </a:solidFill>
              <a:effectLst/>
              <a:latin typeface="+mn-lt"/>
              <a:ea typeface="+mn-ea"/>
              <a:cs typeface="+mn-cs"/>
            </a:rPr>
            <a:t> Infantiles (EI)</a:t>
          </a:r>
          <a:endParaRPr lang="es-DO" sz="3600">
            <a:effectLst/>
          </a:endParaRPr>
        </a:p>
      </xdr:txBody>
    </xdr:sp>
    <xdr:clientData/>
  </xdr:twoCellAnchor>
  <xdr:twoCellAnchor editAs="oneCell">
    <xdr:from>
      <xdr:col>0</xdr:col>
      <xdr:colOff>459441</xdr:colOff>
      <xdr:row>0</xdr:row>
      <xdr:rowOff>134471</xdr:rowOff>
    </xdr:from>
    <xdr:to>
      <xdr:col>1</xdr:col>
      <xdr:colOff>424889</xdr:colOff>
      <xdr:row>3</xdr:row>
      <xdr:rowOff>22412</xdr:rowOff>
    </xdr:to>
    <xdr:pic>
      <xdr:nvPicPr>
        <xdr:cNvPr id="6"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459441" y="134471"/>
          <a:ext cx="727448" cy="4594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437029</xdr:colOff>
      <xdr:row>0</xdr:row>
      <xdr:rowOff>100853</xdr:rowOff>
    </xdr:from>
    <xdr:to>
      <xdr:col>1</xdr:col>
      <xdr:colOff>427504</xdr:colOff>
      <xdr:row>3</xdr:row>
      <xdr:rowOff>72278</xdr:rowOff>
    </xdr:to>
    <xdr:pic>
      <xdr:nvPicPr>
        <xdr:cNvPr id="7" name="6 Imagen" descr="logo_2x4.bmp">
          <a:hlinkClick xmlns:r="http://schemas.openxmlformats.org/officeDocument/2006/relationships" r:id="rId4"/>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37029" y="100853"/>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c:userShapes xmlns:c="http://schemas.openxmlformats.org/drawingml/2006/chart">
  <cdr:relSizeAnchor xmlns:cdr="http://schemas.openxmlformats.org/drawingml/2006/chartDrawing">
    <cdr:from>
      <cdr:x>0.04876</cdr:x>
      <cdr:y>0.89929</cdr:y>
    </cdr:from>
    <cdr:to>
      <cdr:x>0.33951</cdr:x>
      <cdr:y>0.95824</cdr:y>
    </cdr:to>
    <cdr:sp macro="" textlink="">
      <cdr:nvSpPr>
        <cdr:cNvPr id="2" name="2 CuadroTexto"/>
        <cdr:cNvSpPr txBox="1"/>
      </cdr:nvSpPr>
      <cdr:spPr>
        <a:xfrm xmlns:a="http://schemas.openxmlformats.org/drawingml/2006/main">
          <a:off x="781955" y="7849336"/>
          <a:ext cx="4662652" cy="514537"/>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800" b="1"/>
            <a:t>Fuente</a:t>
          </a:r>
          <a:r>
            <a:rPr lang="es-DO" sz="1800"/>
            <a:t>: Portal de la SISALRIL</a:t>
          </a:r>
        </a:p>
      </cdr:txBody>
    </cdr:sp>
  </cdr:relSizeAnchor>
</c:userShapes>
</file>

<file path=xl/drawings/drawing140.xml><?xml version="1.0" encoding="utf-8"?>
<xdr:wsDr xmlns:xdr="http://schemas.openxmlformats.org/drawingml/2006/spreadsheetDrawing" xmlns:a="http://schemas.openxmlformats.org/drawingml/2006/main">
  <xdr:twoCellAnchor editAs="oneCell">
    <xdr:from>
      <xdr:col>2</xdr:col>
      <xdr:colOff>576169</xdr:colOff>
      <xdr:row>6</xdr:row>
      <xdr:rowOff>132604</xdr:rowOff>
    </xdr:from>
    <xdr:to>
      <xdr:col>7</xdr:col>
      <xdr:colOff>537883</xdr:colOff>
      <xdr:row>27</xdr:row>
      <xdr:rowOff>67235</xdr:rowOff>
    </xdr:to>
    <xdr:pic>
      <xdr:nvPicPr>
        <xdr:cNvPr id="2"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100169" y="1275604"/>
          <a:ext cx="3637243" cy="3946337"/>
        </a:xfrm>
        <a:prstGeom prst="rect">
          <a:avLst/>
        </a:prstGeom>
        <a:noFill/>
        <a:ln>
          <a:noFill/>
        </a:ln>
      </xdr:spPr>
    </xdr:pic>
    <xdr:clientData/>
  </xdr:twoCellAnchor>
  <xdr:twoCellAnchor>
    <xdr:from>
      <xdr:col>0</xdr:col>
      <xdr:colOff>28574</xdr:colOff>
      <xdr:row>4</xdr:row>
      <xdr:rowOff>28576</xdr:rowOff>
    </xdr:from>
    <xdr:to>
      <xdr:col>10</xdr:col>
      <xdr:colOff>561975</xdr:colOff>
      <xdr:row>31</xdr:row>
      <xdr:rowOff>19051</xdr:rowOff>
    </xdr:to>
    <xdr:sp macro="" textlink="">
      <xdr:nvSpPr>
        <xdr:cNvPr id="3" name="1 CuadroTexto"/>
        <xdr:cNvSpPr txBox="1"/>
      </xdr:nvSpPr>
      <xdr:spPr>
        <a:xfrm>
          <a:off x="28574" y="790576"/>
          <a:ext cx="8020051" cy="5143500"/>
        </a:xfrm>
        <a:prstGeom prst="rect">
          <a:avLst/>
        </a:prstGeom>
        <a:solidFill>
          <a:schemeClr val="bg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n-US" sz="1400">
              <a:solidFill>
                <a:sysClr val="windowText" lastClr="000000"/>
              </a:solidFill>
              <a:effectLst/>
              <a:latin typeface="+mn-lt"/>
              <a:ea typeface="+mn-ea"/>
              <a:cs typeface="+mn-cs"/>
            </a:rPr>
            <a:t>Las</a:t>
          </a:r>
          <a:r>
            <a:rPr lang="en-US" sz="1400" baseline="0">
              <a:solidFill>
                <a:sysClr val="windowText" lastClr="000000"/>
              </a:solidFill>
              <a:effectLst/>
              <a:latin typeface="+mn-lt"/>
              <a:ea typeface="+mn-ea"/>
              <a:cs typeface="+mn-cs"/>
            </a:rPr>
            <a:t> E</a:t>
          </a:r>
          <a:r>
            <a:rPr lang="en-US" sz="1400">
              <a:solidFill>
                <a:sysClr val="windowText" lastClr="000000"/>
              </a:solidFill>
              <a:effectLst/>
              <a:latin typeface="+mn-lt"/>
              <a:ea typeface="+mn-ea"/>
              <a:cs typeface="+mn-cs"/>
            </a:rPr>
            <a:t>stancias Infantiles también son atendidos niños de otros regímenes además del Régimen</a:t>
          </a:r>
          <a:r>
            <a:rPr lang="en-US" sz="1400" baseline="0">
              <a:solidFill>
                <a:sysClr val="windowText" lastClr="000000"/>
              </a:solidFill>
              <a:effectLst/>
              <a:latin typeface="+mn-lt"/>
              <a:ea typeface="+mn-ea"/>
              <a:cs typeface="+mn-cs"/>
            </a:rPr>
            <a:t> </a:t>
          </a:r>
          <a:r>
            <a:rPr lang="en-US" sz="1400">
              <a:solidFill>
                <a:sysClr val="windowText" lastClr="000000"/>
              </a:solidFill>
              <a:effectLst/>
              <a:latin typeface="+mn-lt"/>
              <a:ea typeface="+mn-ea"/>
              <a:cs typeface="+mn-cs"/>
            </a:rPr>
            <a:t>Contributivo que ya venían recibiendo el servicio antes del inicio de este beneficio.  </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a:solidFill>
                <a:sysClr val="windowText" lastClr="000000"/>
              </a:solidFill>
              <a:effectLst/>
              <a:latin typeface="+mn-lt"/>
              <a:ea typeface="+mn-ea"/>
              <a:cs typeface="+mn-cs"/>
            </a:rPr>
            <a:t>El total de cápita pagadas por los niños cubiertos por las al mes de noviembre 2015 es de 6,061 cubierto por RC. De enero al</a:t>
          </a:r>
          <a:r>
            <a:rPr lang="es-DO" sz="1400" baseline="0">
              <a:solidFill>
                <a:sysClr val="windowText" lastClr="000000"/>
              </a:solidFill>
              <a:effectLst/>
              <a:latin typeface="+mn-lt"/>
              <a:ea typeface="+mn-ea"/>
              <a:cs typeface="+mn-cs"/>
            </a:rPr>
            <a:t> mes de noviembre </a:t>
          </a:r>
          <a:r>
            <a:rPr lang="es-DO" sz="1400">
              <a:solidFill>
                <a:sysClr val="windowText" lastClr="000000"/>
              </a:solidFill>
              <a:effectLst/>
              <a:latin typeface="+mn-lt"/>
              <a:ea typeface="+mn-ea"/>
              <a:cs typeface="+mn-cs"/>
            </a:rPr>
            <a:t>2015 se ha desembolso a la Administradora de Estancias Infantiles (AEISS) un total de RD$</a:t>
          </a:r>
          <a:r>
            <a:rPr lang="es-ES" sz="1400">
              <a:solidFill>
                <a:sysClr val="windowText" lastClr="000000"/>
              </a:solidFill>
              <a:effectLst/>
              <a:latin typeface="+mn-lt"/>
              <a:ea typeface="+mn-ea"/>
              <a:cs typeface="+mn-cs"/>
            </a:rPr>
            <a:t>265,474,840.0.  </a:t>
          </a:r>
          <a:r>
            <a:rPr lang="es-DO" sz="1400" baseline="0">
              <a:solidFill>
                <a:sysClr val="windowText" lastClr="000000"/>
              </a:solidFill>
              <a:effectLst/>
              <a:latin typeface="+mn-lt"/>
              <a:ea typeface="+mn-ea"/>
              <a:cs typeface="+mn-cs"/>
            </a:rPr>
            <a:t>Desde mayo 2009 al mes de noviembre 2015 la cobertura ha crecido mas de 10 veces.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a:solidFill>
                <a:sysClr val="windowText" lastClr="000000"/>
              </a:solidFill>
              <a:effectLst/>
              <a:latin typeface="+mn-lt"/>
              <a:ea typeface="+mn-ea"/>
              <a:cs typeface="+mn-cs"/>
            </a:rPr>
            <a:t>Los pagos tienen correspondencia al número de niños dependientes de titulares al Régimen Contributivo (RC) que reciben mensualmente los servicios de Estancias Infantiles (EI), en base al cápita vigente de RD$2,000.00, y a partir</a:t>
          </a:r>
          <a:r>
            <a:rPr lang="es-DO" sz="1400" baseline="0">
              <a:solidFill>
                <a:sysClr val="windowText" lastClr="000000"/>
              </a:solidFill>
              <a:effectLst/>
              <a:latin typeface="+mn-lt"/>
              <a:ea typeface="+mn-ea"/>
              <a:cs typeface="+mn-cs"/>
            </a:rPr>
            <a:t> de abril 2015, se le transferirá a la Administradora de Estancias Infantiles (AEISS) para pago de nómina, incluyendo pagos retroactivos al mes de febrero con lo que se da cumplimiento al mandato de la Resolución CNSS 369-04 del fecha 23 abril 2015, la cual establece en su primer párrafo.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a:p>
        <a:p>
          <a:pPr marL="0" marR="0" indent="0" algn="l" defTabSz="914400" eaLnBrk="1" fontAlgn="auto" latinLnBrk="0" hangingPunct="1">
            <a:lnSpc>
              <a:spcPct val="100000"/>
            </a:lnSpc>
            <a:spcBef>
              <a:spcPts val="0"/>
            </a:spcBef>
            <a:spcAft>
              <a:spcPts val="0"/>
            </a:spcAft>
            <a:buClrTx/>
            <a:buSzTx/>
            <a:buFontTx/>
            <a:buNone/>
            <a:tabLst/>
            <a:defRPr/>
          </a:pPr>
          <a:r>
            <a:rPr lang="es-DO" sz="1400" i="0"/>
            <a:t>Se autoriza transitoriamente a la Tesorería de la Seguridad Social (TSS) transferir mensualmente a la Administradora de Estancias Infantiles del Seguro Social (AEISS) el monto de la nómina que cubría el IDSS ascendente a RD$12,813,484.00 adicionalmente a la cápita establecida en la Resolución No. 198-02 del CNSS del 22 de diciembre del 2008 con cargo a la cuenta de Estancias Infantiles del Régimen Contributivo; los cuales serán invertidos única y exclusivamente para el fin indicado.</a:t>
          </a:r>
          <a:r>
            <a:rPr lang="es-DO" sz="1400" i="0" baseline="0">
              <a:solidFill>
                <a:sysClr val="windowText" lastClr="000000"/>
              </a:solidFill>
              <a:effectLst/>
              <a:latin typeface="+mn-lt"/>
              <a:ea typeface="+mn-ea"/>
              <a:cs typeface="+mn-cs"/>
            </a:rPr>
            <a:t> </a:t>
          </a:r>
          <a:endParaRPr lang="es-ES" sz="1400" i="0"/>
        </a:p>
        <a:p>
          <a:pPr marL="0" marR="0" indent="0" algn="l" defTabSz="914400" eaLnBrk="1" fontAlgn="auto" latinLnBrk="0" hangingPunct="1">
            <a:lnSpc>
              <a:spcPct val="100000"/>
            </a:lnSpc>
            <a:spcBef>
              <a:spcPts val="0"/>
            </a:spcBef>
            <a:spcAft>
              <a:spcPts val="0"/>
            </a:spcAft>
            <a:buClrTx/>
            <a:buSzTx/>
            <a:buFontTx/>
            <a:buNone/>
            <a:tabLst/>
            <a:defRPr/>
          </a:pPr>
          <a:endParaRPr lang="es-DO" sz="1400" i="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a:solidFill>
                <a:sysClr val="windowText" lastClr="000000"/>
              </a:solidFill>
              <a:effectLst/>
              <a:latin typeface="+mn-lt"/>
              <a:ea typeface="+mn-ea"/>
              <a:cs typeface="+mn-cs"/>
            </a:rPr>
            <a:t>Al mes de noviembre 2015 la cuenta de Estancias Infantiles posee inversiones en certificados financieros por un monto de RD$868,577,228.13.</a:t>
          </a:r>
          <a:endParaRPr lang="es-ES" sz="1400">
            <a:solidFill>
              <a:sysClr val="windowText" lastClr="000000"/>
            </a:solidFill>
            <a:effectLst/>
            <a:latin typeface="+mn-lt"/>
            <a:ea typeface="+mn-ea"/>
            <a:cs typeface="+mn-cs"/>
          </a:endParaRPr>
        </a:p>
      </xdr:txBody>
    </xdr:sp>
    <xdr:clientData/>
  </xdr:twoCellAnchor>
  <xdr:twoCellAnchor>
    <xdr:from>
      <xdr:col>0</xdr:col>
      <xdr:colOff>0</xdr:colOff>
      <xdr:row>0</xdr:row>
      <xdr:rowOff>1</xdr:rowOff>
    </xdr:from>
    <xdr:to>
      <xdr:col>10</xdr:col>
      <xdr:colOff>752475</xdr:colOff>
      <xdr:row>3</xdr:row>
      <xdr:rowOff>19051</xdr:rowOff>
    </xdr:to>
    <xdr:sp macro="" textlink="">
      <xdr:nvSpPr>
        <xdr:cNvPr id="4" name="4 Rectángulo redondeado"/>
        <xdr:cNvSpPr/>
      </xdr:nvSpPr>
      <xdr:spPr>
        <a:xfrm>
          <a:off x="0" y="1"/>
          <a:ext cx="8239125" cy="59055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Estancias Infantiles (EI) </a:t>
          </a:r>
          <a:endParaRPr lang="es-DO" sz="3600">
            <a:effectLst/>
          </a:endParaRPr>
        </a:p>
      </xdr:txBody>
    </xdr:sp>
    <xdr:clientData/>
  </xdr:twoCellAnchor>
  <xdr:twoCellAnchor editAs="oneCell">
    <xdr:from>
      <xdr:col>0</xdr:col>
      <xdr:colOff>443566</xdr:colOff>
      <xdr:row>0</xdr:row>
      <xdr:rowOff>77322</xdr:rowOff>
    </xdr:from>
    <xdr:to>
      <xdr:col>1</xdr:col>
      <xdr:colOff>219075</xdr:colOff>
      <xdr:row>2</xdr:row>
      <xdr:rowOff>84145</xdr:rowOff>
    </xdr:to>
    <xdr:pic>
      <xdr:nvPicPr>
        <xdr:cNvPr id="6" name="6 Imagen" descr="logo_2x4.bmp">
          <a:hlinkClick xmlns:r="http://schemas.openxmlformats.org/officeDocument/2006/relationships" r:id="rId3"/>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43566" y="77322"/>
          <a:ext cx="537509" cy="3878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1.xml><?xml version="1.0" encoding="utf-8"?>
<xdr:wsDr xmlns:xdr="http://schemas.openxmlformats.org/drawingml/2006/spreadsheetDrawing" xmlns:a="http://schemas.openxmlformats.org/drawingml/2006/main">
  <xdr:twoCellAnchor editAs="oneCell">
    <xdr:from>
      <xdr:col>1</xdr:col>
      <xdr:colOff>257175</xdr:colOff>
      <xdr:row>0</xdr:row>
      <xdr:rowOff>0</xdr:rowOff>
    </xdr:from>
    <xdr:to>
      <xdr:col>1</xdr:col>
      <xdr:colOff>1392103</xdr:colOff>
      <xdr:row>0</xdr:row>
      <xdr:rowOff>182934</xdr:rowOff>
    </xdr:to>
    <xdr:pic>
      <xdr:nvPicPr>
        <xdr:cNvPr id="2" name="3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390650" y="0"/>
          <a:ext cx="1130165" cy="182934"/>
        </a:xfrm>
        <a:prstGeom prst="rect">
          <a:avLst/>
        </a:prstGeom>
        <a:ln>
          <a:noFill/>
        </a:ln>
        <a:effectLst>
          <a:softEdge rad="112500"/>
        </a:effectLst>
      </xdr:spPr>
    </xdr:pic>
    <xdr:clientData/>
  </xdr:twoCellAnchor>
  <xdr:twoCellAnchor editAs="oneCell">
    <xdr:from>
      <xdr:col>1</xdr:col>
      <xdr:colOff>257175</xdr:colOff>
      <xdr:row>0</xdr:row>
      <xdr:rowOff>0</xdr:rowOff>
    </xdr:from>
    <xdr:to>
      <xdr:col>1</xdr:col>
      <xdr:colOff>1392103</xdr:colOff>
      <xdr:row>0</xdr:row>
      <xdr:rowOff>182934</xdr:rowOff>
    </xdr:to>
    <xdr:pic>
      <xdr:nvPicPr>
        <xdr:cNvPr id="3" name="5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390650" y="0"/>
          <a:ext cx="1130165" cy="182934"/>
        </a:xfrm>
        <a:prstGeom prst="rect">
          <a:avLst/>
        </a:prstGeom>
        <a:ln>
          <a:noFill/>
        </a:ln>
        <a:effectLst>
          <a:softEdge rad="112500"/>
        </a:effectLst>
      </xdr:spPr>
    </xdr:pic>
    <xdr:clientData/>
  </xdr:twoCellAnchor>
  <xdr:twoCellAnchor>
    <xdr:from>
      <xdr:col>0</xdr:col>
      <xdr:colOff>1</xdr:colOff>
      <xdr:row>18</xdr:row>
      <xdr:rowOff>514412</xdr:rowOff>
    </xdr:from>
    <xdr:to>
      <xdr:col>10</xdr:col>
      <xdr:colOff>1610592</xdr:colOff>
      <xdr:row>56</xdr:row>
      <xdr:rowOff>34636</xdr:rowOff>
    </xdr:to>
    <xdr:graphicFrame macro="">
      <xdr:nvGraphicFramePr>
        <xdr:cNvPr id="5" name="8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10</xdr:col>
      <xdr:colOff>1904999</xdr:colOff>
      <xdr:row>0</xdr:row>
      <xdr:rowOff>1357312</xdr:rowOff>
    </xdr:to>
    <xdr:sp macro="" textlink="">
      <xdr:nvSpPr>
        <xdr:cNvPr id="7" name="4 Rectángulo redondeado"/>
        <xdr:cNvSpPr/>
      </xdr:nvSpPr>
      <xdr:spPr>
        <a:xfrm>
          <a:off x="0" y="0"/>
          <a:ext cx="17855044" cy="135731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Estancias Infantiles (EI) del Régimen Contributivo (RC)</a:t>
          </a:r>
          <a:endParaRPr lang="es-ES" sz="2000">
            <a:effectLst/>
            <a:latin typeface="+mn-lt"/>
          </a:endParaRPr>
        </a:p>
        <a:p>
          <a:pPr algn="ctr" eaLnBrk="1" fontAlgn="auto" latinLnBrk="0" hangingPunct="1"/>
          <a:r>
            <a:rPr lang="es-DO" sz="2000" b="1">
              <a:solidFill>
                <a:schemeClr val="lt1"/>
              </a:solidFill>
              <a:effectLst/>
              <a:latin typeface="+mn-lt"/>
              <a:ea typeface="+mn-ea"/>
              <a:cs typeface="+mn-cs"/>
            </a:rPr>
            <a:t>Cantidad de Cápitas</a:t>
          </a:r>
          <a:r>
            <a:rPr lang="es-DO" sz="2000" b="1" baseline="0">
              <a:solidFill>
                <a:schemeClr val="lt1"/>
              </a:solidFill>
              <a:effectLst/>
              <a:latin typeface="+mn-lt"/>
              <a:ea typeface="+mn-ea"/>
              <a:cs typeface="+mn-cs"/>
            </a:rPr>
            <a:t> Pagadas por </a:t>
          </a:r>
          <a:r>
            <a:rPr lang="es-DO" sz="2000" b="1">
              <a:solidFill>
                <a:schemeClr val="lt1"/>
              </a:solidFill>
              <a:effectLst/>
              <a:latin typeface="+mn-lt"/>
              <a:ea typeface="+mn-ea"/>
              <a:cs typeface="+mn-cs"/>
            </a:rPr>
            <a:t>Niños</a:t>
          </a:r>
          <a:r>
            <a:rPr lang="es-DO" sz="2000" b="1" baseline="0">
              <a:solidFill>
                <a:schemeClr val="lt1"/>
              </a:solidFill>
              <a:effectLst/>
              <a:latin typeface="+mn-lt"/>
              <a:ea typeface="+mn-ea"/>
              <a:cs typeface="+mn-cs"/>
            </a:rPr>
            <a:t> Afiliados en las </a:t>
          </a:r>
          <a:r>
            <a:rPr lang="es-DO" sz="2000" b="1">
              <a:solidFill>
                <a:schemeClr val="lt1"/>
              </a:solidFill>
              <a:effectLst/>
              <a:latin typeface="+mn-lt"/>
              <a:ea typeface="+mn-ea"/>
              <a:cs typeface="+mn-cs"/>
            </a:rPr>
            <a:t>Estancias</a:t>
          </a:r>
          <a:r>
            <a:rPr lang="es-DO" sz="2000" b="1" baseline="0">
              <a:solidFill>
                <a:schemeClr val="lt1"/>
              </a:solidFill>
              <a:effectLst/>
              <a:latin typeface="+mn-lt"/>
              <a:ea typeface="+mn-ea"/>
              <a:cs typeface="+mn-cs"/>
            </a:rPr>
            <a:t> Infantiles (EI) del RC</a:t>
          </a:r>
        </a:p>
        <a:p>
          <a:pPr algn="ctr" eaLnBrk="1" fontAlgn="auto" latinLnBrk="0" hangingPunct="1"/>
          <a:r>
            <a:rPr lang="es-DO" sz="2000" b="1">
              <a:effectLst/>
              <a:latin typeface="+mn-lt"/>
            </a:rPr>
            <a:t>Período:</a:t>
          </a:r>
          <a:r>
            <a:rPr lang="es-DO" sz="2000" b="1" baseline="0">
              <a:effectLst/>
              <a:latin typeface="+mn-lt"/>
            </a:rPr>
            <a:t> Mayo 2009 - </a:t>
          </a:r>
          <a:r>
            <a:rPr lang="es-DO" sz="2000" b="1">
              <a:effectLst/>
              <a:latin typeface="+mn-lt"/>
            </a:rPr>
            <a:t> Noviembre  2015</a:t>
          </a:r>
        </a:p>
      </xdr:txBody>
    </xdr:sp>
    <xdr:clientData/>
  </xdr:twoCellAnchor>
  <xdr:twoCellAnchor editAs="oneCell">
    <xdr:from>
      <xdr:col>0</xdr:col>
      <xdr:colOff>658090</xdr:colOff>
      <xdr:row>0</xdr:row>
      <xdr:rowOff>190500</xdr:rowOff>
    </xdr:from>
    <xdr:to>
      <xdr:col>1</xdr:col>
      <xdr:colOff>857250</xdr:colOff>
      <xdr:row>0</xdr:row>
      <xdr:rowOff>1052683</xdr:rowOff>
    </xdr:to>
    <xdr:pic>
      <xdr:nvPicPr>
        <xdr:cNvPr id="9" name="6 Imagen" descr="logo_2x4.bmp">
          <a:hlinkClick xmlns:r="http://schemas.openxmlformats.org/officeDocument/2006/relationships" r:id="rId4"/>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8090" y="190500"/>
          <a:ext cx="1194955" cy="8621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658091</xdr:colOff>
      <xdr:row>51</xdr:row>
      <xdr:rowOff>121228</xdr:rowOff>
    </xdr:from>
    <xdr:to>
      <xdr:col>4</xdr:col>
      <xdr:colOff>1316181</xdr:colOff>
      <xdr:row>54</xdr:row>
      <xdr:rowOff>34637</xdr:rowOff>
    </xdr:to>
    <xdr:sp macro="" textlink="">
      <xdr:nvSpPr>
        <xdr:cNvPr id="4" name="CuadroTexto 3"/>
        <xdr:cNvSpPr txBox="1"/>
      </xdr:nvSpPr>
      <xdr:spPr>
        <a:xfrm>
          <a:off x="658091" y="14148955"/>
          <a:ext cx="6234545" cy="484909"/>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800" b="1"/>
            <a:t>Fuente</a:t>
          </a:r>
          <a:r>
            <a:rPr lang="es-ES" sz="1800"/>
            <a:t>: Informes de la TSS</a:t>
          </a:r>
        </a:p>
      </xdr:txBody>
    </xdr:sp>
    <xdr:clientData/>
  </xdr:twoCellAnchor>
</xdr:wsDr>
</file>

<file path=xl/drawings/drawing142.xml><?xml version="1.0" encoding="utf-8"?>
<xdr:wsDr xmlns:xdr="http://schemas.openxmlformats.org/drawingml/2006/spreadsheetDrawing" xmlns:a="http://schemas.openxmlformats.org/drawingml/2006/main">
  <xdr:oneCellAnchor>
    <xdr:from>
      <xdr:col>1</xdr:col>
      <xdr:colOff>0</xdr:colOff>
      <xdr:row>0</xdr:row>
      <xdr:rowOff>0</xdr:rowOff>
    </xdr:from>
    <xdr:ext cx="1164660" cy="182934"/>
    <xdr:pic>
      <xdr:nvPicPr>
        <xdr:cNvPr id="2"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762000" y="0"/>
          <a:ext cx="1164660" cy="182934"/>
        </a:xfrm>
        <a:prstGeom prst="rect">
          <a:avLst/>
        </a:prstGeom>
        <a:ln>
          <a:noFill/>
        </a:ln>
        <a:effectLst>
          <a:softEdge rad="112500"/>
        </a:effectLst>
      </xdr:spPr>
    </xdr:pic>
    <xdr:clientData/>
  </xdr:oneCellAnchor>
  <xdr:oneCellAnchor>
    <xdr:from>
      <xdr:col>1</xdr:col>
      <xdr:colOff>0</xdr:colOff>
      <xdr:row>0</xdr:row>
      <xdr:rowOff>0</xdr:rowOff>
    </xdr:from>
    <xdr:ext cx="1164660" cy="182934"/>
    <xdr:pic>
      <xdr:nvPicPr>
        <xdr:cNvPr id="3"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762000" y="0"/>
          <a:ext cx="1164660" cy="182934"/>
        </a:xfrm>
        <a:prstGeom prst="rect">
          <a:avLst/>
        </a:prstGeom>
        <a:ln>
          <a:noFill/>
        </a:ln>
        <a:effectLst>
          <a:softEdge rad="112500"/>
        </a:effectLst>
      </xdr:spPr>
    </xdr:pic>
    <xdr:clientData/>
  </xdr:oneCellAnchor>
  <xdr:twoCellAnchor>
    <xdr:from>
      <xdr:col>0</xdr:col>
      <xdr:colOff>0</xdr:colOff>
      <xdr:row>11</xdr:row>
      <xdr:rowOff>156881</xdr:rowOff>
    </xdr:from>
    <xdr:to>
      <xdr:col>8</xdr:col>
      <xdr:colOff>1826559</xdr:colOff>
      <xdr:row>42</xdr:row>
      <xdr:rowOff>112059</xdr:rowOff>
    </xdr:to>
    <xdr:graphicFrame macro="">
      <xdr:nvGraphicFramePr>
        <xdr:cNvPr id="5"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9</xdr:col>
      <xdr:colOff>0</xdr:colOff>
      <xdr:row>1</xdr:row>
      <xdr:rowOff>11206</xdr:rowOff>
    </xdr:to>
    <xdr:sp macro="" textlink="">
      <xdr:nvSpPr>
        <xdr:cNvPr id="6" name="6 Rectángulo redondeado"/>
        <xdr:cNvSpPr/>
      </xdr:nvSpPr>
      <xdr:spPr>
        <a:xfrm>
          <a:off x="0" y="0"/>
          <a:ext cx="11082618" cy="84044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Estancias Infantiles (EI) del Régimen Contributivo (RC)</a:t>
          </a:r>
        </a:p>
        <a:p>
          <a:pPr algn="ctr" eaLnBrk="1" fontAlgn="auto" latinLnBrk="0" hangingPunct="1"/>
          <a:r>
            <a:rPr lang="es-DO" sz="1600" b="1">
              <a:solidFill>
                <a:schemeClr val="lt1"/>
              </a:solidFill>
              <a:effectLst/>
              <a:latin typeface="+mn-lt"/>
              <a:ea typeface="+mn-ea"/>
              <a:cs typeface="+mn-cs"/>
            </a:rPr>
            <a:t>Pagos a las Estancias Infantiles del</a:t>
          </a:r>
          <a:r>
            <a:rPr lang="es-DO" sz="1600" b="1" baseline="0">
              <a:solidFill>
                <a:schemeClr val="lt1"/>
              </a:solidFill>
              <a:effectLst/>
              <a:latin typeface="+mn-lt"/>
              <a:ea typeface="+mn-ea"/>
              <a:cs typeface="+mn-cs"/>
            </a:rPr>
            <a:t> RC</a:t>
          </a:r>
          <a:endParaRPr lang="es-DO" sz="1600" b="1">
            <a:solidFill>
              <a:schemeClr val="lt1"/>
            </a:solidFill>
            <a:effectLst/>
            <a:latin typeface="+mn-lt"/>
            <a:ea typeface="+mn-ea"/>
            <a:cs typeface="+mn-cs"/>
          </a:endParaRPr>
        </a:p>
        <a:p>
          <a:pPr algn="ctr" eaLnBrk="1" fontAlgn="auto" latinLnBrk="0" hangingPunct="1"/>
          <a:r>
            <a:rPr lang="es-DO" sz="1600" b="1">
              <a:solidFill>
                <a:schemeClr val="lt1"/>
              </a:solidFill>
              <a:effectLst/>
              <a:latin typeface="+mn-lt"/>
              <a:ea typeface="+mn-ea"/>
              <a:cs typeface="+mn-cs"/>
            </a:rPr>
            <a:t>Período: 2009 -  Noviembre </a:t>
          </a:r>
          <a:r>
            <a:rPr lang="es-DO" sz="1600" b="1" baseline="0">
              <a:solidFill>
                <a:schemeClr val="lt1"/>
              </a:solidFill>
              <a:effectLst/>
              <a:latin typeface="+mn-lt"/>
              <a:ea typeface="+mn-ea"/>
              <a:cs typeface="+mn-cs"/>
            </a:rPr>
            <a:t>2</a:t>
          </a:r>
          <a:r>
            <a:rPr lang="es-DO" sz="1600" b="1">
              <a:solidFill>
                <a:schemeClr val="lt1"/>
              </a:solidFill>
              <a:effectLst/>
              <a:latin typeface="+mn-lt"/>
              <a:ea typeface="+mn-ea"/>
              <a:cs typeface="+mn-cs"/>
            </a:rPr>
            <a:t>015</a:t>
          </a:r>
          <a:endParaRPr lang="es-DO" sz="2400">
            <a:effectLst/>
          </a:endParaRPr>
        </a:p>
      </xdr:txBody>
    </xdr:sp>
    <xdr:clientData/>
  </xdr:twoCellAnchor>
  <xdr:oneCellAnchor>
    <xdr:from>
      <xdr:col>0</xdr:col>
      <xdr:colOff>526677</xdr:colOff>
      <xdr:row>0</xdr:row>
      <xdr:rowOff>145677</xdr:rowOff>
    </xdr:from>
    <xdr:ext cx="859492" cy="536700"/>
    <xdr:pic>
      <xdr:nvPicPr>
        <xdr:cNvPr id="7" name="3 Imagen" descr="logo_2x4.bmp">
          <a:hlinkClick xmlns:r="http://schemas.openxmlformats.org/officeDocument/2006/relationships" r:id="rId4"/>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26677" y="145677"/>
          <a:ext cx="859492" cy="53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638735</xdr:colOff>
      <xdr:row>39</xdr:row>
      <xdr:rowOff>134471</xdr:rowOff>
    </xdr:from>
    <xdr:to>
      <xdr:col>3</xdr:col>
      <xdr:colOff>291353</xdr:colOff>
      <xdr:row>41</xdr:row>
      <xdr:rowOff>44824</xdr:rowOff>
    </xdr:to>
    <xdr:sp macro="" textlink="">
      <xdr:nvSpPr>
        <xdr:cNvPr id="4" name="CuadroTexto 3"/>
        <xdr:cNvSpPr txBox="1"/>
      </xdr:nvSpPr>
      <xdr:spPr>
        <a:xfrm>
          <a:off x="638735" y="8594912"/>
          <a:ext cx="3059206" cy="2913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100"/>
            <a:t>Fuente: TSS</a:t>
          </a:r>
        </a:p>
      </xdr:txBody>
    </xdr:sp>
    <xdr:clientData/>
  </xdr:twoCellAnchor>
</xdr:wsDr>
</file>

<file path=xl/drawings/drawing143.xml><?xml version="1.0" encoding="utf-8"?>
<xdr:wsDr xmlns:xdr="http://schemas.openxmlformats.org/drawingml/2006/spreadsheetDrawing" xmlns:a="http://schemas.openxmlformats.org/drawingml/2006/main">
  <xdr:twoCellAnchor editAs="oneCell">
    <xdr:from>
      <xdr:col>3</xdr:col>
      <xdr:colOff>529733</xdr:colOff>
      <xdr:row>6</xdr:row>
      <xdr:rowOff>17318</xdr:rowOff>
    </xdr:from>
    <xdr:to>
      <xdr:col>12</xdr:col>
      <xdr:colOff>225136</xdr:colOff>
      <xdr:row>36</xdr:row>
      <xdr:rowOff>155864</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815733" y="1160318"/>
          <a:ext cx="6414858" cy="6442364"/>
        </a:xfrm>
        <a:prstGeom prst="rect">
          <a:avLst/>
        </a:prstGeom>
        <a:noFill/>
        <a:ln>
          <a:noFill/>
        </a:ln>
      </xdr:spPr>
    </xdr:pic>
    <xdr:clientData/>
  </xdr:twoCellAnchor>
  <xdr:twoCellAnchor editAs="oneCell">
    <xdr:from>
      <xdr:col>0</xdr:col>
      <xdr:colOff>190500</xdr:colOff>
      <xdr:row>1</xdr:row>
      <xdr:rowOff>173182</xdr:rowOff>
    </xdr:from>
    <xdr:to>
      <xdr:col>2</xdr:col>
      <xdr:colOff>0</xdr:colOff>
      <xdr:row>6</xdr:row>
      <xdr:rowOff>62893</xdr:rowOff>
    </xdr:to>
    <xdr:pic>
      <xdr:nvPicPr>
        <xdr:cNvPr id="3"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190500" y="363682"/>
          <a:ext cx="1333500" cy="8422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476757</xdr:colOff>
      <xdr:row>10</xdr:row>
      <xdr:rowOff>622436</xdr:rowOff>
    </xdr:from>
    <xdr:to>
      <xdr:col>15</xdr:col>
      <xdr:colOff>606136</xdr:colOff>
      <xdr:row>27</xdr:row>
      <xdr:rowOff>51955</xdr:rowOff>
    </xdr:to>
    <xdr:sp macro="" textlink="">
      <xdr:nvSpPr>
        <xdr:cNvPr id="5" name="CuadroTexto 4"/>
        <xdr:cNvSpPr txBox="1"/>
      </xdr:nvSpPr>
      <xdr:spPr>
        <a:xfrm>
          <a:off x="476757" y="2527436"/>
          <a:ext cx="11420834" cy="32568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ctr" defTabSz="914400" eaLnBrk="1" fontAlgn="auto" latinLnBrk="0" hangingPunct="1">
            <a:lnSpc>
              <a:spcPct val="100000"/>
            </a:lnSpc>
            <a:spcBef>
              <a:spcPts val="0"/>
            </a:spcBef>
            <a:spcAft>
              <a:spcPts val="0"/>
            </a:spcAft>
            <a:buClrTx/>
            <a:buSzTx/>
            <a:buFontTx/>
            <a:buNone/>
            <a:tabLst/>
            <a:defRPr/>
          </a:pPr>
          <a:r>
            <a:rPr lang="es-DO" sz="5400" b="1">
              <a:solidFill>
                <a:schemeClr val="accent3">
                  <a:lumMod val="50000"/>
                </a:schemeClr>
              </a:solidFill>
              <a:latin typeface="+mn-lt"/>
              <a:ea typeface="+mn-ea"/>
              <a:cs typeface="+mn-cs"/>
            </a:rPr>
            <a:t>Subsidios Seguro</a:t>
          </a:r>
          <a:r>
            <a:rPr lang="es-DO" sz="5400" b="1" baseline="0">
              <a:solidFill>
                <a:schemeClr val="accent3">
                  <a:lumMod val="50000"/>
                </a:schemeClr>
              </a:solidFill>
              <a:latin typeface="+mn-lt"/>
              <a:ea typeface="+mn-ea"/>
              <a:cs typeface="+mn-cs"/>
            </a:rPr>
            <a:t> Familiar de Salud (S</a:t>
          </a:r>
          <a:r>
            <a:rPr lang="es-DO" sz="5400" b="1">
              <a:solidFill>
                <a:schemeClr val="accent3">
                  <a:lumMod val="50000"/>
                </a:schemeClr>
              </a:solidFill>
              <a:latin typeface="+mn-lt"/>
              <a:ea typeface="+mn-ea"/>
              <a:cs typeface="+mn-cs"/>
            </a:rPr>
            <a:t>FS) RC:</a:t>
          </a:r>
        </a:p>
        <a:p>
          <a:pPr marL="0" marR="0" indent="0" algn="l" defTabSz="914400" eaLnBrk="1" fontAlgn="auto" latinLnBrk="0" hangingPunct="1">
            <a:lnSpc>
              <a:spcPct val="100000"/>
            </a:lnSpc>
            <a:spcBef>
              <a:spcPts val="0"/>
            </a:spcBef>
            <a:spcAft>
              <a:spcPts val="0"/>
            </a:spcAft>
            <a:buClrTx/>
            <a:buSzTx/>
            <a:buFontTx/>
            <a:buNone/>
            <a:tabLst/>
            <a:defRPr/>
          </a:pPr>
          <a:r>
            <a:rPr lang="es-DO" sz="4800" b="1">
              <a:solidFill>
                <a:schemeClr val="tx2">
                  <a:lumMod val="60000"/>
                  <a:lumOff val="40000"/>
                </a:schemeClr>
              </a:solidFill>
              <a:latin typeface="+mn-lt"/>
              <a:ea typeface="+mn-ea"/>
              <a:cs typeface="+mn-cs"/>
            </a:rPr>
            <a:t>                       - </a:t>
          </a:r>
          <a:r>
            <a:rPr lang="es-DO" sz="3600" b="1">
              <a:solidFill>
                <a:schemeClr val="tx2">
                  <a:lumMod val="60000"/>
                  <a:lumOff val="40000"/>
                </a:schemeClr>
              </a:solidFill>
              <a:latin typeface="+mn-lt"/>
              <a:ea typeface="+mn-ea"/>
              <a:cs typeface="+mn-cs"/>
            </a:rPr>
            <a:t>Enfermedad Común</a:t>
          </a:r>
        </a:p>
        <a:p>
          <a:pPr marL="0" marR="0" indent="0" algn="l" defTabSz="914400" eaLnBrk="1" fontAlgn="auto" latinLnBrk="0" hangingPunct="1">
            <a:lnSpc>
              <a:spcPct val="100000"/>
            </a:lnSpc>
            <a:spcBef>
              <a:spcPts val="0"/>
            </a:spcBef>
            <a:spcAft>
              <a:spcPts val="0"/>
            </a:spcAft>
            <a:buClrTx/>
            <a:buSzTx/>
            <a:buFontTx/>
            <a:buNone/>
            <a:tabLst/>
            <a:defRPr/>
          </a:pPr>
          <a:r>
            <a:rPr lang="es-DO" sz="3600" b="1" baseline="0">
              <a:solidFill>
                <a:schemeClr val="tx2">
                  <a:lumMod val="60000"/>
                  <a:lumOff val="40000"/>
                </a:schemeClr>
              </a:solidFill>
              <a:latin typeface="+mn-lt"/>
              <a:ea typeface="+mn-ea"/>
              <a:cs typeface="+mn-cs"/>
            </a:rPr>
            <a:t>                               -  </a:t>
          </a:r>
          <a:r>
            <a:rPr lang="es-DO" sz="3600" b="1">
              <a:solidFill>
                <a:schemeClr val="tx2">
                  <a:lumMod val="60000"/>
                  <a:lumOff val="40000"/>
                </a:schemeClr>
              </a:solidFill>
              <a:latin typeface="+mn-lt"/>
              <a:ea typeface="+mn-ea"/>
              <a:cs typeface="+mn-cs"/>
            </a:rPr>
            <a:t>Maternidad y Lactancia</a:t>
          </a:r>
        </a:p>
      </xdr:txBody>
    </xdr:sp>
    <xdr:clientData/>
  </xdr:twoCellAnchor>
</xdr:wsDr>
</file>

<file path=xl/drawings/drawing144.xml><?xml version="1.0" encoding="utf-8"?>
<xdr:wsDr xmlns:xdr="http://schemas.openxmlformats.org/drawingml/2006/spreadsheetDrawing" xmlns:a="http://schemas.openxmlformats.org/drawingml/2006/main">
  <xdr:twoCellAnchor>
    <xdr:from>
      <xdr:col>0</xdr:col>
      <xdr:colOff>1</xdr:colOff>
      <xdr:row>0</xdr:row>
      <xdr:rowOff>33618</xdr:rowOff>
    </xdr:from>
    <xdr:to>
      <xdr:col>15</xdr:col>
      <xdr:colOff>33618</xdr:colOff>
      <xdr:row>3</xdr:row>
      <xdr:rowOff>145677</xdr:rowOff>
    </xdr:to>
    <xdr:sp macro="" textlink="">
      <xdr:nvSpPr>
        <xdr:cNvPr id="5" name="4 Rectángulo redondeado"/>
        <xdr:cNvSpPr/>
      </xdr:nvSpPr>
      <xdr:spPr>
        <a:xfrm>
          <a:off x="1" y="33618"/>
          <a:ext cx="11329146" cy="68355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4000" b="1">
              <a:solidFill>
                <a:schemeClr val="lt1"/>
              </a:solidFill>
              <a:effectLst/>
              <a:latin typeface="+mn-lt"/>
              <a:ea typeface="+mn-ea"/>
              <a:cs typeface="+mn-cs"/>
            </a:rPr>
            <a:t>Subsidios</a:t>
          </a:r>
          <a:endParaRPr lang="es-DO" sz="5400">
            <a:effectLst/>
          </a:endParaRPr>
        </a:p>
      </xdr:txBody>
    </xdr:sp>
    <xdr:clientData/>
  </xdr:twoCellAnchor>
  <xdr:twoCellAnchor editAs="oneCell">
    <xdr:from>
      <xdr:col>0</xdr:col>
      <xdr:colOff>141195</xdr:colOff>
      <xdr:row>0</xdr:row>
      <xdr:rowOff>118783</xdr:rowOff>
    </xdr:from>
    <xdr:to>
      <xdr:col>1</xdr:col>
      <xdr:colOff>113740</xdr:colOff>
      <xdr:row>3</xdr:row>
      <xdr:rowOff>11206</xdr:rowOff>
    </xdr:to>
    <xdr:pic>
      <xdr:nvPicPr>
        <xdr:cNvPr id="6" name="6 Imagen" descr="logo_2x4.bmp"/>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818" t="8287" r="6819" b="12154"/>
        <a:stretch/>
      </xdr:blipFill>
      <xdr:spPr bwMode="auto">
        <a:xfrm>
          <a:off x="141195" y="118783"/>
          <a:ext cx="734545" cy="4639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141195</xdr:colOff>
      <xdr:row>0</xdr:row>
      <xdr:rowOff>118783</xdr:rowOff>
    </xdr:from>
    <xdr:to>
      <xdr:col>1</xdr:col>
      <xdr:colOff>131670</xdr:colOff>
      <xdr:row>3</xdr:row>
      <xdr:rowOff>90208</xdr:rowOff>
    </xdr:to>
    <xdr:pic>
      <xdr:nvPicPr>
        <xdr:cNvPr id="4"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195" y="118783"/>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5.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0</xdr:colOff>
      <xdr:row>4</xdr:row>
      <xdr:rowOff>168088</xdr:rowOff>
    </xdr:to>
    <xdr:sp macro="" textlink="">
      <xdr:nvSpPr>
        <xdr:cNvPr id="4" name="6 Rectángulo redondeado"/>
        <xdr:cNvSpPr/>
      </xdr:nvSpPr>
      <xdr:spPr>
        <a:xfrm>
          <a:off x="0" y="0"/>
          <a:ext cx="10488706" cy="93008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Análisis  de Subsidios por </a:t>
          </a:r>
        </a:p>
        <a:p>
          <a:pPr algn="ctr" eaLnBrk="1" fontAlgn="auto" latinLnBrk="0" hangingPunct="1"/>
          <a:r>
            <a:rPr lang="es-DO" sz="1800" b="1">
              <a:solidFill>
                <a:schemeClr val="lt1"/>
              </a:solidFill>
              <a:effectLst/>
              <a:latin typeface="+mn-lt"/>
              <a:ea typeface="+mn-ea"/>
              <a:cs typeface="+mn-cs"/>
            </a:rPr>
            <a:t>Matenidad, Lactancia y Enfermedad Común</a:t>
          </a:r>
        </a:p>
      </xdr:txBody>
    </xdr:sp>
    <xdr:clientData/>
  </xdr:twoCellAnchor>
  <xdr:twoCellAnchor editAs="oneCell">
    <xdr:from>
      <xdr:col>0</xdr:col>
      <xdr:colOff>324972</xdr:colOff>
      <xdr:row>0</xdr:row>
      <xdr:rowOff>179294</xdr:rowOff>
    </xdr:from>
    <xdr:to>
      <xdr:col>1</xdr:col>
      <xdr:colOff>358590</xdr:colOff>
      <xdr:row>3</xdr:row>
      <xdr:rowOff>176094</xdr:rowOff>
    </xdr:to>
    <xdr:pic>
      <xdr:nvPicPr>
        <xdr:cNvPr id="5" name="5 Imagen" descr="logo_2x4.bmp"/>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24972" y="179294"/>
          <a:ext cx="795618" cy="56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324972</xdr:colOff>
      <xdr:row>0</xdr:row>
      <xdr:rowOff>179294</xdr:rowOff>
    </xdr:from>
    <xdr:to>
      <xdr:col>1</xdr:col>
      <xdr:colOff>315447</xdr:colOff>
      <xdr:row>3</xdr:row>
      <xdr:rowOff>150719</xdr:rowOff>
    </xdr:to>
    <xdr:pic>
      <xdr:nvPicPr>
        <xdr:cNvPr id="6"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24972" y="179294"/>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6.xml><?xml version="1.0" encoding="utf-8"?>
<xdr:wsDr xmlns:xdr="http://schemas.openxmlformats.org/drawingml/2006/spreadsheetDrawing" xmlns:a="http://schemas.openxmlformats.org/drawingml/2006/main">
  <xdr:twoCellAnchor>
    <xdr:from>
      <xdr:col>0</xdr:col>
      <xdr:colOff>0</xdr:colOff>
      <xdr:row>7</xdr:row>
      <xdr:rowOff>161924</xdr:rowOff>
    </xdr:from>
    <xdr:to>
      <xdr:col>12</xdr:col>
      <xdr:colOff>1323974</xdr:colOff>
      <xdr:row>33</xdr:row>
      <xdr:rowOff>57149</xdr:rowOff>
    </xdr:to>
    <xdr:graphicFrame macro="">
      <xdr:nvGraphicFramePr>
        <xdr:cNvPr id="3"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390524</xdr:colOff>
      <xdr:row>33</xdr:row>
      <xdr:rowOff>104775</xdr:rowOff>
    </xdr:from>
    <xdr:to>
      <xdr:col>12</xdr:col>
      <xdr:colOff>533400</xdr:colOff>
      <xdr:row>36</xdr:row>
      <xdr:rowOff>28575</xdr:rowOff>
    </xdr:to>
    <xdr:sp macro="" textlink="">
      <xdr:nvSpPr>
        <xdr:cNvPr id="4" name="3 CuadroTexto"/>
        <xdr:cNvSpPr txBox="1"/>
      </xdr:nvSpPr>
      <xdr:spPr>
        <a:xfrm>
          <a:off x="390524" y="6762750"/>
          <a:ext cx="9077326" cy="4953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050" b="1"/>
            <a:t>Fuente: </a:t>
          </a:r>
          <a:r>
            <a:rPr lang="es-DO" sz="1050"/>
            <a:t>Dirección de Control de Subsidios, SISALRIL.  </a:t>
          </a:r>
        </a:p>
        <a:p>
          <a:r>
            <a:rPr lang="es-DO" sz="1050" b="1"/>
            <a:t>Nota:</a:t>
          </a:r>
          <a:r>
            <a:rPr lang="es-DO" sz="1050" b="1" baseline="0"/>
            <a:t> </a:t>
          </a:r>
          <a:r>
            <a:rPr lang="es-DO" sz="1050"/>
            <a:t>El Subsidio por Maternidad y Lactancia  entró en vigencia en septiembre de 2008 y el de</a:t>
          </a:r>
          <a:r>
            <a:rPr lang="es-DO" sz="1050" baseline="0"/>
            <a:t> </a:t>
          </a:r>
          <a:r>
            <a:rPr lang="es-DO" sz="1200" baseline="0">
              <a:solidFill>
                <a:schemeClr val="dk1"/>
              </a:solidFill>
              <a:effectLst/>
              <a:latin typeface="+mn-lt"/>
              <a:ea typeface="+mn-ea"/>
              <a:cs typeface="+mn-cs"/>
            </a:rPr>
            <a:t>e</a:t>
          </a:r>
          <a:r>
            <a:rPr lang="es-DO" sz="1200">
              <a:solidFill>
                <a:schemeClr val="dk1"/>
              </a:solidFill>
              <a:effectLst/>
              <a:latin typeface="+mn-lt"/>
              <a:ea typeface="+mn-ea"/>
              <a:cs typeface="+mn-cs"/>
            </a:rPr>
            <a:t>nfermedad</a:t>
          </a:r>
          <a:r>
            <a:rPr lang="es-DO" sz="1050" baseline="0">
              <a:solidFill>
                <a:schemeClr val="dk1"/>
              </a:solidFill>
              <a:effectLst/>
              <a:latin typeface="+mn-lt"/>
              <a:ea typeface="+mn-ea"/>
              <a:cs typeface="+mn-cs"/>
            </a:rPr>
            <a:t> en septiembre de 2009.</a:t>
          </a:r>
          <a:endParaRPr lang="es-DO" sz="1050"/>
        </a:p>
      </xdr:txBody>
    </xdr:sp>
    <xdr:clientData/>
  </xdr:twoCellAnchor>
  <xdr:twoCellAnchor>
    <xdr:from>
      <xdr:col>0</xdr:col>
      <xdr:colOff>0</xdr:colOff>
      <xdr:row>0</xdr:row>
      <xdr:rowOff>0</xdr:rowOff>
    </xdr:from>
    <xdr:to>
      <xdr:col>12</xdr:col>
      <xdr:colOff>1409699</xdr:colOff>
      <xdr:row>0</xdr:row>
      <xdr:rowOff>685800</xdr:rowOff>
    </xdr:to>
    <xdr:sp macro="" textlink="">
      <xdr:nvSpPr>
        <xdr:cNvPr id="5" name="6 Rectángulo redondeado"/>
        <xdr:cNvSpPr/>
      </xdr:nvSpPr>
      <xdr:spPr>
        <a:xfrm>
          <a:off x="0" y="0"/>
          <a:ext cx="10344149" cy="6858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400" b="1">
              <a:solidFill>
                <a:schemeClr val="lt1"/>
              </a:solidFill>
              <a:effectLst/>
              <a:latin typeface="+mn-lt"/>
              <a:ea typeface="+mn-ea"/>
              <a:cs typeface="+mn-cs"/>
            </a:rPr>
            <a:t> Afiliados (as) Beneficiarios por Subsidio de Maternidad, Lactancia y Enfermedad Común</a:t>
          </a:r>
        </a:p>
        <a:p>
          <a:pPr algn="ctr" eaLnBrk="1" fontAlgn="auto" latinLnBrk="0" hangingPunct="1"/>
          <a:r>
            <a:rPr lang="es-DO" sz="1400" b="1">
              <a:solidFill>
                <a:schemeClr val="lt1"/>
              </a:solidFill>
              <a:effectLst/>
              <a:latin typeface="+mn-lt"/>
              <a:ea typeface="+mn-ea"/>
              <a:cs typeface="+mn-cs"/>
            </a:rPr>
            <a:t>Período: Septiembre 2008 - Noviembre</a:t>
          </a:r>
          <a:r>
            <a:rPr lang="es-DO" sz="1400" b="1" baseline="0">
              <a:solidFill>
                <a:schemeClr val="lt1"/>
              </a:solidFill>
              <a:effectLst/>
              <a:latin typeface="+mn-lt"/>
              <a:ea typeface="+mn-ea"/>
              <a:cs typeface="+mn-cs"/>
            </a:rPr>
            <a:t> 2015</a:t>
          </a:r>
          <a:r>
            <a:rPr lang="es-DO" sz="1400" b="1">
              <a:solidFill>
                <a:schemeClr val="lt1"/>
              </a:solidFill>
              <a:effectLst/>
              <a:latin typeface="+mn-lt"/>
              <a:ea typeface="+mn-ea"/>
              <a:cs typeface="+mn-cs"/>
            </a:rPr>
            <a:t>                                                    </a:t>
          </a:r>
          <a:endParaRPr lang="es-DO" sz="2000">
            <a:effectLst/>
          </a:endParaRPr>
        </a:p>
      </xdr:txBody>
    </xdr:sp>
    <xdr:clientData/>
  </xdr:twoCellAnchor>
  <xdr:twoCellAnchor editAs="oneCell">
    <xdr:from>
      <xdr:col>0</xdr:col>
      <xdr:colOff>228600</xdr:colOff>
      <xdr:row>0</xdr:row>
      <xdr:rowOff>104775</xdr:rowOff>
    </xdr:from>
    <xdr:to>
      <xdr:col>0</xdr:col>
      <xdr:colOff>838201</xdr:colOff>
      <xdr:row>0</xdr:row>
      <xdr:rowOff>540205</xdr:rowOff>
    </xdr:to>
    <xdr:pic>
      <xdr:nvPicPr>
        <xdr:cNvPr id="6" name="5 Imagen" descr="logo_2x4.bmp"/>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28600" y="104775"/>
          <a:ext cx="609601" cy="435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190501</xdr:colOff>
      <xdr:row>0</xdr:row>
      <xdr:rowOff>85726</xdr:rowOff>
    </xdr:from>
    <xdr:to>
      <xdr:col>0</xdr:col>
      <xdr:colOff>850567</xdr:colOff>
      <xdr:row>0</xdr:row>
      <xdr:rowOff>561976</xdr:rowOff>
    </xdr:to>
    <xdr:pic>
      <xdr:nvPicPr>
        <xdr:cNvPr id="7" name="6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0501" y="85726"/>
          <a:ext cx="660066"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7.xml><?xml version="1.0" encoding="utf-8"?>
<xdr:wsDr xmlns:xdr="http://schemas.openxmlformats.org/drawingml/2006/spreadsheetDrawing" xmlns:a="http://schemas.openxmlformats.org/drawingml/2006/main">
  <xdr:twoCellAnchor>
    <xdr:from>
      <xdr:col>0</xdr:col>
      <xdr:colOff>0</xdr:colOff>
      <xdr:row>7</xdr:row>
      <xdr:rowOff>163285</xdr:rowOff>
    </xdr:from>
    <xdr:to>
      <xdr:col>13</xdr:col>
      <xdr:colOff>666750</xdr:colOff>
      <xdr:row>33</xdr:row>
      <xdr:rowOff>204106</xdr:rowOff>
    </xdr:to>
    <xdr:graphicFrame macro="">
      <xdr:nvGraphicFramePr>
        <xdr:cNvPr id="3"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762000</xdr:colOff>
      <xdr:row>1</xdr:row>
      <xdr:rowOff>0</xdr:rowOff>
    </xdr:to>
    <xdr:sp macro="" textlink="">
      <xdr:nvSpPr>
        <xdr:cNvPr id="4" name="6 Rectángulo redondeado"/>
        <xdr:cNvSpPr/>
      </xdr:nvSpPr>
      <xdr:spPr>
        <a:xfrm>
          <a:off x="0" y="0"/>
          <a:ext cx="19852821" cy="104775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 Montos Aprobados en Millones de RD$ por Concepto de Subsidios por </a:t>
          </a:r>
        </a:p>
        <a:p>
          <a:pPr algn="ctr" eaLnBrk="1" fontAlgn="auto" latinLnBrk="0" hangingPunct="1"/>
          <a:r>
            <a:rPr lang="es-DO" sz="1800" b="1">
              <a:solidFill>
                <a:schemeClr val="lt1"/>
              </a:solidFill>
              <a:effectLst/>
              <a:latin typeface="+mn-lt"/>
              <a:ea typeface="+mn-ea"/>
              <a:cs typeface="+mn-cs"/>
            </a:rPr>
            <a:t>Matenidad, Lactancia y Enfermedad Común</a:t>
          </a:r>
          <a:br>
            <a:rPr lang="es-DO" sz="1800" b="1">
              <a:solidFill>
                <a:schemeClr val="lt1"/>
              </a:solidFill>
              <a:effectLst/>
              <a:latin typeface="+mn-lt"/>
              <a:ea typeface="+mn-ea"/>
              <a:cs typeface="+mn-cs"/>
            </a:rPr>
          </a:br>
          <a:r>
            <a:rPr lang="es-DO" sz="1800" b="1">
              <a:solidFill>
                <a:schemeClr val="lt1"/>
              </a:solidFill>
              <a:effectLst/>
              <a:latin typeface="+mn-lt"/>
              <a:ea typeface="+mn-ea"/>
              <a:cs typeface="+mn-cs"/>
            </a:rPr>
            <a:t>Período:</a:t>
          </a:r>
          <a:r>
            <a:rPr lang="es-DO" sz="1800" b="1" baseline="0">
              <a:solidFill>
                <a:schemeClr val="lt1"/>
              </a:solidFill>
              <a:effectLst/>
              <a:latin typeface="+mn-lt"/>
              <a:ea typeface="+mn-ea"/>
              <a:cs typeface="+mn-cs"/>
            </a:rPr>
            <a:t> 2008 - Noviembre 2015</a:t>
          </a:r>
          <a:endParaRPr lang="es-DO" sz="1800" b="1">
            <a:solidFill>
              <a:schemeClr val="lt1"/>
            </a:solidFill>
            <a:effectLst/>
            <a:latin typeface="+mn-lt"/>
            <a:ea typeface="+mn-ea"/>
            <a:cs typeface="+mn-cs"/>
          </a:endParaRPr>
        </a:p>
      </xdr:txBody>
    </xdr:sp>
    <xdr:clientData/>
  </xdr:twoCellAnchor>
  <xdr:twoCellAnchor editAs="oneCell">
    <xdr:from>
      <xdr:col>0</xdr:col>
      <xdr:colOff>952500</xdr:colOff>
      <xdr:row>0</xdr:row>
      <xdr:rowOff>204106</xdr:rowOff>
    </xdr:from>
    <xdr:to>
      <xdr:col>1</xdr:col>
      <xdr:colOff>299356</xdr:colOff>
      <xdr:row>0</xdr:row>
      <xdr:rowOff>811657</xdr:rowOff>
    </xdr:to>
    <xdr:pic>
      <xdr:nvPicPr>
        <xdr:cNvPr id="5" name="4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00" y="204106"/>
          <a:ext cx="830035" cy="6075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952500</xdr:colOff>
      <xdr:row>0</xdr:row>
      <xdr:rowOff>204106</xdr:rowOff>
    </xdr:from>
    <xdr:to>
      <xdr:col>1</xdr:col>
      <xdr:colOff>285750</xdr:colOff>
      <xdr:row>0</xdr:row>
      <xdr:rowOff>793175</xdr:rowOff>
    </xdr:to>
    <xdr:pic>
      <xdr:nvPicPr>
        <xdr:cNvPr id="6" name="6 Imagen" descr="logo_2x4.bmp">
          <a:hlinkClick xmlns:r="http://schemas.openxmlformats.org/officeDocument/2006/relationships" r:id="rId4"/>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00" y="204106"/>
          <a:ext cx="816429" cy="5890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8.xml><?xml version="1.0" encoding="utf-8"?>
<c:userShapes xmlns:c="http://schemas.openxmlformats.org/drawingml/2006/chart">
  <cdr:relSizeAnchor xmlns:cdr="http://schemas.openxmlformats.org/drawingml/2006/chartDrawing">
    <cdr:from>
      <cdr:x>0.03158</cdr:x>
      <cdr:y>0.89751</cdr:y>
    </cdr:from>
    <cdr:to>
      <cdr:x>0.49311</cdr:x>
      <cdr:y>0.98679</cdr:y>
    </cdr:to>
    <cdr:sp macro="" textlink="">
      <cdr:nvSpPr>
        <cdr:cNvPr id="2" name="4 CuadroTexto"/>
        <cdr:cNvSpPr txBox="1"/>
      </cdr:nvSpPr>
      <cdr:spPr>
        <a:xfrm xmlns:a="http://schemas.openxmlformats.org/drawingml/2006/main">
          <a:off x="623971" y="6704684"/>
          <a:ext cx="9118744" cy="666951"/>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200" b="1"/>
            <a:t>Fuente: </a:t>
          </a:r>
          <a:r>
            <a:rPr lang="es-DO" sz="1200"/>
            <a:t>Dirección de Control de Subsidios, SISALRIL.  </a:t>
          </a:r>
        </a:p>
        <a:p xmlns:a="http://schemas.openxmlformats.org/drawingml/2006/main">
          <a:r>
            <a:rPr lang="es-DO" sz="1200" b="1">
              <a:solidFill>
                <a:schemeClr val="dk1"/>
              </a:solidFill>
              <a:effectLst/>
              <a:latin typeface="+mn-lt"/>
              <a:ea typeface="+mn-ea"/>
              <a:cs typeface="+mn-cs"/>
            </a:rPr>
            <a:t>Nota</a:t>
          </a:r>
          <a:r>
            <a:rPr lang="es-DO" sz="1200">
              <a:solidFill>
                <a:schemeClr val="dk1"/>
              </a:solidFill>
              <a:effectLst/>
              <a:latin typeface="+mn-lt"/>
              <a:ea typeface="+mn-ea"/>
              <a:cs typeface="+mn-cs"/>
            </a:rPr>
            <a:t>:</a:t>
          </a:r>
          <a:r>
            <a:rPr lang="es-DO" sz="1200" baseline="0">
              <a:solidFill>
                <a:schemeClr val="dk1"/>
              </a:solidFill>
              <a:effectLst/>
              <a:latin typeface="+mn-lt"/>
              <a:ea typeface="+mn-ea"/>
              <a:cs typeface="+mn-cs"/>
            </a:rPr>
            <a:t> </a:t>
          </a:r>
          <a:r>
            <a:rPr lang="es-DO" sz="1200">
              <a:solidFill>
                <a:schemeClr val="dk1"/>
              </a:solidFill>
              <a:effectLst/>
              <a:latin typeface="+mn-lt"/>
              <a:ea typeface="+mn-ea"/>
              <a:cs typeface="+mn-cs"/>
            </a:rPr>
            <a:t>El Subsidio por Maternidad y Lactancia  entró en vigencia en septiembre de 2008 y el de</a:t>
          </a:r>
          <a:r>
            <a:rPr lang="es-DO" sz="1200" baseline="0">
              <a:solidFill>
                <a:schemeClr val="dk1"/>
              </a:solidFill>
              <a:effectLst/>
              <a:latin typeface="+mn-lt"/>
              <a:ea typeface="+mn-ea"/>
              <a:cs typeface="+mn-cs"/>
            </a:rPr>
            <a:t> </a:t>
          </a:r>
          <a:r>
            <a:rPr lang="es-DO" sz="1200">
              <a:solidFill>
                <a:schemeClr val="dk1"/>
              </a:solidFill>
              <a:effectLst/>
              <a:latin typeface="+mn-lt"/>
              <a:ea typeface="+mn-ea"/>
              <a:cs typeface="+mn-cs"/>
            </a:rPr>
            <a:t>Enfermedad</a:t>
          </a:r>
          <a:r>
            <a:rPr lang="es-DO" sz="1200" baseline="0">
              <a:solidFill>
                <a:schemeClr val="dk1"/>
              </a:solidFill>
              <a:effectLst/>
              <a:latin typeface="+mn-lt"/>
              <a:ea typeface="+mn-ea"/>
              <a:cs typeface="+mn-cs"/>
            </a:rPr>
            <a:t> en septiembre de 2009</a:t>
          </a:r>
          <a:r>
            <a:rPr lang="es-DO" sz="1100" baseline="0">
              <a:solidFill>
                <a:schemeClr val="dk1"/>
              </a:solidFill>
              <a:effectLst/>
              <a:latin typeface="+mn-lt"/>
              <a:ea typeface="+mn-ea"/>
              <a:cs typeface="+mn-cs"/>
            </a:rPr>
            <a:t>.</a:t>
          </a:r>
          <a:endParaRPr lang="en-US">
            <a:effectLst/>
          </a:endParaRPr>
        </a:p>
      </cdr:txBody>
    </cdr:sp>
  </cdr:relSizeAnchor>
  <cdr:relSizeAnchor xmlns:cdr="http://schemas.openxmlformats.org/drawingml/2006/chartDrawing">
    <cdr:from>
      <cdr:x>0.22385</cdr:x>
      <cdr:y>0.01716</cdr:y>
    </cdr:from>
    <cdr:to>
      <cdr:x>0.7433</cdr:x>
      <cdr:y>0.11062</cdr:y>
    </cdr:to>
    <cdr:sp macro="" textlink="">
      <cdr:nvSpPr>
        <cdr:cNvPr id="3" name="2 CuadroTexto"/>
        <cdr:cNvSpPr txBox="1"/>
      </cdr:nvSpPr>
      <cdr:spPr>
        <a:xfrm xmlns:a="http://schemas.openxmlformats.org/drawingml/2006/main">
          <a:off x="3524249" y="122464"/>
          <a:ext cx="8177893" cy="666751"/>
        </a:xfrm>
        <a:prstGeom xmlns:a="http://schemas.openxmlformats.org/drawingml/2006/main" prst="rect">
          <a:avLst/>
        </a:prstGeom>
        <a:ln xmlns:a="http://schemas.openxmlformats.org/drawingml/2006/main">
          <a:noFill/>
        </a:ln>
      </cdr:spPr>
      <cdr:txBody>
        <a:bodyPr xmlns:a="http://schemas.openxmlformats.org/drawingml/2006/main" vertOverflow="clip" wrap="square" rtlCol="0"/>
        <a:lstStyle xmlns:a="http://schemas.openxmlformats.org/drawingml/2006/main"/>
        <a:p xmlns:a="http://schemas.openxmlformats.org/drawingml/2006/main">
          <a:pPr algn="ctr"/>
          <a:r>
            <a:rPr lang="es-DO" sz="1800" b="1"/>
            <a:t> Montos Aprobados en Millones de RD$ por Concepto de Subsidios por </a:t>
          </a:r>
        </a:p>
        <a:p xmlns:a="http://schemas.openxmlformats.org/drawingml/2006/main">
          <a:pPr algn="ctr"/>
          <a:r>
            <a:rPr lang="es-DO" sz="1800" b="1"/>
            <a:t>Matenidad, Lactancia y Enfermedad Común</a:t>
          </a:r>
        </a:p>
      </cdr:txBody>
    </cdr:sp>
  </cdr:relSizeAnchor>
</c:userShapes>
</file>

<file path=xl/drawings/drawing149.xml><?xml version="1.0" encoding="utf-8"?>
<xdr:wsDr xmlns:xdr="http://schemas.openxmlformats.org/drawingml/2006/spreadsheetDrawing" xmlns:a="http://schemas.openxmlformats.org/drawingml/2006/main">
  <xdr:twoCellAnchor editAs="oneCell">
    <xdr:from>
      <xdr:col>3</xdr:col>
      <xdr:colOff>165032</xdr:colOff>
      <xdr:row>6</xdr:row>
      <xdr:rowOff>32599</xdr:rowOff>
    </xdr:from>
    <xdr:to>
      <xdr:col>9</xdr:col>
      <xdr:colOff>147006</xdr:colOff>
      <xdr:row>32</xdr:row>
      <xdr:rowOff>160736</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451032" y="1175599"/>
          <a:ext cx="4415429" cy="5081137"/>
        </a:xfrm>
        <a:prstGeom prst="rect">
          <a:avLst/>
        </a:prstGeom>
        <a:noFill/>
        <a:ln>
          <a:noFill/>
        </a:ln>
      </xdr:spPr>
    </xdr:pic>
    <xdr:clientData/>
  </xdr:twoCellAnchor>
  <xdr:twoCellAnchor>
    <xdr:from>
      <xdr:col>0</xdr:col>
      <xdr:colOff>257736</xdr:colOff>
      <xdr:row>11</xdr:row>
      <xdr:rowOff>10188</xdr:rowOff>
    </xdr:from>
    <xdr:to>
      <xdr:col>11</xdr:col>
      <xdr:colOff>606137</xdr:colOff>
      <xdr:row>26</xdr:row>
      <xdr:rowOff>99835</xdr:rowOff>
    </xdr:to>
    <xdr:sp macro="" textlink="">
      <xdr:nvSpPr>
        <xdr:cNvPr id="2" name="1 CuadroTexto"/>
        <xdr:cNvSpPr txBox="1"/>
      </xdr:nvSpPr>
      <xdr:spPr>
        <a:xfrm>
          <a:off x="257736" y="2105688"/>
          <a:ext cx="8591856" cy="29471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28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baseline="0">
              <a:solidFill>
                <a:schemeClr val="accent3">
                  <a:lumMod val="50000"/>
                </a:schemeClr>
              </a:solidFill>
              <a:effectLst/>
              <a:latin typeface="+mn-lt"/>
              <a:ea typeface="+mn-ea"/>
              <a:cs typeface="+mn-cs"/>
            </a:rPr>
            <a:t>Pensiones del Seguro de Vejez, Discapacidad y Sobrevivencia (SVDS)</a:t>
          </a:r>
        </a:p>
      </xdr:txBody>
    </xdr:sp>
    <xdr:clientData/>
  </xdr:twoCellAnchor>
  <xdr:twoCellAnchor editAs="oneCell">
    <xdr:from>
      <xdr:col>0</xdr:col>
      <xdr:colOff>190500</xdr:colOff>
      <xdr:row>1</xdr:row>
      <xdr:rowOff>173182</xdr:rowOff>
    </xdr:from>
    <xdr:to>
      <xdr:col>2</xdr:col>
      <xdr:colOff>558512</xdr:colOff>
      <xdr:row>8</xdr:row>
      <xdr:rowOff>34637</xdr:rowOff>
    </xdr:to>
    <xdr:pic>
      <xdr:nvPicPr>
        <xdr:cNvPr id="3"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190500" y="363682"/>
          <a:ext cx="1892012" cy="11949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0</xdr:row>
      <xdr:rowOff>0</xdr:rowOff>
    </xdr:from>
    <xdr:to>
      <xdr:col>14</xdr:col>
      <xdr:colOff>1</xdr:colOff>
      <xdr:row>2</xdr:row>
      <xdr:rowOff>155863</xdr:rowOff>
    </xdr:to>
    <xdr:sp macro="" textlink="">
      <xdr:nvSpPr>
        <xdr:cNvPr id="3" name="2 Rectángulo redondeado"/>
        <xdr:cNvSpPr/>
      </xdr:nvSpPr>
      <xdr:spPr>
        <a:xfrm>
          <a:off x="0" y="0"/>
          <a:ext cx="18154651" cy="115598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 Datos Generales del Sistema Dominicano de la Seguridad Social (SDSS)</a:t>
          </a:r>
        </a:p>
        <a:p>
          <a:pPr algn="ctr" eaLnBrk="1" fontAlgn="auto" latinLnBrk="0" hangingPunct="1"/>
          <a:r>
            <a:rPr lang="es-DO" sz="2000" b="1">
              <a:solidFill>
                <a:schemeClr val="lt1"/>
              </a:solidFill>
              <a:effectLst/>
              <a:latin typeface="+mn-lt"/>
              <a:ea typeface="+mn-ea"/>
              <a:cs typeface="+mn-cs"/>
            </a:rPr>
            <a:t>Trabajadores Afiliados Activos al SDSS, por  Sexo y Edad</a:t>
          </a:r>
        </a:p>
        <a:p>
          <a:pPr algn="ctr" eaLnBrk="1" fontAlgn="auto" latinLnBrk="0" hangingPunct="1"/>
          <a:r>
            <a:rPr lang="es-DO" sz="2000" b="1">
              <a:solidFill>
                <a:schemeClr val="lt1"/>
              </a:solidFill>
              <a:effectLst/>
              <a:latin typeface="+mn-lt"/>
              <a:ea typeface="+mn-ea"/>
              <a:cs typeface="+mn-cs"/>
            </a:rPr>
            <a:t>Noviembre</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2015</a:t>
          </a:r>
          <a:endParaRPr lang="es-DO" sz="6000">
            <a:effectLst/>
          </a:endParaRPr>
        </a:p>
      </xdr:txBody>
    </xdr:sp>
    <xdr:clientData/>
  </xdr:twoCellAnchor>
  <xdr:twoCellAnchor editAs="oneCell">
    <xdr:from>
      <xdr:col>0</xdr:col>
      <xdr:colOff>710044</xdr:colOff>
      <xdr:row>1</xdr:row>
      <xdr:rowOff>69273</xdr:rowOff>
    </xdr:from>
    <xdr:to>
      <xdr:col>1</xdr:col>
      <xdr:colOff>536862</xdr:colOff>
      <xdr:row>1</xdr:row>
      <xdr:rowOff>760722</xdr:rowOff>
    </xdr:to>
    <xdr:pic>
      <xdr:nvPicPr>
        <xdr:cNvPr id="4" name="3 Imagen" descr="logo_2x4.bmp"/>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0044" y="240723"/>
          <a:ext cx="1039957" cy="6914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138545</xdr:colOff>
      <xdr:row>20</xdr:row>
      <xdr:rowOff>109104</xdr:rowOff>
    </xdr:from>
    <xdr:to>
      <xdr:col>13</xdr:col>
      <xdr:colOff>2147455</xdr:colOff>
      <xdr:row>67</xdr:row>
      <xdr:rowOff>51955</xdr:rowOff>
    </xdr:to>
    <xdr:graphicFrame macro="">
      <xdr:nvGraphicFramePr>
        <xdr:cNvPr id="5" name="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50.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9525</xdr:colOff>
      <xdr:row>3</xdr:row>
      <xdr:rowOff>152400</xdr:rowOff>
    </xdr:to>
    <xdr:sp macro="" textlink="">
      <xdr:nvSpPr>
        <xdr:cNvPr id="4" name="6 Rectángulo redondeado"/>
        <xdr:cNvSpPr/>
      </xdr:nvSpPr>
      <xdr:spPr>
        <a:xfrm>
          <a:off x="0" y="0"/>
          <a:ext cx="8991600" cy="7239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Vejez, Discapacidad y Sobrevivencia (SVDS)</a:t>
          </a:r>
        </a:p>
        <a:p>
          <a:pPr algn="ctr" eaLnBrk="1" fontAlgn="auto" latinLnBrk="0" hangingPunct="1"/>
          <a:r>
            <a:rPr lang="es-DO" sz="1600" b="1">
              <a:solidFill>
                <a:schemeClr val="lt1"/>
              </a:solidFill>
              <a:effectLst/>
              <a:latin typeface="+mn-lt"/>
              <a:ea typeface="+mn-ea"/>
              <a:cs typeface="+mn-cs"/>
            </a:rPr>
            <a:t>Pensiones Otorgadas </a:t>
          </a:r>
          <a:endParaRPr lang="es-DO" sz="2400">
            <a:effectLst/>
          </a:endParaRPr>
        </a:p>
      </xdr:txBody>
    </xdr:sp>
    <xdr:clientData/>
  </xdr:twoCellAnchor>
  <xdr:twoCellAnchor editAs="oneCell">
    <xdr:from>
      <xdr:col>0</xdr:col>
      <xdr:colOff>299760</xdr:colOff>
      <xdr:row>0</xdr:row>
      <xdr:rowOff>78442</xdr:rowOff>
    </xdr:from>
    <xdr:to>
      <xdr:col>1</xdr:col>
      <xdr:colOff>247524</xdr:colOff>
      <xdr:row>3</xdr:row>
      <xdr:rowOff>19050</xdr:rowOff>
    </xdr:to>
    <xdr:pic>
      <xdr:nvPicPr>
        <xdr:cNvPr id="6" name="6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99760" y="78442"/>
          <a:ext cx="709764" cy="5121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1.xml><?xml version="1.0" encoding="utf-8"?>
<xdr:wsDr xmlns:xdr="http://schemas.openxmlformats.org/drawingml/2006/spreadsheetDrawing" xmlns:a="http://schemas.openxmlformats.org/drawingml/2006/main">
  <xdr:twoCellAnchor>
    <xdr:from>
      <xdr:col>0</xdr:col>
      <xdr:colOff>43295</xdr:colOff>
      <xdr:row>18</xdr:row>
      <xdr:rowOff>138544</xdr:rowOff>
    </xdr:from>
    <xdr:to>
      <xdr:col>11</xdr:col>
      <xdr:colOff>865909</xdr:colOff>
      <xdr:row>59</xdr:row>
      <xdr:rowOff>17317</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0</xdr:colOff>
      <xdr:row>0</xdr:row>
      <xdr:rowOff>1212272</xdr:rowOff>
    </xdr:to>
    <xdr:sp macro="" textlink="">
      <xdr:nvSpPr>
        <xdr:cNvPr id="5" name="6 Rectángulo redondeado"/>
        <xdr:cNvSpPr/>
      </xdr:nvSpPr>
      <xdr:spPr>
        <a:xfrm>
          <a:off x="0" y="0"/>
          <a:ext cx="20106409" cy="121227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Seguro de Vejez, Discapacidad y Sobrevivencia (SVDS)</a:t>
          </a:r>
        </a:p>
        <a:p>
          <a:pPr algn="ctr" eaLnBrk="1" fontAlgn="auto" latinLnBrk="0" hangingPunct="1"/>
          <a:r>
            <a:rPr lang="es-DO" sz="2000" b="1">
              <a:solidFill>
                <a:schemeClr val="lt1"/>
              </a:solidFill>
              <a:effectLst/>
              <a:latin typeface="+mn-lt"/>
              <a:ea typeface="+mn-ea"/>
              <a:cs typeface="+mn-cs"/>
            </a:rPr>
            <a:t>Pensiones Otorgadas por Año</a:t>
          </a:r>
        </a:p>
        <a:p>
          <a:pPr algn="ctr" eaLnBrk="1" fontAlgn="auto" latinLnBrk="0" hangingPunct="1"/>
          <a:r>
            <a:rPr lang="es-DO" sz="2000" b="1">
              <a:solidFill>
                <a:schemeClr val="lt1"/>
              </a:solidFill>
              <a:effectLst/>
              <a:latin typeface="+mn-lt"/>
              <a:ea typeface="+mn-ea"/>
              <a:cs typeface="+mn-cs"/>
            </a:rPr>
            <a:t>Período: 2003 -  Noviembre 2015</a:t>
          </a:r>
          <a:endParaRPr lang="es-DO" sz="3200">
            <a:effectLst/>
          </a:endParaRPr>
        </a:p>
      </xdr:txBody>
    </xdr:sp>
    <xdr:clientData/>
  </xdr:twoCellAnchor>
  <xdr:oneCellAnchor>
    <xdr:from>
      <xdr:col>0</xdr:col>
      <xdr:colOff>531914</xdr:colOff>
      <xdr:row>0</xdr:row>
      <xdr:rowOff>180602</xdr:rowOff>
    </xdr:from>
    <xdr:ext cx="1194727" cy="823851"/>
    <xdr:pic>
      <xdr:nvPicPr>
        <xdr:cNvPr id="6" name="5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31914" y="180602"/>
          <a:ext cx="1194727" cy="8238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1125682</xdr:colOff>
      <xdr:row>56</xdr:row>
      <xdr:rowOff>34637</xdr:rowOff>
    </xdr:from>
    <xdr:to>
      <xdr:col>4</xdr:col>
      <xdr:colOff>1073728</xdr:colOff>
      <xdr:row>58</xdr:row>
      <xdr:rowOff>121227</xdr:rowOff>
    </xdr:to>
    <xdr:sp macro="" textlink="">
      <xdr:nvSpPr>
        <xdr:cNvPr id="2" name="CuadroTexto 1"/>
        <xdr:cNvSpPr txBox="1"/>
      </xdr:nvSpPr>
      <xdr:spPr>
        <a:xfrm>
          <a:off x="1125682" y="13681364"/>
          <a:ext cx="6650182" cy="502227"/>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600" b="1"/>
            <a:t>Fuente: </a:t>
          </a:r>
          <a:r>
            <a:rPr lang="es-ES" sz="1600"/>
            <a:t>SIPEN</a:t>
          </a:r>
        </a:p>
      </xdr:txBody>
    </xdr:sp>
    <xdr:clientData/>
  </xdr:twoCellAnchor>
</xdr:wsDr>
</file>

<file path=xl/drawings/drawing152.xml><?xml version="1.0" encoding="utf-8"?>
<xdr:wsDr xmlns:xdr="http://schemas.openxmlformats.org/drawingml/2006/spreadsheetDrawing" xmlns:a="http://schemas.openxmlformats.org/drawingml/2006/main">
  <xdr:twoCellAnchor>
    <xdr:from>
      <xdr:col>0</xdr:col>
      <xdr:colOff>0</xdr:colOff>
      <xdr:row>13</xdr:row>
      <xdr:rowOff>27214</xdr:rowOff>
    </xdr:from>
    <xdr:to>
      <xdr:col>13</xdr:col>
      <xdr:colOff>625928</xdr:colOff>
      <xdr:row>54</xdr:row>
      <xdr:rowOff>13607</xdr:rowOff>
    </xdr:to>
    <xdr:graphicFrame macro="">
      <xdr:nvGraphicFramePr>
        <xdr:cNvPr id="3" name="2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734786</xdr:colOff>
      <xdr:row>1</xdr:row>
      <xdr:rowOff>0</xdr:rowOff>
    </xdr:to>
    <xdr:sp macro="" textlink="">
      <xdr:nvSpPr>
        <xdr:cNvPr id="4" name="6 Rectángulo redondeado"/>
        <xdr:cNvSpPr/>
      </xdr:nvSpPr>
      <xdr:spPr>
        <a:xfrm>
          <a:off x="0" y="0"/>
          <a:ext cx="14913429" cy="83003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Vejez</a:t>
          </a:r>
          <a:r>
            <a:rPr lang="es-DO" sz="1600" b="1" baseline="0">
              <a:solidFill>
                <a:schemeClr val="lt1"/>
              </a:solidFill>
              <a:effectLst/>
              <a:latin typeface="+mn-lt"/>
              <a:ea typeface="+mn-ea"/>
              <a:cs typeface="+mn-cs"/>
            </a:rPr>
            <a:t>, Discapacidad y Sobrevivencia</a:t>
          </a:r>
        </a:p>
        <a:p>
          <a:pPr algn="ctr" eaLnBrk="1" fontAlgn="auto" latinLnBrk="0" hangingPunct="1"/>
          <a:r>
            <a:rPr lang="es-DO" sz="1600" b="1">
              <a:solidFill>
                <a:schemeClr val="lt1"/>
              </a:solidFill>
              <a:effectLst/>
              <a:latin typeface="+mn-lt"/>
              <a:ea typeface="+mn-ea"/>
              <a:cs typeface="+mn-cs"/>
            </a:rPr>
            <a:t>Monto</a:t>
          </a:r>
          <a:r>
            <a:rPr lang="es-DO" sz="1600" b="1" baseline="0">
              <a:solidFill>
                <a:schemeClr val="lt1"/>
              </a:solidFill>
              <a:effectLst/>
              <a:latin typeface="+mn-lt"/>
              <a:ea typeface="+mn-ea"/>
              <a:cs typeface="+mn-cs"/>
            </a:rPr>
            <a:t> de </a:t>
          </a:r>
          <a:r>
            <a:rPr lang="es-DO" sz="1600" b="1">
              <a:solidFill>
                <a:schemeClr val="lt1"/>
              </a:solidFill>
              <a:effectLst/>
              <a:latin typeface="+mn-lt"/>
              <a:ea typeface="+mn-ea"/>
              <a:cs typeface="+mn-cs"/>
            </a:rPr>
            <a:t>Pensión Promedio por  Tipo de Discapacidad Según AFP</a:t>
          </a:r>
        </a:p>
        <a:p>
          <a:pPr algn="ctr" eaLnBrk="1" fontAlgn="auto" latinLnBrk="0" hangingPunct="1"/>
          <a:r>
            <a:rPr lang="es-DO" sz="1600" b="1">
              <a:solidFill>
                <a:schemeClr val="lt1"/>
              </a:solidFill>
              <a:effectLst/>
              <a:latin typeface="+mn-lt"/>
              <a:ea typeface="+mn-ea"/>
              <a:cs typeface="+mn-cs"/>
            </a:rPr>
            <a:t>Septiembre  2015</a:t>
          </a:r>
          <a:endParaRPr lang="es-DO" sz="2400">
            <a:effectLst/>
          </a:endParaRPr>
        </a:p>
      </xdr:txBody>
    </xdr:sp>
    <xdr:clientData/>
  </xdr:twoCellAnchor>
  <xdr:twoCellAnchor editAs="oneCell">
    <xdr:from>
      <xdr:col>0</xdr:col>
      <xdr:colOff>598714</xdr:colOff>
      <xdr:row>0</xdr:row>
      <xdr:rowOff>176894</xdr:rowOff>
    </xdr:from>
    <xdr:to>
      <xdr:col>0</xdr:col>
      <xdr:colOff>1455964</xdr:colOff>
      <xdr:row>0</xdr:row>
      <xdr:rowOff>804365</xdr:rowOff>
    </xdr:to>
    <xdr:pic>
      <xdr:nvPicPr>
        <xdr:cNvPr id="5" name="4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98714" y="176894"/>
          <a:ext cx="857250" cy="6274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530679</xdr:colOff>
      <xdr:row>0</xdr:row>
      <xdr:rowOff>176893</xdr:rowOff>
    </xdr:from>
    <xdr:to>
      <xdr:col>0</xdr:col>
      <xdr:colOff>1455964</xdr:colOff>
      <xdr:row>0</xdr:row>
      <xdr:rowOff>844504</xdr:rowOff>
    </xdr:to>
    <xdr:pic>
      <xdr:nvPicPr>
        <xdr:cNvPr id="6" name="6 Imagen" descr="logo_2x4.bmp">
          <a:hlinkClick xmlns:r="http://schemas.openxmlformats.org/officeDocument/2006/relationships" r:id="rId4"/>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30679" y="176893"/>
          <a:ext cx="925285" cy="6676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3.xml><?xml version="1.0" encoding="utf-8"?>
<xdr:wsDr xmlns:xdr="http://schemas.openxmlformats.org/drawingml/2006/spreadsheetDrawing" xmlns:a="http://schemas.openxmlformats.org/drawingml/2006/main">
  <xdr:twoCellAnchor>
    <xdr:from>
      <xdr:col>0</xdr:col>
      <xdr:colOff>0</xdr:colOff>
      <xdr:row>12</xdr:row>
      <xdr:rowOff>149087</xdr:rowOff>
    </xdr:from>
    <xdr:to>
      <xdr:col>8</xdr:col>
      <xdr:colOff>1219200</xdr:colOff>
      <xdr:row>33</xdr:row>
      <xdr:rowOff>133350</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9</xdr:col>
      <xdr:colOff>0</xdr:colOff>
      <xdr:row>1</xdr:row>
      <xdr:rowOff>114300</xdr:rowOff>
    </xdr:to>
    <xdr:sp macro="" textlink="">
      <xdr:nvSpPr>
        <xdr:cNvPr id="3" name="6 Rectángulo redondeado"/>
        <xdr:cNvSpPr/>
      </xdr:nvSpPr>
      <xdr:spPr>
        <a:xfrm>
          <a:off x="0" y="0"/>
          <a:ext cx="8553450" cy="59055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200" b="1">
              <a:solidFill>
                <a:schemeClr val="lt1"/>
              </a:solidFill>
              <a:effectLst/>
              <a:latin typeface="+mn-lt"/>
              <a:ea typeface="+mn-ea"/>
              <a:cs typeface="+mn-cs"/>
            </a:rPr>
            <a:t>Seguro de Vejez</a:t>
          </a:r>
          <a:r>
            <a:rPr lang="es-DO" sz="1200" b="1" baseline="0">
              <a:solidFill>
                <a:schemeClr val="lt1"/>
              </a:solidFill>
              <a:effectLst/>
              <a:latin typeface="+mn-lt"/>
              <a:ea typeface="+mn-ea"/>
              <a:cs typeface="+mn-cs"/>
            </a:rPr>
            <a:t>, Discapacidad y Sobrevivencia</a:t>
          </a:r>
        </a:p>
        <a:p>
          <a:pPr algn="ctr" eaLnBrk="1" fontAlgn="auto" latinLnBrk="0" hangingPunct="1"/>
          <a:r>
            <a:rPr lang="es-DO" sz="1200" b="1">
              <a:solidFill>
                <a:schemeClr val="lt1"/>
              </a:solidFill>
              <a:effectLst/>
              <a:latin typeface="+mn-lt"/>
              <a:ea typeface="+mn-ea"/>
              <a:cs typeface="+mn-cs"/>
            </a:rPr>
            <a:t>Pensión Promedio de Sobrevivencia  y Discapacidad (RD$)</a:t>
          </a:r>
        </a:p>
        <a:p>
          <a:pPr algn="ctr" eaLnBrk="1" fontAlgn="auto" latinLnBrk="0" hangingPunct="1"/>
          <a:r>
            <a:rPr lang="es-DO" sz="1200" b="1">
              <a:solidFill>
                <a:schemeClr val="lt1"/>
              </a:solidFill>
              <a:effectLst/>
              <a:latin typeface="+mn-lt"/>
              <a:ea typeface="+mn-ea"/>
              <a:cs typeface="+mn-cs"/>
            </a:rPr>
            <a:t>Septiembre 2015</a:t>
          </a:r>
          <a:endParaRPr lang="es-DO" sz="1800">
            <a:effectLst/>
          </a:endParaRPr>
        </a:p>
      </xdr:txBody>
    </xdr:sp>
    <xdr:clientData/>
  </xdr:twoCellAnchor>
  <xdr:twoCellAnchor editAs="oneCell">
    <xdr:from>
      <xdr:col>0</xdr:col>
      <xdr:colOff>447676</xdr:colOff>
      <xdr:row>0</xdr:row>
      <xdr:rowOff>66676</xdr:rowOff>
    </xdr:from>
    <xdr:to>
      <xdr:col>0</xdr:col>
      <xdr:colOff>1028534</xdr:colOff>
      <xdr:row>1</xdr:row>
      <xdr:rowOff>9526</xdr:rowOff>
    </xdr:to>
    <xdr:pic>
      <xdr:nvPicPr>
        <xdr:cNvPr id="6"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47676" y="66676"/>
          <a:ext cx="580858"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4.xml><?xml version="1.0" encoding="utf-8"?>
<xdr:wsDr xmlns:xdr="http://schemas.openxmlformats.org/drawingml/2006/spreadsheetDrawing" xmlns:a="http://schemas.openxmlformats.org/drawingml/2006/main">
  <xdr:twoCellAnchor editAs="oneCell">
    <xdr:from>
      <xdr:col>3</xdr:col>
      <xdr:colOff>281747</xdr:colOff>
      <xdr:row>6</xdr:row>
      <xdr:rowOff>95249</xdr:rowOff>
    </xdr:from>
    <xdr:to>
      <xdr:col>9</xdr:col>
      <xdr:colOff>707571</xdr:colOff>
      <xdr:row>33</xdr:row>
      <xdr:rowOff>12005</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567747" y="1238249"/>
          <a:ext cx="4861753" cy="5060256"/>
        </a:xfrm>
        <a:prstGeom prst="rect">
          <a:avLst/>
        </a:prstGeom>
        <a:noFill/>
        <a:ln>
          <a:noFill/>
        </a:ln>
      </xdr:spPr>
    </xdr:pic>
    <xdr:clientData/>
  </xdr:twoCellAnchor>
  <xdr:twoCellAnchor>
    <xdr:from>
      <xdr:col>0</xdr:col>
      <xdr:colOff>425824</xdr:colOff>
      <xdr:row>10</xdr:row>
      <xdr:rowOff>11207</xdr:rowOff>
    </xdr:from>
    <xdr:to>
      <xdr:col>12</xdr:col>
      <xdr:colOff>515471</xdr:colOff>
      <xdr:row>25</xdr:row>
      <xdr:rowOff>78442</xdr:rowOff>
    </xdr:to>
    <xdr:sp macro="" textlink="">
      <xdr:nvSpPr>
        <xdr:cNvPr id="2" name="1 CuadroTexto"/>
        <xdr:cNvSpPr txBox="1"/>
      </xdr:nvSpPr>
      <xdr:spPr>
        <a:xfrm>
          <a:off x="425824" y="1916207"/>
          <a:ext cx="9099176" cy="29247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200" b="1" baseline="0">
              <a:solidFill>
                <a:srgbClr val="0070C0"/>
              </a:solidFill>
              <a:effectLst/>
              <a:latin typeface="+mn-lt"/>
              <a:ea typeface="+mn-ea"/>
              <a:cs typeface="+mn-cs"/>
            </a:rPr>
            <a:t>Sistema Dominicano de Seguridad Social (SDSS)</a:t>
          </a:r>
          <a:endParaRPr lang="es-ES" sz="3200" b="1" baseline="0">
            <a:solidFill>
              <a:srgbClr val="0070C0"/>
            </a:solidFill>
            <a:effectLst/>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latin typeface="+mn-lt"/>
              <a:ea typeface="+mn-ea"/>
              <a:cs typeface="+mn-cs"/>
            </a:rPr>
            <a:t>Solicitud de Beneficios de</a:t>
          </a:r>
          <a:r>
            <a:rPr lang="es-DO" sz="3200" b="1" baseline="0">
              <a:solidFill>
                <a:schemeClr val="accent3">
                  <a:lumMod val="50000"/>
                </a:schemeClr>
              </a:solidFill>
              <a:latin typeface="+mn-lt"/>
              <a:ea typeface="+mn-ea"/>
              <a:cs typeface="+mn-cs"/>
            </a:rPr>
            <a:t> </a:t>
          </a:r>
          <a:r>
            <a:rPr lang="es-DO" sz="3200" b="1">
              <a:solidFill>
                <a:schemeClr val="accent3">
                  <a:lumMod val="50000"/>
                </a:schemeClr>
              </a:solidFill>
              <a:latin typeface="+mn-lt"/>
              <a:ea typeface="+mn-ea"/>
              <a:cs typeface="+mn-cs"/>
            </a:rPr>
            <a:t>Administradora de Riesgos Laborales (ARL)</a:t>
          </a:r>
        </a:p>
      </xdr:txBody>
    </xdr:sp>
    <xdr:clientData/>
  </xdr:twoCellAnchor>
  <xdr:twoCellAnchor editAs="oneCell">
    <xdr:from>
      <xdr:col>0</xdr:col>
      <xdr:colOff>347382</xdr:colOff>
      <xdr:row>1</xdr:row>
      <xdr:rowOff>161976</xdr:rowOff>
    </xdr:from>
    <xdr:to>
      <xdr:col>1</xdr:col>
      <xdr:colOff>717176</xdr:colOff>
      <xdr:row>5</xdr:row>
      <xdr:rowOff>114793</xdr:rowOff>
    </xdr:to>
    <xdr:pic>
      <xdr:nvPicPr>
        <xdr:cNvPr id="3"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347382" y="352476"/>
          <a:ext cx="1131794" cy="7148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5.xml><?xml version="1.0" encoding="utf-8"?>
<xdr:wsDr xmlns:xdr="http://schemas.openxmlformats.org/drawingml/2006/spreadsheetDrawing" xmlns:a="http://schemas.openxmlformats.org/drawingml/2006/main">
  <xdr:twoCellAnchor editAs="oneCell">
    <xdr:from>
      <xdr:col>2</xdr:col>
      <xdr:colOff>649941</xdr:colOff>
      <xdr:row>10</xdr:row>
      <xdr:rowOff>78441</xdr:rowOff>
    </xdr:from>
    <xdr:to>
      <xdr:col>10</xdr:col>
      <xdr:colOff>145676</xdr:colOff>
      <xdr:row>36</xdr:row>
      <xdr:rowOff>94520</xdr:rowOff>
    </xdr:to>
    <xdr:pic>
      <xdr:nvPicPr>
        <xdr:cNvPr id="2"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173941" y="1983441"/>
          <a:ext cx="5457264" cy="5327667"/>
        </a:xfrm>
        <a:prstGeom prst="rect">
          <a:avLst/>
        </a:prstGeom>
        <a:noFill/>
        <a:ln>
          <a:noFill/>
        </a:ln>
      </xdr:spPr>
    </xdr:pic>
    <xdr:clientData/>
  </xdr:twoCellAnchor>
  <xdr:twoCellAnchor>
    <xdr:from>
      <xdr:col>0</xdr:col>
      <xdr:colOff>145676</xdr:colOff>
      <xdr:row>5</xdr:row>
      <xdr:rowOff>11206</xdr:rowOff>
    </xdr:from>
    <xdr:to>
      <xdr:col>13</xdr:col>
      <xdr:colOff>616324</xdr:colOff>
      <xdr:row>45</xdr:row>
      <xdr:rowOff>44824</xdr:rowOff>
    </xdr:to>
    <xdr:sp macro="" textlink="">
      <xdr:nvSpPr>
        <xdr:cNvPr id="3" name="1 CuadroTexto"/>
        <xdr:cNvSpPr txBox="1"/>
      </xdr:nvSpPr>
      <xdr:spPr>
        <a:xfrm>
          <a:off x="145676" y="974912"/>
          <a:ext cx="10242177" cy="8012206"/>
        </a:xfrm>
        <a:prstGeom prst="rect">
          <a:avLst/>
        </a:prstGeom>
        <a:solidFill>
          <a:sysClr val="window" lastClr="FFFFFF"/>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n-US" sz="1300" baseline="0">
              <a:solidFill>
                <a:sysClr val="windowText" lastClr="000000"/>
              </a:solidFill>
              <a:effectLst/>
              <a:latin typeface="+mn-lt"/>
              <a:ea typeface="+mn-ea"/>
              <a:cs typeface="+mn-cs"/>
            </a:rPr>
            <a:t>El total de casos reportados por accidentes laborales y enfermedades profesionales desde el período 2005 al mes de noviembre 2015 es de 201,696 reportes.  El 98.6% de los reportes son de accidentes laborales y el 1.4% por enfermedades profesionales.   El incremento promedio anual de los reportes  de accidentes es de 27.5%, en el período enero 2005 a diciembre 2014.   En el mismo período, las provincias Altagracia, Santiago de los Caballeros, La Romana y Distrito Nacional han, ha reportó el 70.5% de los  accidentes.</a:t>
          </a:r>
        </a:p>
        <a:p>
          <a:pPr marL="0" marR="0" indent="0" algn="l" defTabSz="914400" eaLnBrk="1" fontAlgn="auto" latinLnBrk="0" hangingPunct="1">
            <a:lnSpc>
              <a:spcPct val="100000"/>
            </a:lnSpc>
            <a:spcBef>
              <a:spcPts val="0"/>
            </a:spcBef>
            <a:spcAft>
              <a:spcPts val="0"/>
            </a:spcAft>
            <a:buClrTx/>
            <a:buSzTx/>
            <a:buFontTx/>
            <a:buNone/>
            <a:tabLst/>
            <a:defRPr/>
          </a:pPr>
          <a:endParaRPr lang="en-US" sz="13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300" baseline="0">
              <a:solidFill>
                <a:sysClr val="windowText" lastClr="000000"/>
              </a:solidFill>
              <a:effectLst/>
              <a:latin typeface="+mn-lt"/>
              <a:ea typeface="+mn-ea"/>
              <a:cs typeface="+mn-cs"/>
            </a:rPr>
            <a:t>De enero al mes de noviembre de 2015 el total de reportes de accidentes laborales y enfermedades profesionales fue de </a:t>
          </a:r>
          <a:r>
            <a:rPr lang="es-ES" sz="1300" baseline="0">
              <a:solidFill>
                <a:sysClr val="windowText" lastClr="000000"/>
              </a:solidFill>
              <a:effectLst/>
              <a:latin typeface="+mn-lt"/>
              <a:ea typeface="+mn-ea"/>
              <a:cs typeface="+mn-cs"/>
            </a:rPr>
            <a:t>  31,818  </a:t>
          </a:r>
          <a:r>
            <a:rPr lang="en-US" sz="1300" baseline="0">
              <a:solidFill>
                <a:sysClr val="windowText" lastClr="000000"/>
              </a:solidFill>
              <a:effectLst/>
              <a:latin typeface="+mn-lt"/>
              <a:ea typeface="+mn-ea"/>
              <a:cs typeface="+mn-cs"/>
            </a:rPr>
            <a:t>de los cuales 86.5% de los reportes provenían de la zona urbana y el 13.5% de la rural.   Las empresas del sector público reportaron el 15.70% y el 84.30% del privado.  Del total de afiliados al ARL que sufrió algún tipo de accidente en el período enero-diciembre 2014, sector público reportó el 1.12% y el 2.17% del privado.   Para diciembre 2014, el porcentaje de afiliados registrados ARL con reporte de accidentes laborales o profesionales fue de 1.88%.</a:t>
          </a:r>
        </a:p>
        <a:p>
          <a:pPr marL="0" marR="0" indent="0" algn="l" defTabSz="914400" eaLnBrk="1" fontAlgn="auto" latinLnBrk="0" hangingPunct="1">
            <a:lnSpc>
              <a:spcPct val="100000"/>
            </a:lnSpc>
            <a:spcBef>
              <a:spcPts val="0"/>
            </a:spcBef>
            <a:spcAft>
              <a:spcPts val="0"/>
            </a:spcAft>
            <a:buClrTx/>
            <a:buSzTx/>
            <a:buFontTx/>
            <a:buNone/>
            <a:tabLst/>
            <a:defRPr/>
          </a:pPr>
          <a:endParaRPr lang="en-US" sz="13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300" baseline="0">
              <a:solidFill>
                <a:sysClr val="windowText" lastClr="000000"/>
              </a:solidFill>
              <a:effectLst/>
              <a:latin typeface="+mn-lt"/>
              <a:ea typeface="+mn-ea"/>
              <a:cs typeface="+mn-cs"/>
            </a:rPr>
            <a:t>De enero al mes de noviembre 2015, el 29.2% de los accidentes son del sexo femenino y el 70.8% al masculino.  En el período enero- diciembre 2005 se registro que el 87.0% de los accidentes eran del sexo masculino,  comparada con el porcentaje de enero - diciembre 2014  que era de  un 71.4%, se observó una disminución en los reportes de un 15.6%, mientras que en los reportes del sexo femenino ha aumentó en igual porcentaje en el mismo período.</a:t>
          </a:r>
        </a:p>
        <a:p>
          <a:pPr marL="0" marR="0" indent="0" algn="l" defTabSz="914400" eaLnBrk="1" fontAlgn="auto" latinLnBrk="0" hangingPunct="1">
            <a:lnSpc>
              <a:spcPct val="100000"/>
            </a:lnSpc>
            <a:spcBef>
              <a:spcPts val="0"/>
            </a:spcBef>
            <a:spcAft>
              <a:spcPts val="0"/>
            </a:spcAft>
            <a:buClrTx/>
            <a:buSzTx/>
            <a:buFontTx/>
            <a:buNone/>
            <a:tabLst/>
            <a:defRPr/>
          </a:pPr>
          <a:endParaRPr lang="en-US" sz="1300" baseline="0">
            <a:solidFill>
              <a:srgbClr val="FF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300" baseline="0">
              <a:solidFill>
                <a:sysClr val="windowText" lastClr="000000"/>
              </a:solidFill>
              <a:effectLst/>
              <a:latin typeface="+mn-lt"/>
              <a:ea typeface="+mn-ea"/>
              <a:cs typeface="+mn-cs"/>
            </a:rPr>
            <a:t>Del total de accidentes reportados en el período enero 2005 a diciembre 2014,  el 7.37% de los afiliados tenían edades menores de 20 años y mayor de 60 años.  En cuanto al nivel educativo de los accidentados, el promedio histórico estimado en el período enero 2005  al mes de  noviembre 2015 es que, el 3.17%  que no tiene ninguna educación; el 32.17% tiene una básica; el 46.93% a llegado a la educación media y el  9.30% tiene un nivel superior o universitario, lo que evidencia que el nivel de escolaridad no es garantía de que ocurran accidentes o no.</a:t>
          </a:r>
        </a:p>
        <a:p>
          <a:pPr marL="0" marR="0" indent="0" algn="l" defTabSz="914400" eaLnBrk="1" fontAlgn="auto" latinLnBrk="0" hangingPunct="1">
            <a:lnSpc>
              <a:spcPct val="100000"/>
            </a:lnSpc>
            <a:spcBef>
              <a:spcPts val="0"/>
            </a:spcBef>
            <a:spcAft>
              <a:spcPts val="0"/>
            </a:spcAft>
            <a:buClrTx/>
            <a:buSzTx/>
            <a:buFontTx/>
            <a:buNone/>
            <a:tabLst/>
            <a:defRPr/>
          </a:pPr>
          <a:endParaRPr lang="en-US" sz="1300" baseline="0">
            <a:solidFill>
              <a:srgbClr val="FF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300" baseline="0">
              <a:solidFill>
                <a:sysClr val="windowText" lastClr="000000"/>
              </a:solidFill>
              <a:effectLst/>
              <a:latin typeface="+mn-lt"/>
              <a:ea typeface="+mn-ea"/>
              <a:cs typeface="+mn-cs"/>
            </a:rPr>
            <a:t>La cantidad de expedientes reportados por las ARL desde enero al mes de noviembre 2015,  se calificaron el 97.4%,  siendo un total de  30,981 expedientes calificados.  El 94.41% de los casos calificados fueron aprobados y el 5.59% declinados.  Solo en el 2013 se calificaron el 100% de los casos reportados.  El porcentaje promedio de los casos calificados desde el 2009 al mes de noviembre 2015 fue de 97.6%. </a:t>
          </a:r>
        </a:p>
        <a:p>
          <a:pPr marL="0" marR="0" indent="0" algn="l" defTabSz="914400" eaLnBrk="1" fontAlgn="auto" latinLnBrk="0" hangingPunct="1">
            <a:lnSpc>
              <a:spcPct val="100000"/>
            </a:lnSpc>
            <a:spcBef>
              <a:spcPts val="0"/>
            </a:spcBef>
            <a:spcAft>
              <a:spcPts val="0"/>
            </a:spcAft>
            <a:buClrTx/>
            <a:buSzTx/>
            <a:buFontTx/>
            <a:buNone/>
            <a:tabLst/>
            <a:defRPr/>
          </a:pPr>
          <a:endParaRPr lang="en-US" sz="1300" baseline="0">
            <a:solidFill>
              <a:srgbClr val="FF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300" baseline="0">
              <a:solidFill>
                <a:sysClr val="windowText" lastClr="000000"/>
              </a:solidFill>
              <a:effectLst/>
              <a:latin typeface="+mn-lt"/>
              <a:ea typeface="+mn-ea"/>
              <a:cs typeface="+mn-cs"/>
            </a:rPr>
            <a:t>Según el tipo de accidentes sufrido por los afiliados de enero al mes de noviembre 2015, el  67.26% fue un accidente  en el trabajo; el  26.30% en el trayecto, el 0.85% conexo,  y el 5.59% de los accidentes no fueron especificados.  Del total de accidentes el  90.3%  fue de leve a moderado, el 3.6%  fueron grave o mortales, y el 0.5% sin lesión en el mes de noviembre 2015.</a:t>
          </a:r>
        </a:p>
        <a:p>
          <a:pPr marL="0" marR="0" indent="0" algn="l" defTabSz="914400" eaLnBrk="1" fontAlgn="auto" latinLnBrk="0" hangingPunct="1">
            <a:lnSpc>
              <a:spcPct val="100000"/>
            </a:lnSpc>
            <a:spcBef>
              <a:spcPts val="0"/>
            </a:spcBef>
            <a:spcAft>
              <a:spcPts val="0"/>
            </a:spcAft>
            <a:buClrTx/>
            <a:buSzTx/>
            <a:buFontTx/>
            <a:buNone/>
            <a:tabLst/>
            <a:defRPr/>
          </a:pPr>
          <a:endParaRPr lang="en-US" sz="1300" baseline="0">
            <a:solidFill>
              <a:srgbClr val="FF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300" baseline="0">
              <a:solidFill>
                <a:sysClr val="windowText" lastClr="000000"/>
              </a:solidFill>
              <a:effectLst/>
              <a:latin typeface="+mn-lt"/>
              <a:ea typeface="+mn-ea"/>
              <a:cs typeface="+mn-cs"/>
            </a:rPr>
            <a:t>De enero 2009 al mes de noviembre 2015, según las circunstancias de los imprevistos el 82.90% de los accidentes fue por factor de trabajo; el  1.97% por falta de organización y el 9.07% fue por factores o actos fuera de normas o personal.  En cuanto al agente dañino productor del accidente el 27.23% fue por medio de transporte; el 23.43% ambiente de trabajo; el 22.09% por herramientas e implementación; el 27.27%  por maquinarias y equipos, entre otros.  </a:t>
          </a:r>
        </a:p>
        <a:p>
          <a:pPr marL="0" marR="0" indent="0" algn="l" defTabSz="914400" eaLnBrk="1" fontAlgn="auto" latinLnBrk="0" hangingPunct="1">
            <a:lnSpc>
              <a:spcPct val="100000"/>
            </a:lnSpc>
            <a:spcBef>
              <a:spcPts val="0"/>
            </a:spcBef>
            <a:spcAft>
              <a:spcPts val="0"/>
            </a:spcAft>
            <a:buClrTx/>
            <a:buSzTx/>
            <a:buFontTx/>
            <a:buNone/>
            <a:tabLst/>
            <a:defRPr/>
          </a:pPr>
          <a:endParaRPr lang="en-US" sz="1300" baseline="0">
            <a:solidFill>
              <a:srgbClr val="FF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300" baseline="0">
              <a:solidFill>
                <a:sysClr val="windowText" lastClr="000000"/>
              </a:solidFill>
              <a:effectLst/>
              <a:latin typeface="+mn-lt"/>
              <a:ea typeface="+mn-ea"/>
              <a:cs typeface="+mn-cs"/>
            </a:rPr>
            <a:t>Asimismo,  el  41.00% de los accidentes  reportados fueron en el área de producción y el 27.27% en el área de circulación vehicular o parqueos.  Al mes de noviembre  2015 el 88.13% de los casos reportados como calificados tenían lesiones Discapacitantes.  El año que  se reporto mayores lesiones Discapacitantes fue el año 2014, con un total de 25,583 representando el 84.35% de los casos calificados.   En el mes de noviembre 2015,  del 100% de los casos  en proceso de investigación, el 71.3% fueron declinados y el 28.8% aprobados.  </a:t>
          </a:r>
        </a:p>
      </xdr:txBody>
    </xdr:sp>
    <xdr:clientData/>
  </xdr:twoCellAnchor>
  <xdr:twoCellAnchor>
    <xdr:from>
      <xdr:col>0</xdr:col>
      <xdr:colOff>0</xdr:colOff>
      <xdr:row>0</xdr:row>
      <xdr:rowOff>0</xdr:rowOff>
    </xdr:from>
    <xdr:to>
      <xdr:col>14</xdr:col>
      <xdr:colOff>11205</xdr:colOff>
      <xdr:row>4</xdr:row>
      <xdr:rowOff>67234</xdr:rowOff>
    </xdr:to>
    <xdr:sp macro="" textlink="">
      <xdr:nvSpPr>
        <xdr:cNvPr id="4" name="4 Rectángulo redondeado"/>
        <xdr:cNvSpPr/>
      </xdr:nvSpPr>
      <xdr:spPr>
        <a:xfrm>
          <a:off x="0" y="0"/>
          <a:ext cx="10544734" cy="84044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Solicitud Beneficios de Riesgos Laborales</a:t>
          </a:r>
        </a:p>
      </xdr:txBody>
    </xdr:sp>
    <xdr:clientData/>
  </xdr:twoCellAnchor>
  <xdr:twoCellAnchor editAs="oneCell">
    <xdr:from>
      <xdr:col>0</xdr:col>
      <xdr:colOff>459441</xdr:colOff>
      <xdr:row>0</xdr:row>
      <xdr:rowOff>134471</xdr:rowOff>
    </xdr:from>
    <xdr:to>
      <xdr:col>1</xdr:col>
      <xdr:colOff>424889</xdr:colOff>
      <xdr:row>3</xdr:row>
      <xdr:rowOff>22412</xdr:rowOff>
    </xdr:to>
    <xdr:pic>
      <xdr:nvPicPr>
        <xdr:cNvPr id="5"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459441" y="134471"/>
          <a:ext cx="727448" cy="4594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459441</xdr:colOff>
      <xdr:row>0</xdr:row>
      <xdr:rowOff>134471</xdr:rowOff>
    </xdr:from>
    <xdr:to>
      <xdr:col>1</xdr:col>
      <xdr:colOff>449916</xdr:colOff>
      <xdr:row>3</xdr:row>
      <xdr:rowOff>105896</xdr:rowOff>
    </xdr:to>
    <xdr:pic>
      <xdr:nvPicPr>
        <xdr:cNvPr id="6" name="6 Imagen" descr="logo_2x4.bmp">
          <a:hlinkClick xmlns:r="http://schemas.openxmlformats.org/officeDocument/2006/relationships" r:id="rId4"/>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59441" y="134471"/>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6.xml><?xml version="1.0" encoding="utf-8"?>
<xdr:wsDr xmlns:xdr="http://schemas.openxmlformats.org/drawingml/2006/spreadsheetDrawing" xmlns:a="http://schemas.openxmlformats.org/drawingml/2006/main">
  <xdr:twoCellAnchor>
    <xdr:from>
      <xdr:col>0</xdr:col>
      <xdr:colOff>0</xdr:colOff>
      <xdr:row>15</xdr:row>
      <xdr:rowOff>52189</xdr:rowOff>
    </xdr:from>
    <xdr:to>
      <xdr:col>9</xdr:col>
      <xdr:colOff>1135171</xdr:colOff>
      <xdr:row>43</xdr:row>
      <xdr:rowOff>104381</xdr:rowOff>
    </xdr:to>
    <xdr:graphicFrame macro="">
      <xdr:nvGraphicFramePr>
        <xdr:cNvPr id="240749"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458519</xdr:colOff>
      <xdr:row>41</xdr:row>
      <xdr:rowOff>87495</xdr:rowOff>
    </xdr:from>
    <xdr:to>
      <xdr:col>3</xdr:col>
      <xdr:colOff>275850</xdr:colOff>
      <xdr:row>43</xdr:row>
      <xdr:rowOff>22257</xdr:rowOff>
    </xdr:to>
    <xdr:sp macro="" textlink="">
      <xdr:nvSpPr>
        <xdr:cNvPr id="2" name="1 CuadroTexto"/>
        <xdr:cNvSpPr txBox="1"/>
      </xdr:nvSpPr>
      <xdr:spPr>
        <a:xfrm>
          <a:off x="458519" y="8727230"/>
          <a:ext cx="2686037" cy="31576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400" b="1"/>
            <a:t>Fuente:  </a:t>
          </a:r>
          <a:r>
            <a:rPr lang="es-DO" sz="1400" b="0"/>
            <a:t>Página web</a:t>
          </a:r>
          <a:r>
            <a:rPr lang="es-DO" sz="1400" b="0" baseline="0"/>
            <a:t>  de la  </a:t>
          </a:r>
          <a:r>
            <a:rPr lang="es-DO" sz="1400" b="0"/>
            <a:t>ARL</a:t>
          </a:r>
        </a:p>
      </xdr:txBody>
    </xdr:sp>
    <xdr:clientData/>
  </xdr:twoCellAnchor>
  <xdr:twoCellAnchor>
    <xdr:from>
      <xdr:col>0</xdr:col>
      <xdr:colOff>0</xdr:colOff>
      <xdr:row>0</xdr:row>
      <xdr:rowOff>0</xdr:rowOff>
    </xdr:from>
    <xdr:to>
      <xdr:col>10</xdr:col>
      <xdr:colOff>0</xdr:colOff>
      <xdr:row>1</xdr:row>
      <xdr:rowOff>0</xdr:rowOff>
    </xdr:to>
    <xdr:sp macro="" textlink="">
      <xdr:nvSpPr>
        <xdr:cNvPr id="5" name="6 Rectángulo redondeado"/>
        <xdr:cNvSpPr/>
      </xdr:nvSpPr>
      <xdr:spPr>
        <a:xfrm>
          <a:off x="0" y="0"/>
          <a:ext cx="12356404" cy="83506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400" b="1">
              <a:solidFill>
                <a:schemeClr val="lt1"/>
              </a:solidFill>
              <a:effectLst/>
              <a:latin typeface="+mn-lt"/>
              <a:ea typeface="+mn-ea"/>
              <a:cs typeface="+mn-cs"/>
            </a:rPr>
            <a:t>Seguro de Riesgos Laborales</a:t>
          </a:r>
        </a:p>
        <a:p>
          <a:pPr algn="ctr" eaLnBrk="1" fontAlgn="auto" latinLnBrk="0" hangingPunct="1"/>
          <a:r>
            <a:rPr lang="es-DO" sz="1400" b="1">
              <a:solidFill>
                <a:schemeClr val="lt1"/>
              </a:solidFill>
              <a:effectLst/>
              <a:latin typeface="+mn-lt"/>
              <a:ea typeface="+mn-ea"/>
              <a:cs typeface="+mn-cs"/>
            </a:rPr>
            <a:t>Reporte de Accidentes Laborales y Enfermedades Profesionales</a:t>
          </a:r>
        </a:p>
        <a:p>
          <a:pPr algn="ctr" eaLnBrk="1" fontAlgn="auto" latinLnBrk="0" hangingPunct="1"/>
          <a:r>
            <a:rPr lang="es-DO" sz="1400" b="1">
              <a:solidFill>
                <a:schemeClr val="lt1"/>
              </a:solidFill>
              <a:effectLst/>
              <a:latin typeface="+mn-lt"/>
              <a:ea typeface="+mn-ea"/>
              <a:cs typeface="+mn-cs"/>
            </a:rPr>
            <a:t>Período: 2005 -  Noviembre</a:t>
          </a:r>
          <a:r>
            <a:rPr lang="es-DO" sz="1400" b="1" baseline="0">
              <a:solidFill>
                <a:schemeClr val="lt1"/>
              </a:solidFill>
              <a:effectLst/>
              <a:latin typeface="+mn-lt"/>
              <a:ea typeface="+mn-ea"/>
              <a:cs typeface="+mn-cs"/>
            </a:rPr>
            <a:t> </a:t>
          </a:r>
          <a:r>
            <a:rPr lang="es-DO" sz="1400" b="1">
              <a:solidFill>
                <a:schemeClr val="lt1"/>
              </a:solidFill>
              <a:effectLst/>
              <a:latin typeface="+mn-lt"/>
              <a:ea typeface="+mn-ea"/>
              <a:cs typeface="+mn-cs"/>
            </a:rPr>
            <a:t>2015</a:t>
          </a:r>
          <a:endParaRPr lang="es-DO" sz="2000">
            <a:effectLst/>
          </a:endParaRPr>
        </a:p>
      </xdr:txBody>
    </xdr:sp>
    <xdr:clientData/>
  </xdr:twoCellAnchor>
  <xdr:twoCellAnchor editAs="oneCell">
    <xdr:from>
      <xdr:col>0</xdr:col>
      <xdr:colOff>508870</xdr:colOff>
      <xdr:row>0</xdr:row>
      <xdr:rowOff>156576</xdr:rowOff>
    </xdr:from>
    <xdr:to>
      <xdr:col>1</xdr:col>
      <xdr:colOff>290119</xdr:colOff>
      <xdr:row>0</xdr:row>
      <xdr:rowOff>626302</xdr:rowOff>
    </xdr:to>
    <xdr:pic>
      <xdr:nvPicPr>
        <xdr:cNvPr id="6" name="1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08870" y="156576"/>
          <a:ext cx="668509" cy="4697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7.xml><?xml version="1.0" encoding="utf-8"?>
<xdr:wsDr xmlns:xdr="http://schemas.openxmlformats.org/drawingml/2006/spreadsheetDrawing" xmlns:a="http://schemas.openxmlformats.org/drawingml/2006/main">
  <xdr:twoCellAnchor>
    <xdr:from>
      <xdr:col>0</xdr:col>
      <xdr:colOff>52191</xdr:colOff>
      <xdr:row>15</xdr:row>
      <xdr:rowOff>146007</xdr:rowOff>
    </xdr:from>
    <xdr:to>
      <xdr:col>19</xdr:col>
      <xdr:colOff>574109</xdr:colOff>
      <xdr:row>58</xdr:row>
      <xdr:rowOff>52192</xdr:rowOff>
    </xdr:to>
    <xdr:graphicFrame macro="">
      <xdr:nvGraphicFramePr>
        <xdr:cNvPr id="24280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20</xdr:col>
      <xdr:colOff>0</xdr:colOff>
      <xdr:row>0</xdr:row>
      <xdr:rowOff>848116</xdr:rowOff>
    </xdr:to>
    <xdr:sp macro="" textlink="">
      <xdr:nvSpPr>
        <xdr:cNvPr id="4" name="6 Rectángulo redondeado"/>
        <xdr:cNvSpPr/>
      </xdr:nvSpPr>
      <xdr:spPr>
        <a:xfrm>
          <a:off x="0" y="0"/>
          <a:ext cx="13765582" cy="84811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400" b="1">
              <a:solidFill>
                <a:schemeClr val="lt1"/>
              </a:solidFill>
              <a:effectLst/>
              <a:latin typeface="+mn-lt"/>
              <a:ea typeface="+mn-ea"/>
              <a:cs typeface="+mn-cs"/>
            </a:rPr>
            <a:t>Seguro de Riesgos Laborales</a:t>
          </a:r>
        </a:p>
        <a:p>
          <a:pPr algn="ctr" eaLnBrk="1" fontAlgn="auto" latinLnBrk="0" hangingPunct="1"/>
          <a:r>
            <a:rPr lang="es-DO" sz="1400" b="1">
              <a:solidFill>
                <a:schemeClr val="lt1"/>
              </a:solidFill>
              <a:effectLst/>
              <a:latin typeface="+mn-lt"/>
              <a:ea typeface="+mn-ea"/>
              <a:cs typeface="+mn-cs"/>
            </a:rPr>
            <a:t>Reporte de Accidentes Laborales y Enfermedades Profesionales por Región</a:t>
          </a:r>
        </a:p>
        <a:p>
          <a:pPr algn="ctr" eaLnBrk="1" fontAlgn="auto" latinLnBrk="0" hangingPunct="1"/>
          <a:r>
            <a:rPr lang="es-DO" sz="1400" b="1">
              <a:solidFill>
                <a:schemeClr val="lt1"/>
              </a:solidFill>
              <a:effectLst/>
              <a:latin typeface="+mn-lt"/>
              <a:ea typeface="+mn-ea"/>
              <a:cs typeface="+mn-cs"/>
            </a:rPr>
            <a:t>Período: 2005 -  Noviembre 2015</a:t>
          </a:r>
          <a:endParaRPr lang="es-DO" sz="2000">
            <a:effectLst/>
          </a:endParaRPr>
        </a:p>
      </xdr:txBody>
    </xdr:sp>
    <xdr:clientData/>
  </xdr:twoCellAnchor>
  <xdr:twoCellAnchor editAs="oneCell">
    <xdr:from>
      <xdr:col>0</xdr:col>
      <xdr:colOff>717637</xdr:colOff>
      <xdr:row>0</xdr:row>
      <xdr:rowOff>221815</xdr:rowOff>
    </xdr:from>
    <xdr:to>
      <xdr:col>1</xdr:col>
      <xdr:colOff>403013</xdr:colOff>
      <xdr:row>0</xdr:row>
      <xdr:rowOff>678493</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17637" y="221815"/>
          <a:ext cx="729212" cy="4566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8.xml><?xml version="1.0" encoding="utf-8"?>
<xdr:wsDr xmlns:xdr="http://schemas.openxmlformats.org/drawingml/2006/spreadsheetDrawing" xmlns:a="http://schemas.openxmlformats.org/drawingml/2006/main">
  <xdr:twoCellAnchor>
    <xdr:from>
      <xdr:col>0</xdr:col>
      <xdr:colOff>40821</xdr:colOff>
      <xdr:row>37</xdr:row>
      <xdr:rowOff>40821</xdr:rowOff>
    </xdr:from>
    <xdr:to>
      <xdr:col>15</xdr:col>
      <xdr:colOff>598714</xdr:colOff>
      <xdr:row>64</xdr:row>
      <xdr:rowOff>122463</xdr:rowOff>
    </xdr:to>
    <xdr:graphicFrame macro="">
      <xdr:nvGraphicFramePr>
        <xdr:cNvPr id="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16</xdr:col>
      <xdr:colOff>0</xdr:colOff>
      <xdr:row>1</xdr:row>
      <xdr:rowOff>0</xdr:rowOff>
    </xdr:to>
    <xdr:sp macro="" textlink="">
      <xdr:nvSpPr>
        <xdr:cNvPr id="3" name="6 Rectángulo redondeado"/>
        <xdr:cNvSpPr/>
      </xdr:nvSpPr>
      <xdr:spPr>
        <a:xfrm>
          <a:off x="0" y="0"/>
          <a:ext cx="12940393" cy="1006929"/>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Reporte de Accidentes Laborales y Enfermedades Profesionales por Provincia</a:t>
          </a:r>
        </a:p>
        <a:p>
          <a:pPr algn="ctr" eaLnBrk="1" fontAlgn="auto" latinLnBrk="0" hangingPunct="1"/>
          <a:r>
            <a:rPr lang="es-DO" sz="1600" b="1">
              <a:solidFill>
                <a:schemeClr val="lt1"/>
              </a:solidFill>
              <a:effectLst/>
              <a:latin typeface="+mn-lt"/>
              <a:ea typeface="+mn-ea"/>
              <a:cs typeface="+mn-cs"/>
            </a:rPr>
            <a:t>Período: 2005 - Noviembre </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2015</a:t>
          </a:r>
          <a:endParaRPr lang="es-DO" sz="2400">
            <a:effectLst/>
          </a:endParaRPr>
        </a:p>
      </xdr:txBody>
    </xdr:sp>
    <xdr:clientData/>
  </xdr:twoCellAnchor>
  <xdr:twoCellAnchor editAs="oneCell">
    <xdr:from>
      <xdr:col>0</xdr:col>
      <xdr:colOff>503465</xdr:colOff>
      <xdr:row>0</xdr:row>
      <xdr:rowOff>190500</xdr:rowOff>
    </xdr:from>
    <xdr:to>
      <xdr:col>0</xdr:col>
      <xdr:colOff>1333500</xdr:colOff>
      <xdr:row>0</xdr:row>
      <xdr:rowOff>710320</xdr:rowOff>
    </xdr:to>
    <xdr:pic>
      <xdr:nvPicPr>
        <xdr:cNvPr id="4"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03465" y="190500"/>
          <a:ext cx="830035" cy="5198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9.xml><?xml version="1.0" encoding="utf-8"?>
<xdr:wsDr xmlns:xdr="http://schemas.openxmlformats.org/drawingml/2006/spreadsheetDrawing" xmlns:a="http://schemas.openxmlformats.org/drawingml/2006/main">
  <xdr:twoCellAnchor>
    <xdr:from>
      <xdr:col>0</xdr:col>
      <xdr:colOff>0</xdr:colOff>
      <xdr:row>15</xdr:row>
      <xdr:rowOff>52191</xdr:rowOff>
    </xdr:from>
    <xdr:to>
      <xdr:col>11</xdr:col>
      <xdr:colOff>1174315</xdr:colOff>
      <xdr:row>45</xdr:row>
      <xdr:rowOff>117432</xdr:rowOff>
    </xdr:to>
    <xdr:graphicFrame macro="">
      <xdr:nvGraphicFramePr>
        <xdr:cNvPr id="244850"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1200411</xdr:colOff>
      <xdr:row>1</xdr:row>
      <xdr:rowOff>26096</xdr:rowOff>
    </xdr:to>
    <xdr:sp macro="" textlink="">
      <xdr:nvSpPr>
        <xdr:cNvPr id="5" name="6 Rectángulo redondeado"/>
        <xdr:cNvSpPr/>
      </xdr:nvSpPr>
      <xdr:spPr>
        <a:xfrm>
          <a:off x="0" y="0"/>
          <a:ext cx="11782295" cy="90030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Riesgos Laborales</a:t>
          </a:r>
        </a:p>
        <a:p>
          <a:pPr algn="ctr" eaLnBrk="1" fontAlgn="auto" latinLnBrk="0" hangingPunct="1"/>
          <a:r>
            <a:rPr lang="es-DO" sz="1800" b="1">
              <a:solidFill>
                <a:schemeClr val="lt1"/>
              </a:solidFill>
              <a:effectLst/>
              <a:latin typeface="+mn-lt"/>
              <a:ea typeface="+mn-ea"/>
              <a:cs typeface="+mn-cs"/>
            </a:rPr>
            <a:t>Reporte de Accidentes Laborales y Enfermedades Profesionales por Zona de Procedencia</a:t>
          </a:r>
        </a:p>
        <a:p>
          <a:pPr algn="ctr" eaLnBrk="1" fontAlgn="auto" latinLnBrk="0" hangingPunct="1"/>
          <a:r>
            <a:rPr lang="es-DO" sz="1800" b="1">
              <a:solidFill>
                <a:schemeClr val="lt1"/>
              </a:solidFill>
              <a:effectLst/>
              <a:latin typeface="+mn-lt"/>
              <a:ea typeface="+mn-ea"/>
              <a:cs typeface="+mn-cs"/>
            </a:rPr>
            <a:t>Período:  2005 - Noviembre 2015</a:t>
          </a:r>
          <a:endParaRPr lang="es-DO" sz="2800">
            <a:effectLst/>
          </a:endParaRPr>
        </a:p>
      </xdr:txBody>
    </xdr:sp>
    <xdr:clientData/>
  </xdr:twoCellAnchor>
  <xdr:twoCellAnchor editAs="oneCell">
    <xdr:from>
      <xdr:col>0</xdr:col>
      <xdr:colOff>548013</xdr:colOff>
      <xdr:row>0</xdr:row>
      <xdr:rowOff>130479</xdr:rowOff>
    </xdr:from>
    <xdr:to>
      <xdr:col>1</xdr:col>
      <xdr:colOff>221815</xdr:colOff>
      <xdr:row>0</xdr:row>
      <xdr:rowOff>721029</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48013" y="130479"/>
          <a:ext cx="769829"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c:userShapes xmlns:c="http://schemas.openxmlformats.org/drawingml/2006/chart">
  <cdr:relSizeAnchor xmlns:cdr="http://schemas.openxmlformats.org/drawingml/2006/chartDrawing">
    <cdr:from>
      <cdr:x>0.0283</cdr:x>
      <cdr:y>0.91383</cdr:y>
    </cdr:from>
    <cdr:to>
      <cdr:x>0.30108</cdr:x>
      <cdr:y>0.96857</cdr:y>
    </cdr:to>
    <cdr:sp macro="" textlink="">
      <cdr:nvSpPr>
        <cdr:cNvPr id="2" name="2 CuadroTexto"/>
        <cdr:cNvSpPr txBox="1"/>
      </cdr:nvSpPr>
      <cdr:spPr>
        <a:xfrm xmlns:a="http://schemas.openxmlformats.org/drawingml/2006/main">
          <a:off x="483755" y="8588664"/>
          <a:ext cx="4662652" cy="514537"/>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800" b="1"/>
            <a:t>Fuente</a:t>
          </a:r>
          <a:r>
            <a:rPr lang="es-DO" sz="1800"/>
            <a:t>: Portal de la SISALRIL</a:t>
          </a:r>
        </a:p>
      </cdr:txBody>
    </cdr:sp>
  </cdr:relSizeAnchor>
</c:userShapes>
</file>

<file path=xl/drawings/drawing160.xml><?xml version="1.0" encoding="utf-8"?>
<xdr:wsDr xmlns:xdr="http://schemas.openxmlformats.org/drawingml/2006/spreadsheetDrawing" xmlns:a="http://schemas.openxmlformats.org/drawingml/2006/main">
  <xdr:twoCellAnchor editAs="oneCell">
    <xdr:from>
      <xdr:col>0</xdr:col>
      <xdr:colOff>533400</xdr:colOff>
      <xdr:row>0</xdr:row>
      <xdr:rowOff>114300</xdr:rowOff>
    </xdr:from>
    <xdr:to>
      <xdr:col>1</xdr:col>
      <xdr:colOff>371475</xdr:colOff>
      <xdr:row>0</xdr:row>
      <xdr:rowOff>733425</xdr:rowOff>
    </xdr:to>
    <xdr:pic>
      <xdr:nvPicPr>
        <xdr:cNvPr id="247921"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33400" y="114300"/>
          <a:ext cx="885825"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13048</xdr:colOff>
      <xdr:row>15</xdr:row>
      <xdr:rowOff>130479</xdr:rowOff>
    </xdr:from>
    <xdr:to>
      <xdr:col>11</xdr:col>
      <xdr:colOff>1161267</xdr:colOff>
      <xdr:row>45</xdr:row>
      <xdr:rowOff>52190</xdr:rowOff>
    </xdr:to>
    <xdr:graphicFrame macro="">
      <xdr:nvGraphicFramePr>
        <xdr:cNvPr id="24792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12</xdr:col>
      <xdr:colOff>0</xdr:colOff>
      <xdr:row>1</xdr:row>
      <xdr:rowOff>39144</xdr:rowOff>
    </xdr:to>
    <xdr:sp macro="" textlink="">
      <xdr:nvSpPr>
        <xdr:cNvPr id="5" name="6 Rectángulo redondeado"/>
        <xdr:cNvSpPr/>
      </xdr:nvSpPr>
      <xdr:spPr>
        <a:xfrm>
          <a:off x="0" y="0"/>
          <a:ext cx="11899726" cy="93945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400" b="1">
              <a:solidFill>
                <a:schemeClr val="lt1"/>
              </a:solidFill>
              <a:effectLst/>
              <a:latin typeface="+mn-lt"/>
              <a:ea typeface="+mn-ea"/>
              <a:cs typeface="+mn-cs"/>
            </a:rPr>
            <a:t>Seguro de Riesgos Laborales</a:t>
          </a:r>
        </a:p>
        <a:p>
          <a:pPr algn="ctr" eaLnBrk="1" fontAlgn="auto" latinLnBrk="0" hangingPunct="1"/>
          <a:r>
            <a:rPr lang="es-DO" sz="1400" b="1">
              <a:solidFill>
                <a:schemeClr val="lt1"/>
              </a:solidFill>
              <a:effectLst/>
              <a:latin typeface="+mn-lt"/>
              <a:ea typeface="+mn-ea"/>
              <a:cs typeface="+mn-cs"/>
            </a:rPr>
            <a:t>Reporte de Accidentes Laborales y Enfermedades Profesionales por Empresas</a:t>
          </a:r>
        </a:p>
        <a:p>
          <a:pPr algn="ctr" eaLnBrk="1" fontAlgn="auto" latinLnBrk="0" hangingPunct="1"/>
          <a:r>
            <a:rPr lang="es-DO" sz="1400" b="1">
              <a:solidFill>
                <a:schemeClr val="lt1"/>
              </a:solidFill>
              <a:effectLst/>
              <a:latin typeface="+mn-lt"/>
              <a:ea typeface="+mn-ea"/>
              <a:cs typeface="+mn-cs"/>
            </a:rPr>
            <a:t>Período: Período: 2005 - Noviembre 2015</a:t>
          </a:r>
          <a:endParaRPr lang="es-DO" sz="2000">
            <a:effectLst/>
          </a:endParaRPr>
        </a:p>
      </xdr:txBody>
    </xdr:sp>
    <xdr:clientData/>
  </xdr:twoCellAnchor>
  <xdr:twoCellAnchor editAs="oneCell">
    <xdr:from>
      <xdr:col>0</xdr:col>
      <xdr:colOff>482774</xdr:colOff>
      <xdr:row>0</xdr:row>
      <xdr:rowOff>130480</xdr:rowOff>
    </xdr:from>
    <xdr:to>
      <xdr:col>1</xdr:col>
      <xdr:colOff>243263</xdr:colOff>
      <xdr:row>0</xdr:row>
      <xdr:rowOff>678494</xdr:rowOff>
    </xdr:to>
    <xdr:pic>
      <xdr:nvPicPr>
        <xdr:cNvPr id="6" name="9 Imagen" descr="logo_2x4.bmp">
          <a:hlinkClick xmlns:r="http://schemas.openxmlformats.org/officeDocument/2006/relationships" r:id="rId4"/>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82774" y="130480"/>
          <a:ext cx="804325" cy="5480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1.xml><?xml version="1.0" encoding="utf-8"?>
<xdr:wsDr xmlns:xdr="http://schemas.openxmlformats.org/drawingml/2006/spreadsheetDrawing" xmlns:a="http://schemas.openxmlformats.org/drawingml/2006/main">
  <xdr:twoCellAnchor>
    <xdr:from>
      <xdr:col>0</xdr:col>
      <xdr:colOff>78288</xdr:colOff>
      <xdr:row>15</xdr:row>
      <xdr:rowOff>117431</xdr:rowOff>
    </xdr:from>
    <xdr:to>
      <xdr:col>9</xdr:col>
      <xdr:colOff>1190625</xdr:colOff>
      <xdr:row>43</xdr:row>
      <xdr:rowOff>114300</xdr:rowOff>
    </xdr:to>
    <xdr:graphicFrame macro="">
      <xdr:nvGraphicFramePr>
        <xdr:cNvPr id="249970"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10</xdr:col>
      <xdr:colOff>13048</xdr:colOff>
      <xdr:row>1</xdr:row>
      <xdr:rowOff>0</xdr:rowOff>
    </xdr:to>
    <xdr:sp macro="" textlink="">
      <xdr:nvSpPr>
        <xdr:cNvPr id="5" name="6 Rectángulo redondeado"/>
        <xdr:cNvSpPr/>
      </xdr:nvSpPr>
      <xdr:spPr>
        <a:xfrm>
          <a:off x="0" y="0"/>
          <a:ext cx="10960274" cy="87421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400" b="1">
              <a:solidFill>
                <a:schemeClr val="lt1"/>
              </a:solidFill>
              <a:effectLst/>
              <a:latin typeface="+mn-lt"/>
              <a:ea typeface="+mn-ea"/>
              <a:cs typeface="+mn-cs"/>
            </a:rPr>
            <a:t>Seguro de Riesgos Laborales</a:t>
          </a:r>
        </a:p>
        <a:p>
          <a:pPr algn="ctr" eaLnBrk="1" fontAlgn="auto" latinLnBrk="0" hangingPunct="1"/>
          <a:r>
            <a:rPr lang="es-DO" sz="1400" b="1">
              <a:solidFill>
                <a:schemeClr val="lt1"/>
              </a:solidFill>
              <a:effectLst/>
              <a:latin typeface="+mn-lt"/>
              <a:ea typeface="+mn-ea"/>
              <a:cs typeface="+mn-cs"/>
            </a:rPr>
            <a:t>Reporte de Accidentes Laborales y Enfermedades Profesionales por Sexo</a:t>
          </a:r>
        </a:p>
        <a:p>
          <a:pPr algn="ctr" eaLnBrk="1" fontAlgn="auto" latinLnBrk="0" hangingPunct="1"/>
          <a:r>
            <a:rPr lang="es-DO" sz="1400" b="1">
              <a:solidFill>
                <a:schemeClr val="lt1"/>
              </a:solidFill>
              <a:effectLst/>
              <a:latin typeface="+mn-lt"/>
              <a:ea typeface="+mn-ea"/>
              <a:cs typeface="+mn-cs"/>
            </a:rPr>
            <a:t>Período: 2005 -</a:t>
          </a:r>
          <a:r>
            <a:rPr lang="es-DO" sz="1400" b="1" baseline="0">
              <a:solidFill>
                <a:schemeClr val="lt1"/>
              </a:solidFill>
              <a:effectLst/>
              <a:latin typeface="+mn-lt"/>
              <a:ea typeface="+mn-ea"/>
              <a:cs typeface="+mn-cs"/>
            </a:rPr>
            <a:t> Noviembre  </a:t>
          </a:r>
          <a:r>
            <a:rPr lang="es-DO" sz="1400" b="1">
              <a:solidFill>
                <a:schemeClr val="lt1"/>
              </a:solidFill>
              <a:effectLst/>
              <a:latin typeface="+mn-lt"/>
              <a:ea typeface="+mn-ea"/>
              <a:cs typeface="+mn-cs"/>
            </a:rPr>
            <a:t>2015</a:t>
          </a:r>
          <a:endParaRPr lang="es-DO" sz="2000">
            <a:effectLst/>
          </a:endParaRPr>
        </a:p>
      </xdr:txBody>
    </xdr:sp>
    <xdr:clientData/>
  </xdr:twoCellAnchor>
  <xdr:twoCellAnchor editAs="oneCell">
    <xdr:from>
      <xdr:col>0</xdr:col>
      <xdr:colOff>456678</xdr:colOff>
      <xdr:row>0</xdr:row>
      <xdr:rowOff>156575</xdr:rowOff>
    </xdr:from>
    <xdr:to>
      <xdr:col>1</xdr:col>
      <xdr:colOff>144580</xdr:colOff>
      <xdr:row>0</xdr:row>
      <xdr:rowOff>639349</xdr:rowOff>
    </xdr:to>
    <xdr:pic>
      <xdr:nvPicPr>
        <xdr:cNvPr id="6" name="9 Imagen" descr="logo_2x4.bmp"/>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56678" y="156575"/>
          <a:ext cx="770881" cy="4827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456678</xdr:colOff>
      <xdr:row>0</xdr:row>
      <xdr:rowOff>156575</xdr:rowOff>
    </xdr:from>
    <xdr:to>
      <xdr:col>1</xdr:col>
      <xdr:colOff>169623</xdr:colOff>
      <xdr:row>0</xdr:row>
      <xdr:rowOff>747125</xdr:rowOff>
    </xdr:to>
    <xdr:pic>
      <xdr:nvPicPr>
        <xdr:cNvPr id="7" name="9 Imagen" descr="logo_2x4.bmp">
          <a:hlinkClick xmlns:r="http://schemas.openxmlformats.org/officeDocument/2006/relationships" r:id="rId3"/>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56678" y="156575"/>
          <a:ext cx="795924"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2.xml><?xml version="1.0" encoding="utf-8"?>
<xdr:wsDr xmlns:xdr="http://schemas.openxmlformats.org/drawingml/2006/spreadsheetDrawing" xmlns:a="http://schemas.openxmlformats.org/drawingml/2006/main">
  <xdr:twoCellAnchor>
    <xdr:from>
      <xdr:col>0</xdr:col>
      <xdr:colOff>0</xdr:colOff>
      <xdr:row>16</xdr:row>
      <xdr:rowOff>28966</xdr:rowOff>
    </xdr:from>
    <xdr:to>
      <xdr:col>13</xdr:col>
      <xdr:colOff>991643</xdr:colOff>
      <xdr:row>59</xdr:row>
      <xdr:rowOff>182671</xdr:rowOff>
    </xdr:to>
    <xdr:graphicFrame macro="">
      <xdr:nvGraphicFramePr>
        <xdr:cNvPr id="252018"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1</xdr:row>
      <xdr:rowOff>26096</xdr:rowOff>
    </xdr:to>
    <xdr:sp macro="" textlink="">
      <xdr:nvSpPr>
        <xdr:cNvPr id="5" name="6 Rectángulo redondeado"/>
        <xdr:cNvSpPr/>
      </xdr:nvSpPr>
      <xdr:spPr>
        <a:xfrm>
          <a:off x="0" y="0"/>
          <a:ext cx="11782294" cy="795925"/>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400" b="1">
              <a:solidFill>
                <a:schemeClr val="lt1"/>
              </a:solidFill>
              <a:effectLst/>
              <a:latin typeface="+mn-lt"/>
              <a:ea typeface="+mn-ea"/>
              <a:cs typeface="+mn-cs"/>
            </a:rPr>
            <a:t>Seguro de Riesgos Laborales</a:t>
          </a:r>
        </a:p>
        <a:p>
          <a:pPr algn="ctr" eaLnBrk="1" fontAlgn="auto" latinLnBrk="0" hangingPunct="1"/>
          <a:r>
            <a:rPr lang="es-DO" sz="1400" b="1">
              <a:solidFill>
                <a:schemeClr val="lt1"/>
              </a:solidFill>
              <a:effectLst/>
              <a:latin typeface="+mn-lt"/>
              <a:ea typeface="+mn-ea"/>
              <a:cs typeface="+mn-cs"/>
            </a:rPr>
            <a:t>Reporte de Accidentes Laborales y Enfermedades Profesionales por Rango de Edad</a:t>
          </a:r>
        </a:p>
        <a:p>
          <a:pPr algn="ctr" eaLnBrk="1" fontAlgn="auto" latinLnBrk="0" hangingPunct="1"/>
          <a:r>
            <a:rPr lang="es-DO" sz="1400" b="1">
              <a:solidFill>
                <a:schemeClr val="lt1"/>
              </a:solidFill>
              <a:effectLst/>
              <a:latin typeface="+mn-lt"/>
              <a:ea typeface="+mn-ea"/>
              <a:cs typeface="+mn-cs"/>
            </a:rPr>
            <a:t>Período: 2005 - Noviembre</a:t>
          </a:r>
          <a:r>
            <a:rPr lang="es-DO" sz="1400" b="1" baseline="0">
              <a:solidFill>
                <a:schemeClr val="lt1"/>
              </a:solidFill>
              <a:effectLst/>
              <a:latin typeface="+mn-lt"/>
              <a:ea typeface="+mn-ea"/>
              <a:cs typeface="+mn-cs"/>
            </a:rPr>
            <a:t> </a:t>
          </a:r>
          <a:r>
            <a:rPr lang="es-DO" sz="1400" b="1">
              <a:solidFill>
                <a:schemeClr val="lt1"/>
              </a:solidFill>
              <a:effectLst/>
              <a:latin typeface="+mn-lt"/>
              <a:ea typeface="+mn-ea"/>
              <a:cs typeface="+mn-cs"/>
            </a:rPr>
            <a:t>2015</a:t>
          </a:r>
          <a:endParaRPr lang="es-DO" sz="2000">
            <a:effectLst/>
          </a:endParaRPr>
        </a:p>
      </xdr:txBody>
    </xdr:sp>
    <xdr:clientData/>
  </xdr:twoCellAnchor>
  <xdr:twoCellAnchor editAs="oneCell">
    <xdr:from>
      <xdr:col>0</xdr:col>
      <xdr:colOff>495823</xdr:colOff>
      <xdr:row>0</xdr:row>
      <xdr:rowOff>156575</xdr:rowOff>
    </xdr:from>
    <xdr:to>
      <xdr:col>1</xdr:col>
      <xdr:colOff>98907</xdr:colOff>
      <xdr:row>0</xdr:row>
      <xdr:rowOff>600205</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95823" y="156575"/>
          <a:ext cx="646920" cy="4436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3.xml><?xml version="1.0" encoding="utf-8"?>
<xdr:wsDr xmlns:xdr="http://schemas.openxmlformats.org/drawingml/2006/spreadsheetDrawing" xmlns:a="http://schemas.openxmlformats.org/drawingml/2006/main">
  <xdr:twoCellAnchor>
    <xdr:from>
      <xdr:col>0</xdr:col>
      <xdr:colOff>0</xdr:colOff>
      <xdr:row>15</xdr:row>
      <xdr:rowOff>108858</xdr:rowOff>
    </xdr:from>
    <xdr:to>
      <xdr:col>12</xdr:col>
      <xdr:colOff>789215</xdr:colOff>
      <xdr:row>49</xdr:row>
      <xdr:rowOff>186024</xdr:rowOff>
    </xdr:to>
    <xdr:graphicFrame macro="">
      <xdr:nvGraphicFramePr>
        <xdr:cNvPr id="254066"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0</xdr:colOff>
      <xdr:row>0</xdr:row>
      <xdr:rowOff>795925</xdr:rowOff>
    </xdr:to>
    <xdr:sp macro="" textlink="">
      <xdr:nvSpPr>
        <xdr:cNvPr id="4" name="6 Rectángulo redondeado"/>
        <xdr:cNvSpPr/>
      </xdr:nvSpPr>
      <xdr:spPr>
        <a:xfrm>
          <a:off x="0" y="0"/>
          <a:ext cx="11978014" cy="795925"/>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400" b="1">
              <a:solidFill>
                <a:schemeClr val="lt1"/>
              </a:solidFill>
              <a:effectLst/>
              <a:latin typeface="+mn-lt"/>
              <a:ea typeface="+mn-ea"/>
              <a:cs typeface="+mn-cs"/>
            </a:rPr>
            <a:t>Seguro de Riesgos Laborales</a:t>
          </a:r>
        </a:p>
        <a:p>
          <a:pPr algn="ctr" eaLnBrk="1" fontAlgn="auto" latinLnBrk="0" hangingPunct="1"/>
          <a:r>
            <a:rPr lang="es-DO" sz="1400" b="1">
              <a:solidFill>
                <a:schemeClr val="lt1"/>
              </a:solidFill>
              <a:effectLst/>
              <a:latin typeface="+mn-lt"/>
              <a:ea typeface="+mn-ea"/>
              <a:cs typeface="+mn-cs"/>
            </a:rPr>
            <a:t>Reporte de Accidentes Laborales y Enfermedades Profesionales por Nivel de Escolaridad</a:t>
          </a:r>
        </a:p>
        <a:p>
          <a:pPr algn="ctr" eaLnBrk="1" fontAlgn="auto" latinLnBrk="0" hangingPunct="1"/>
          <a:r>
            <a:rPr lang="es-DO" sz="1400" b="1">
              <a:solidFill>
                <a:schemeClr val="lt1"/>
              </a:solidFill>
              <a:effectLst/>
              <a:latin typeface="+mn-lt"/>
              <a:ea typeface="+mn-ea"/>
              <a:cs typeface="+mn-cs"/>
            </a:rPr>
            <a:t>Período: 2005 -  Noviembre 2015</a:t>
          </a:r>
          <a:endParaRPr lang="es-DO" sz="2000">
            <a:effectLst/>
          </a:endParaRPr>
        </a:p>
      </xdr:txBody>
    </xdr:sp>
    <xdr:clientData/>
  </xdr:twoCellAnchor>
  <xdr:twoCellAnchor editAs="oneCell">
    <xdr:from>
      <xdr:col>0</xdr:col>
      <xdr:colOff>352294</xdr:colOff>
      <xdr:row>0</xdr:row>
      <xdr:rowOff>117431</xdr:rowOff>
    </xdr:from>
    <xdr:to>
      <xdr:col>1</xdr:col>
      <xdr:colOff>70458</xdr:colOff>
      <xdr:row>0</xdr:row>
      <xdr:rowOff>626738</xdr:rowOff>
    </xdr:to>
    <xdr:pic>
      <xdr:nvPicPr>
        <xdr:cNvPr id="5" name="1 Imagen" descr="logo_2x4.bmp"/>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52294" y="117431"/>
          <a:ext cx="748952" cy="5093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352294</xdr:colOff>
      <xdr:row>0</xdr:row>
      <xdr:rowOff>117431</xdr:rowOff>
    </xdr:from>
    <xdr:to>
      <xdr:col>1</xdr:col>
      <xdr:colOff>114075</xdr:colOff>
      <xdr:row>0</xdr:row>
      <xdr:rowOff>707981</xdr:rowOff>
    </xdr:to>
    <xdr:pic>
      <xdr:nvPicPr>
        <xdr:cNvPr id="6" name="9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52294" y="117431"/>
          <a:ext cx="795924"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4.xml><?xml version="1.0" encoding="utf-8"?>
<xdr:wsDr xmlns:xdr="http://schemas.openxmlformats.org/drawingml/2006/spreadsheetDrawing" xmlns:a="http://schemas.openxmlformats.org/drawingml/2006/main">
  <xdr:twoCellAnchor>
    <xdr:from>
      <xdr:col>0</xdr:col>
      <xdr:colOff>51149</xdr:colOff>
      <xdr:row>16</xdr:row>
      <xdr:rowOff>39144</xdr:rowOff>
    </xdr:from>
    <xdr:to>
      <xdr:col>11</xdr:col>
      <xdr:colOff>1135172</xdr:colOff>
      <xdr:row>45</xdr:row>
      <xdr:rowOff>52583</xdr:rowOff>
    </xdr:to>
    <xdr:graphicFrame macro="">
      <xdr:nvGraphicFramePr>
        <xdr:cNvPr id="248946"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1213459</xdr:colOff>
      <xdr:row>0</xdr:row>
      <xdr:rowOff>808973</xdr:rowOff>
    </xdr:to>
    <xdr:sp macro="" textlink="">
      <xdr:nvSpPr>
        <xdr:cNvPr id="5" name="6 Rectángulo redondeado"/>
        <xdr:cNvSpPr/>
      </xdr:nvSpPr>
      <xdr:spPr>
        <a:xfrm>
          <a:off x="0" y="0"/>
          <a:ext cx="12656507" cy="808973"/>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400" b="1">
              <a:solidFill>
                <a:schemeClr val="lt1"/>
              </a:solidFill>
              <a:effectLst/>
              <a:latin typeface="+mn-lt"/>
              <a:ea typeface="+mn-ea"/>
              <a:cs typeface="+mn-cs"/>
            </a:rPr>
            <a:t>Seguro de Riesgos Laborales</a:t>
          </a:r>
        </a:p>
        <a:p>
          <a:pPr algn="ctr" eaLnBrk="1" fontAlgn="auto" latinLnBrk="0" hangingPunct="1"/>
          <a:r>
            <a:rPr lang="es-DO" sz="1400" b="1">
              <a:solidFill>
                <a:schemeClr val="lt1"/>
              </a:solidFill>
              <a:effectLst/>
              <a:latin typeface="+mn-lt"/>
              <a:ea typeface="+mn-ea"/>
              <a:cs typeface="+mn-cs"/>
            </a:rPr>
            <a:t>Comparación Reporte de Accidentes Laborales y Enfermedades Profesionales y Afiliación al SRL por Sector</a:t>
          </a:r>
        </a:p>
        <a:p>
          <a:pPr algn="ctr" eaLnBrk="1" fontAlgn="auto" latinLnBrk="0" hangingPunct="1"/>
          <a:r>
            <a:rPr lang="es-DO" sz="1400" b="1">
              <a:solidFill>
                <a:schemeClr val="lt1"/>
              </a:solidFill>
              <a:effectLst/>
              <a:latin typeface="+mn-lt"/>
              <a:ea typeface="+mn-ea"/>
              <a:cs typeface="+mn-cs"/>
            </a:rPr>
            <a:t>Período: 2008 -  Noviembre</a:t>
          </a:r>
          <a:r>
            <a:rPr lang="es-DO" sz="1400" b="1" baseline="0">
              <a:solidFill>
                <a:schemeClr val="lt1"/>
              </a:solidFill>
              <a:effectLst/>
              <a:latin typeface="+mn-lt"/>
              <a:ea typeface="+mn-ea"/>
              <a:cs typeface="+mn-cs"/>
            </a:rPr>
            <a:t> </a:t>
          </a:r>
          <a:r>
            <a:rPr lang="es-DO" sz="1400" b="1">
              <a:solidFill>
                <a:schemeClr val="lt1"/>
              </a:solidFill>
              <a:effectLst/>
              <a:latin typeface="+mn-lt"/>
              <a:ea typeface="+mn-ea"/>
              <a:cs typeface="+mn-cs"/>
            </a:rPr>
            <a:t>2015</a:t>
          </a:r>
          <a:endParaRPr lang="es-DO" sz="2000">
            <a:effectLst/>
          </a:endParaRPr>
        </a:p>
      </xdr:txBody>
    </xdr:sp>
    <xdr:clientData/>
  </xdr:twoCellAnchor>
  <xdr:twoCellAnchor editAs="oneCell">
    <xdr:from>
      <xdr:col>0</xdr:col>
      <xdr:colOff>274007</xdr:colOff>
      <xdr:row>0</xdr:row>
      <xdr:rowOff>143527</xdr:rowOff>
    </xdr:from>
    <xdr:to>
      <xdr:col>0</xdr:col>
      <xdr:colOff>1013844</xdr:colOff>
      <xdr:row>0</xdr:row>
      <xdr:rowOff>606859</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74007" y="143527"/>
          <a:ext cx="739837" cy="4633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5.xml><?xml version="1.0" encoding="utf-8"?>
<xdr:wsDr xmlns:xdr="http://schemas.openxmlformats.org/drawingml/2006/spreadsheetDrawing" xmlns:a="http://schemas.openxmlformats.org/drawingml/2006/main">
  <xdr:twoCellAnchor>
    <xdr:from>
      <xdr:col>0</xdr:col>
      <xdr:colOff>13048</xdr:colOff>
      <xdr:row>12</xdr:row>
      <xdr:rowOff>90682</xdr:rowOff>
    </xdr:from>
    <xdr:to>
      <xdr:col>11</xdr:col>
      <xdr:colOff>900308</xdr:colOff>
      <xdr:row>42</xdr:row>
      <xdr:rowOff>78288</xdr:rowOff>
    </xdr:to>
    <xdr:graphicFrame macro="">
      <xdr:nvGraphicFramePr>
        <xdr:cNvPr id="250994"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939452</xdr:colOff>
      <xdr:row>1</xdr:row>
      <xdr:rowOff>13048</xdr:rowOff>
    </xdr:to>
    <xdr:sp macro="" textlink="">
      <xdr:nvSpPr>
        <xdr:cNvPr id="4" name="6 Rectángulo redondeado"/>
        <xdr:cNvSpPr/>
      </xdr:nvSpPr>
      <xdr:spPr>
        <a:xfrm>
          <a:off x="0" y="0"/>
          <a:ext cx="11664863" cy="782877"/>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400" b="1">
              <a:solidFill>
                <a:schemeClr val="lt1"/>
              </a:solidFill>
              <a:effectLst/>
              <a:latin typeface="+mn-lt"/>
              <a:ea typeface="+mn-ea"/>
              <a:cs typeface="+mn-cs"/>
            </a:rPr>
            <a:t>Seguro de Riesgos Laborales</a:t>
          </a:r>
        </a:p>
        <a:p>
          <a:pPr algn="ctr" eaLnBrk="1" fontAlgn="auto" latinLnBrk="0" hangingPunct="1"/>
          <a:r>
            <a:rPr lang="es-DO" sz="1400" b="1">
              <a:solidFill>
                <a:schemeClr val="lt1"/>
              </a:solidFill>
              <a:effectLst/>
              <a:latin typeface="+mn-lt"/>
              <a:ea typeface="+mn-ea"/>
              <a:cs typeface="+mn-cs"/>
            </a:rPr>
            <a:t>Comparación Reporte de Accidentes Laborales y Enfermedades Profesionales y Afilación al SRL por Sexo</a:t>
          </a:r>
        </a:p>
        <a:p>
          <a:pPr algn="ctr" eaLnBrk="1" fontAlgn="auto" latinLnBrk="0" hangingPunct="1"/>
          <a:r>
            <a:rPr lang="es-DO" sz="1400" b="1">
              <a:solidFill>
                <a:schemeClr val="lt1"/>
              </a:solidFill>
              <a:effectLst/>
              <a:latin typeface="+mn-lt"/>
              <a:ea typeface="+mn-ea"/>
              <a:cs typeface="+mn-cs"/>
            </a:rPr>
            <a:t>Período: 2008 -</a:t>
          </a:r>
          <a:r>
            <a:rPr lang="es-DO" sz="1400" b="1" baseline="0">
              <a:solidFill>
                <a:schemeClr val="lt1"/>
              </a:solidFill>
              <a:effectLst/>
              <a:latin typeface="+mn-lt"/>
              <a:ea typeface="+mn-ea"/>
              <a:cs typeface="+mn-cs"/>
            </a:rPr>
            <a:t> Noviembre </a:t>
          </a:r>
          <a:r>
            <a:rPr lang="es-DO" sz="1400" b="1">
              <a:solidFill>
                <a:schemeClr val="lt1"/>
              </a:solidFill>
              <a:effectLst/>
              <a:latin typeface="+mn-lt"/>
              <a:ea typeface="+mn-ea"/>
              <a:cs typeface="+mn-cs"/>
            </a:rPr>
            <a:t>2015</a:t>
          </a:r>
          <a:endParaRPr lang="es-DO" sz="2000">
            <a:effectLst/>
          </a:endParaRPr>
        </a:p>
      </xdr:txBody>
    </xdr:sp>
    <xdr:clientData/>
  </xdr:twoCellAnchor>
  <xdr:twoCellAnchor editAs="oneCell">
    <xdr:from>
      <xdr:col>0</xdr:col>
      <xdr:colOff>443629</xdr:colOff>
      <xdr:row>0</xdr:row>
      <xdr:rowOff>169623</xdr:rowOff>
    </xdr:from>
    <xdr:to>
      <xdr:col>1</xdr:col>
      <xdr:colOff>89863</xdr:colOff>
      <xdr:row>0</xdr:row>
      <xdr:rowOff>626302</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43629" y="169623"/>
          <a:ext cx="729213" cy="456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6.xml><?xml version="1.0" encoding="utf-8"?>
<xdr:wsDr xmlns:xdr="http://schemas.openxmlformats.org/drawingml/2006/spreadsheetDrawing" xmlns:a="http://schemas.openxmlformats.org/drawingml/2006/main">
  <xdr:twoCellAnchor>
    <xdr:from>
      <xdr:col>0</xdr:col>
      <xdr:colOff>0</xdr:colOff>
      <xdr:row>13</xdr:row>
      <xdr:rowOff>81644</xdr:rowOff>
    </xdr:from>
    <xdr:to>
      <xdr:col>20</xdr:col>
      <xdr:colOff>707572</xdr:colOff>
      <xdr:row>59</xdr:row>
      <xdr:rowOff>174173</xdr:rowOff>
    </xdr:to>
    <xdr:graphicFrame macro="">
      <xdr:nvGraphicFramePr>
        <xdr:cNvPr id="25304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20</xdr:col>
      <xdr:colOff>802822</xdr:colOff>
      <xdr:row>1</xdr:row>
      <xdr:rowOff>13607</xdr:rowOff>
    </xdr:to>
    <xdr:sp macro="" textlink="">
      <xdr:nvSpPr>
        <xdr:cNvPr id="5" name="6 Rectángulo redondeado"/>
        <xdr:cNvSpPr/>
      </xdr:nvSpPr>
      <xdr:spPr>
        <a:xfrm>
          <a:off x="0" y="0"/>
          <a:ext cx="16178893" cy="85725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400" b="1">
              <a:solidFill>
                <a:schemeClr val="lt1"/>
              </a:solidFill>
              <a:effectLst/>
              <a:latin typeface="+mn-lt"/>
              <a:ea typeface="+mn-ea"/>
              <a:cs typeface="+mn-cs"/>
            </a:rPr>
            <a:t>Seguro de Riesgos Laborales</a:t>
          </a:r>
        </a:p>
        <a:p>
          <a:pPr algn="ctr" eaLnBrk="1" fontAlgn="auto" latinLnBrk="0" hangingPunct="1"/>
          <a:r>
            <a:rPr lang="es-DO" sz="1400" b="1">
              <a:solidFill>
                <a:schemeClr val="lt1"/>
              </a:solidFill>
              <a:effectLst/>
              <a:latin typeface="+mn-lt"/>
              <a:ea typeface="+mn-ea"/>
              <a:cs typeface="+mn-cs"/>
            </a:rPr>
            <a:t>Comparación Reporte de Accidentes Laborales y Enfermedades Profesionales y Afilación al SRL por Edad</a:t>
          </a:r>
        </a:p>
        <a:p>
          <a:pPr algn="ctr" eaLnBrk="1" fontAlgn="auto" latinLnBrk="0" hangingPunct="1"/>
          <a:r>
            <a:rPr lang="es-DO" sz="1400" b="1">
              <a:solidFill>
                <a:schemeClr val="lt1"/>
              </a:solidFill>
              <a:effectLst/>
              <a:latin typeface="+mn-lt"/>
              <a:ea typeface="+mn-ea"/>
              <a:cs typeface="+mn-cs"/>
            </a:rPr>
            <a:t>Período: 2008 - Noviembre 2015</a:t>
          </a:r>
          <a:endParaRPr lang="es-DO" sz="2000">
            <a:effectLst/>
          </a:endParaRPr>
        </a:p>
      </xdr:txBody>
    </xdr:sp>
    <xdr:clientData/>
  </xdr:twoCellAnchor>
  <xdr:twoCellAnchor editAs="oneCell">
    <xdr:from>
      <xdr:col>0</xdr:col>
      <xdr:colOff>530679</xdr:colOff>
      <xdr:row>0</xdr:row>
      <xdr:rowOff>136071</xdr:rowOff>
    </xdr:from>
    <xdr:to>
      <xdr:col>1</xdr:col>
      <xdr:colOff>340179</xdr:colOff>
      <xdr:row>0</xdr:row>
      <xdr:rowOff>726621</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30679" y="136071"/>
          <a:ext cx="870857"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7.xml><?xml version="1.0" encoding="utf-8"?>
<c:userShapes xmlns:c="http://schemas.openxmlformats.org/drawingml/2006/chart">
  <cdr:relSizeAnchor xmlns:cdr="http://schemas.openxmlformats.org/drawingml/2006/chartDrawing">
    <cdr:from>
      <cdr:x>0.04203</cdr:x>
      <cdr:y>0.93906</cdr:y>
    </cdr:from>
    <cdr:to>
      <cdr:x>0.25847</cdr:x>
      <cdr:y>0.98068</cdr:y>
    </cdr:to>
    <cdr:sp macro="" textlink="">
      <cdr:nvSpPr>
        <cdr:cNvPr id="2" name="CuadroTexto 1"/>
        <cdr:cNvSpPr txBox="1"/>
      </cdr:nvSpPr>
      <cdr:spPr>
        <a:xfrm xmlns:a="http://schemas.openxmlformats.org/drawingml/2006/main">
          <a:off x="758372" y="8596993"/>
          <a:ext cx="3905250" cy="38100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200"/>
            <a:t>Fuente:</a:t>
          </a:r>
          <a:r>
            <a:rPr lang="es-ES" sz="1200" baseline="0"/>
            <a:t> Web ARL</a:t>
          </a:r>
          <a:endParaRPr lang="es-ES" sz="1200"/>
        </a:p>
      </cdr:txBody>
    </cdr:sp>
  </cdr:relSizeAnchor>
</c:userShapes>
</file>

<file path=xl/drawings/drawing168.xml><?xml version="1.0" encoding="utf-8"?>
<xdr:wsDr xmlns:xdr="http://schemas.openxmlformats.org/drawingml/2006/spreadsheetDrawing" xmlns:a="http://schemas.openxmlformats.org/drawingml/2006/main">
  <xdr:twoCellAnchor>
    <xdr:from>
      <xdr:col>0</xdr:col>
      <xdr:colOff>0</xdr:colOff>
      <xdr:row>11</xdr:row>
      <xdr:rowOff>113260</xdr:rowOff>
    </xdr:from>
    <xdr:to>
      <xdr:col>9</xdr:col>
      <xdr:colOff>1088572</xdr:colOff>
      <xdr:row>42</xdr:row>
      <xdr:rowOff>68035</xdr:rowOff>
    </xdr:to>
    <xdr:graphicFrame macro="">
      <xdr:nvGraphicFramePr>
        <xdr:cNvPr id="256114"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617927</xdr:colOff>
      <xdr:row>39</xdr:row>
      <xdr:rowOff>162485</xdr:rowOff>
    </xdr:from>
    <xdr:to>
      <xdr:col>2</xdr:col>
      <xdr:colOff>734787</xdr:colOff>
      <xdr:row>41</xdr:row>
      <xdr:rowOff>163286</xdr:rowOff>
    </xdr:to>
    <xdr:sp macro="" textlink="">
      <xdr:nvSpPr>
        <xdr:cNvPr id="2" name="1 CuadroTexto"/>
        <xdr:cNvSpPr txBox="1"/>
      </xdr:nvSpPr>
      <xdr:spPr>
        <a:xfrm>
          <a:off x="617927" y="7972985"/>
          <a:ext cx="2185146" cy="38180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a:t>Fuente: Portal ARL</a:t>
          </a:r>
        </a:p>
      </xdr:txBody>
    </xdr:sp>
    <xdr:clientData/>
  </xdr:twoCellAnchor>
  <xdr:twoCellAnchor>
    <xdr:from>
      <xdr:col>0</xdr:col>
      <xdr:colOff>0</xdr:colOff>
      <xdr:row>0</xdr:row>
      <xdr:rowOff>0</xdr:rowOff>
    </xdr:from>
    <xdr:to>
      <xdr:col>9</xdr:col>
      <xdr:colOff>1333499</xdr:colOff>
      <xdr:row>0</xdr:row>
      <xdr:rowOff>870857</xdr:rowOff>
    </xdr:to>
    <xdr:sp macro="" textlink="">
      <xdr:nvSpPr>
        <xdr:cNvPr id="5" name="6 Rectángulo redondeado"/>
        <xdr:cNvSpPr/>
      </xdr:nvSpPr>
      <xdr:spPr>
        <a:xfrm>
          <a:off x="0" y="0"/>
          <a:ext cx="11810999" cy="870857"/>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Cantidad de Expedientes Calificados  por la ARL Vs. Casos Reportados</a:t>
          </a:r>
        </a:p>
        <a:p>
          <a:pPr algn="ctr" eaLnBrk="1" fontAlgn="auto" latinLnBrk="0" hangingPunct="1"/>
          <a:r>
            <a:rPr lang="es-DO" sz="1600" b="1">
              <a:solidFill>
                <a:schemeClr val="lt1"/>
              </a:solidFill>
              <a:effectLst/>
              <a:latin typeface="+mn-lt"/>
              <a:ea typeface="+mn-ea"/>
              <a:cs typeface="+mn-cs"/>
            </a:rPr>
            <a:t>Período: 2009 - Noviembre  2015</a:t>
          </a:r>
          <a:endParaRPr lang="es-DO" sz="2400">
            <a:effectLst/>
          </a:endParaRPr>
        </a:p>
      </xdr:txBody>
    </xdr:sp>
    <xdr:clientData/>
  </xdr:twoCellAnchor>
  <xdr:twoCellAnchor editAs="oneCell">
    <xdr:from>
      <xdr:col>0</xdr:col>
      <xdr:colOff>489859</xdr:colOff>
      <xdr:row>0</xdr:row>
      <xdr:rowOff>190500</xdr:rowOff>
    </xdr:from>
    <xdr:to>
      <xdr:col>0</xdr:col>
      <xdr:colOff>1214377</xdr:colOff>
      <xdr:row>0</xdr:row>
      <xdr:rowOff>639536</xdr:rowOff>
    </xdr:to>
    <xdr:pic>
      <xdr:nvPicPr>
        <xdr:cNvPr id="7"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9859" y="190500"/>
          <a:ext cx="724518" cy="4490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9.xml><?xml version="1.0" encoding="utf-8"?>
<c:userShapes xmlns:c="http://schemas.openxmlformats.org/drawingml/2006/chart">
  <cdr:relSizeAnchor xmlns:cdr="http://schemas.openxmlformats.org/drawingml/2006/chartDrawing">
    <cdr:from>
      <cdr:x>0.02141</cdr:x>
      <cdr:y>0.93336</cdr:y>
    </cdr:from>
    <cdr:to>
      <cdr:x>0.29529</cdr:x>
      <cdr:y>0.99936</cdr:y>
    </cdr:to>
    <cdr:sp macro="" textlink="">
      <cdr:nvSpPr>
        <cdr:cNvPr id="2" name="1 CuadroTexto"/>
        <cdr:cNvSpPr txBox="1"/>
      </cdr:nvSpPr>
      <cdr:spPr>
        <a:xfrm xmlns:a="http://schemas.openxmlformats.org/drawingml/2006/main">
          <a:off x="231795" y="5111882"/>
          <a:ext cx="2965157" cy="36148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userShapes>
</file>

<file path=xl/drawings/drawing17.xml><?xml version="1.0" encoding="utf-8"?>
<xdr:wsDr xmlns:xdr="http://schemas.openxmlformats.org/drawingml/2006/spreadsheetDrawing" xmlns:a="http://schemas.openxmlformats.org/drawingml/2006/main">
  <xdr:twoCellAnchor editAs="oneCell">
    <xdr:from>
      <xdr:col>3</xdr:col>
      <xdr:colOff>1</xdr:colOff>
      <xdr:row>8</xdr:row>
      <xdr:rowOff>40821</xdr:rowOff>
    </xdr:from>
    <xdr:to>
      <xdr:col>10</xdr:col>
      <xdr:colOff>68036</xdr:colOff>
      <xdr:row>37</xdr:row>
      <xdr:rowOff>108856</xdr:rowOff>
    </xdr:to>
    <xdr:pic>
      <xdr:nvPicPr>
        <xdr:cNvPr id="5" name="4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286001" y="1564821"/>
          <a:ext cx="5538106" cy="5592535"/>
        </a:xfrm>
        <a:prstGeom prst="rect">
          <a:avLst/>
        </a:prstGeom>
        <a:noFill/>
        <a:ln>
          <a:noFill/>
        </a:ln>
      </xdr:spPr>
    </xdr:pic>
    <xdr:clientData/>
  </xdr:twoCellAnchor>
  <xdr:twoCellAnchor>
    <xdr:from>
      <xdr:col>0</xdr:col>
      <xdr:colOff>554184</xdr:colOff>
      <xdr:row>9</xdr:row>
      <xdr:rowOff>0</xdr:rowOff>
    </xdr:from>
    <xdr:to>
      <xdr:col>12</xdr:col>
      <xdr:colOff>340179</xdr:colOff>
      <xdr:row>31</xdr:row>
      <xdr:rowOff>27213</xdr:rowOff>
    </xdr:to>
    <xdr:sp macro="" textlink="">
      <xdr:nvSpPr>
        <xdr:cNvPr id="2" name="1 CuadroTexto"/>
        <xdr:cNvSpPr txBox="1"/>
      </xdr:nvSpPr>
      <xdr:spPr>
        <a:xfrm>
          <a:off x="554184" y="1714500"/>
          <a:ext cx="9066066" cy="42182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400" b="1" baseline="0">
              <a:solidFill>
                <a:srgbClr val="0070C0"/>
              </a:solidFill>
              <a:effectLst/>
              <a:latin typeface="+mn-lt"/>
              <a:ea typeface="+mn-ea"/>
              <a:cs typeface="+mn-cs"/>
            </a:rPr>
            <a:t>Sistema Dominicanao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endParaRPr lang="es-DO" sz="4400" b="1" baseline="0">
            <a:solidFill>
              <a:srgbClr val="0070C0"/>
            </a:solidFill>
            <a:effectLst/>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chemeClr val="accent3">
                  <a:lumMod val="50000"/>
                </a:schemeClr>
              </a:solidFill>
            </a:rPr>
            <a:t>Afiliación del Seguro Familiar de Salud</a:t>
          </a:r>
        </a:p>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chemeClr val="accent3">
                  <a:lumMod val="50000"/>
                </a:schemeClr>
              </a:solidFill>
            </a:rPr>
            <a:t>(SFS)</a:t>
          </a:r>
          <a:endParaRPr lang="es-DO" sz="3600" b="1">
            <a:solidFill>
              <a:schemeClr val="accent3">
                <a:lumMod val="50000"/>
              </a:schemeClr>
            </a:solidFill>
          </a:endParaRPr>
        </a:p>
      </xdr:txBody>
    </xdr:sp>
    <xdr:clientData/>
  </xdr:twoCellAnchor>
  <xdr:twoCellAnchor editAs="oneCell">
    <xdr:from>
      <xdr:col>0</xdr:col>
      <xdr:colOff>336977</xdr:colOff>
      <xdr:row>1</xdr:row>
      <xdr:rowOff>152881</xdr:rowOff>
    </xdr:from>
    <xdr:to>
      <xdr:col>1</xdr:col>
      <xdr:colOff>503464</xdr:colOff>
      <xdr:row>5</xdr:row>
      <xdr:rowOff>79560</xdr:rowOff>
    </xdr:to>
    <xdr:pic>
      <xdr:nvPicPr>
        <xdr:cNvPr id="3" name="1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22961" t="12578" r="21014" b="25122"/>
        <a:stretch/>
      </xdr:blipFill>
      <xdr:spPr bwMode="auto">
        <a:xfrm>
          <a:off x="336977" y="343381"/>
          <a:ext cx="928487" cy="688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0.xml><?xml version="1.0" encoding="utf-8"?>
<xdr:wsDr xmlns:xdr="http://schemas.openxmlformats.org/drawingml/2006/spreadsheetDrawing" xmlns:a="http://schemas.openxmlformats.org/drawingml/2006/main">
  <xdr:twoCellAnchor>
    <xdr:from>
      <xdr:col>0</xdr:col>
      <xdr:colOff>0</xdr:colOff>
      <xdr:row>11</xdr:row>
      <xdr:rowOff>89087</xdr:rowOff>
    </xdr:from>
    <xdr:to>
      <xdr:col>11</xdr:col>
      <xdr:colOff>1038225</xdr:colOff>
      <xdr:row>41</xdr:row>
      <xdr:rowOff>174812</xdr:rowOff>
    </xdr:to>
    <xdr:graphicFrame macro="">
      <xdr:nvGraphicFramePr>
        <xdr:cNvPr id="255090"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13606</xdr:colOff>
      <xdr:row>1</xdr:row>
      <xdr:rowOff>112058</xdr:rowOff>
    </xdr:to>
    <xdr:sp macro="" textlink="">
      <xdr:nvSpPr>
        <xdr:cNvPr id="5" name="6 Rectángulo redondeado"/>
        <xdr:cNvSpPr/>
      </xdr:nvSpPr>
      <xdr:spPr>
        <a:xfrm>
          <a:off x="0" y="0"/>
          <a:ext cx="11174665" cy="88526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Cantidad de Expedientes de Accidentes Laborales Calificados por la ARL</a:t>
          </a:r>
        </a:p>
        <a:p>
          <a:pPr algn="ctr" eaLnBrk="1" fontAlgn="auto" latinLnBrk="0" hangingPunct="1"/>
          <a:r>
            <a:rPr lang="es-DO" sz="1600" b="1">
              <a:solidFill>
                <a:schemeClr val="lt1"/>
              </a:solidFill>
              <a:effectLst/>
              <a:latin typeface="+mn-lt"/>
              <a:ea typeface="+mn-ea"/>
              <a:cs typeface="+mn-cs"/>
            </a:rPr>
            <a:t>Período: 2009 -  Noviembre 2015</a:t>
          </a:r>
          <a:endParaRPr lang="es-DO" sz="2400">
            <a:effectLst/>
          </a:endParaRPr>
        </a:p>
      </xdr:txBody>
    </xdr:sp>
    <xdr:clientData/>
  </xdr:twoCellAnchor>
  <xdr:twoCellAnchor editAs="oneCell">
    <xdr:from>
      <xdr:col>0</xdr:col>
      <xdr:colOff>247912</xdr:colOff>
      <xdr:row>0</xdr:row>
      <xdr:rowOff>169624</xdr:rowOff>
    </xdr:from>
    <xdr:to>
      <xdr:col>0</xdr:col>
      <xdr:colOff>976006</xdr:colOff>
      <xdr:row>0</xdr:row>
      <xdr:rowOff>626302</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47912" y="169624"/>
          <a:ext cx="729212" cy="4566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1.xml><?xml version="1.0" encoding="utf-8"?>
<c:userShapes xmlns:c="http://schemas.openxmlformats.org/drawingml/2006/chart">
  <cdr:relSizeAnchor xmlns:cdr="http://schemas.openxmlformats.org/drawingml/2006/chartDrawing">
    <cdr:from>
      <cdr:x>0.02913</cdr:x>
      <cdr:y>0.92481</cdr:y>
    </cdr:from>
    <cdr:to>
      <cdr:x>0.38749</cdr:x>
      <cdr:y>0.99165</cdr:y>
    </cdr:to>
    <cdr:sp macro="" textlink="">
      <cdr:nvSpPr>
        <cdr:cNvPr id="2" name="CuadroTexto 1"/>
        <cdr:cNvSpPr txBox="1"/>
      </cdr:nvSpPr>
      <cdr:spPr>
        <a:xfrm xmlns:a="http://schemas.openxmlformats.org/drawingml/2006/main">
          <a:off x="317500" y="5271892"/>
          <a:ext cx="3905250" cy="38100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200"/>
            <a:t>Fuente:</a:t>
          </a:r>
          <a:r>
            <a:rPr lang="es-ES" sz="1200" baseline="0"/>
            <a:t> Web ARL</a:t>
          </a:r>
          <a:endParaRPr lang="es-ES" sz="1200"/>
        </a:p>
      </cdr:txBody>
    </cdr:sp>
  </cdr:relSizeAnchor>
</c:userShapes>
</file>

<file path=xl/drawings/drawing172.xml><?xml version="1.0" encoding="utf-8"?>
<xdr:wsDr xmlns:xdr="http://schemas.openxmlformats.org/drawingml/2006/spreadsheetDrawing" xmlns:a="http://schemas.openxmlformats.org/drawingml/2006/main">
  <xdr:twoCellAnchor>
    <xdr:from>
      <xdr:col>0</xdr:col>
      <xdr:colOff>0</xdr:colOff>
      <xdr:row>13</xdr:row>
      <xdr:rowOff>27215</xdr:rowOff>
    </xdr:from>
    <xdr:to>
      <xdr:col>11</xdr:col>
      <xdr:colOff>1660072</xdr:colOff>
      <xdr:row>45</xdr:row>
      <xdr:rowOff>81643</xdr:rowOff>
    </xdr:to>
    <xdr:graphicFrame macro="">
      <xdr:nvGraphicFramePr>
        <xdr:cNvPr id="257138"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35</xdr:col>
      <xdr:colOff>0</xdr:colOff>
      <xdr:row>3</xdr:row>
      <xdr:rowOff>0</xdr:rowOff>
    </xdr:from>
    <xdr:to>
      <xdr:col>35</xdr:col>
      <xdr:colOff>228600</xdr:colOff>
      <xdr:row>3</xdr:row>
      <xdr:rowOff>104775</xdr:rowOff>
    </xdr:to>
    <xdr:pic>
      <xdr:nvPicPr>
        <xdr:cNvPr id="5" name="4 Imagen" descr="http://www.arlss.gov.do/Transparen/images/cen_rig.gif"/>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936325" y="1266825"/>
          <a:ext cx="228600" cy="104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11</xdr:col>
      <xdr:colOff>1755322</xdr:colOff>
      <xdr:row>1</xdr:row>
      <xdr:rowOff>54428</xdr:rowOff>
    </xdr:to>
    <xdr:sp macro="" textlink="">
      <xdr:nvSpPr>
        <xdr:cNvPr id="6" name="6 Rectángulo redondeado"/>
        <xdr:cNvSpPr/>
      </xdr:nvSpPr>
      <xdr:spPr>
        <a:xfrm>
          <a:off x="0" y="0"/>
          <a:ext cx="12246429" cy="870857"/>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Cantidad de Expedientes Calificados por la ARL por Tipo de Accidente</a:t>
          </a:r>
        </a:p>
        <a:p>
          <a:pPr algn="ctr" eaLnBrk="1" fontAlgn="auto" latinLnBrk="0" hangingPunct="1"/>
          <a:r>
            <a:rPr lang="es-DO" sz="1600" b="1">
              <a:solidFill>
                <a:schemeClr val="lt1"/>
              </a:solidFill>
              <a:effectLst/>
              <a:latin typeface="+mn-lt"/>
              <a:ea typeface="+mn-ea"/>
              <a:cs typeface="+mn-cs"/>
            </a:rPr>
            <a:t>Período: 2009 - Noviembre 2015</a:t>
          </a:r>
          <a:endParaRPr lang="es-DO" sz="2400">
            <a:effectLst/>
          </a:endParaRPr>
        </a:p>
      </xdr:txBody>
    </xdr:sp>
    <xdr:clientData/>
  </xdr:twoCellAnchor>
  <xdr:twoCellAnchor editAs="oneCell">
    <xdr:from>
      <xdr:col>0</xdr:col>
      <xdr:colOff>557892</xdr:colOff>
      <xdr:row>0</xdr:row>
      <xdr:rowOff>146758</xdr:rowOff>
    </xdr:from>
    <xdr:to>
      <xdr:col>1</xdr:col>
      <xdr:colOff>312964</xdr:colOff>
      <xdr:row>0</xdr:row>
      <xdr:rowOff>669015</xdr:rowOff>
    </xdr:to>
    <xdr:pic>
      <xdr:nvPicPr>
        <xdr:cNvPr id="7" name="9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57892" y="146758"/>
          <a:ext cx="843643" cy="5222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3.xml><?xml version="1.0" encoding="utf-8"?>
<c:userShapes xmlns:c="http://schemas.openxmlformats.org/drawingml/2006/chart">
  <cdr:relSizeAnchor xmlns:cdr="http://schemas.openxmlformats.org/drawingml/2006/chartDrawing">
    <cdr:from>
      <cdr:x>0.03488</cdr:x>
      <cdr:y>0.91534</cdr:y>
    </cdr:from>
    <cdr:to>
      <cdr:x>0.36065</cdr:x>
      <cdr:y>0.97729</cdr:y>
    </cdr:to>
    <cdr:sp macro="" textlink="">
      <cdr:nvSpPr>
        <cdr:cNvPr id="2" name="CuadroTexto 1"/>
        <cdr:cNvSpPr txBox="1"/>
      </cdr:nvSpPr>
      <cdr:spPr>
        <a:xfrm xmlns:a="http://schemas.openxmlformats.org/drawingml/2006/main">
          <a:off x="418192" y="5629729"/>
          <a:ext cx="3905250" cy="38100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200"/>
            <a:t>Fuente:</a:t>
          </a:r>
          <a:r>
            <a:rPr lang="es-ES" sz="1200" baseline="0"/>
            <a:t> Web ARL</a:t>
          </a:r>
          <a:endParaRPr lang="es-ES" sz="1200"/>
        </a:p>
      </cdr:txBody>
    </cdr:sp>
  </cdr:relSizeAnchor>
</c:userShapes>
</file>

<file path=xl/drawings/drawing174.xml><?xml version="1.0" encoding="utf-8"?>
<xdr:wsDr xmlns:xdr="http://schemas.openxmlformats.org/drawingml/2006/spreadsheetDrawing" xmlns:a="http://schemas.openxmlformats.org/drawingml/2006/main">
  <xdr:twoCellAnchor>
    <xdr:from>
      <xdr:col>0</xdr:col>
      <xdr:colOff>0</xdr:colOff>
      <xdr:row>11</xdr:row>
      <xdr:rowOff>104230</xdr:rowOff>
    </xdr:from>
    <xdr:to>
      <xdr:col>13</xdr:col>
      <xdr:colOff>1008529</xdr:colOff>
      <xdr:row>43</xdr:row>
      <xdr:rowOff>12894</xdr:rowOff>
    </xdr:to>
    <xdr:graphicFrame macro="">
      <xdr:nvGraphicFramePr>
        <xdr:cNvPr id="25816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1</xdr:row>
      <xdr:rowOff>39144</xdr:rowOff>
    </xdr:to>
    <xdr:sp macro="" textlink="">
      <xdr:nvSpPr>
        <xdr:cNvPr id="5" name="6 Rectángulo redondeado"/>
        <xdr:cNvSpPr/>
      </xdr:nvSpPr>
      <xdr:spPr>
        <a:xfrm>
          <a:off x="0" y="0"/>
          <a:ext cx="11377808" cy="87421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Cantidad de Expedientes Calificados  por la ARL por Grado de Lesión</a:t>
          </a:r>
        </a:p>
        <a:p>
          <a:pPr algn="ctr" eaLnBrk="1" fontAlgn="auto" latinLnBrk="0" hangingPunct="1"/>
          <a:r>
            <a:rPr lang="es-DO" sz="1600" b="1">
              <a:solidFill>
                <a:schemeClr val="lt1"/>
              </a:solidFill>
              <a:effectLst/>
              <a:latin typeface="+mn-lt"/>
              <a:ea typeface="+mn-ea"/>
              <a:cs typeface="+mn-cs"/>
            </a:rPr>
            <a:t>Período: 2009 -  Noviembre 2015</a:t>
          </a:r>
          <a:endParaRPr lang="es-DO" sz="2400">
            <a:effectLst/>
          </a:endParaRPr>
        </a:p>
      </xdr:txBody>
    </xdr:sp>
    <xdr:clientData/>
  </xdr:twoCellAnchor>
  <xdr:twoCellAnchor editAs="oneCell">
    <xdr:from>
      <xdr:col>0</xdr:col>
      <xdr:colOff>404487</xdr:colOff>
      <xdr:row>0</xdr:row>
      <xdr:rowOff>195719</xdr:rowOff>
    </xdr:from>
    <xdr:to>
      <xdr:col>1</xdr:col>
      <xdr:colOff>70077</xdr:colOff>
      <xdr:row>0</xdr:row>
      <xdr:rowOff>704589</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04487" y="195719"/>
          <a:ext cx="735522" cy="5088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5.xml><?xml version="1.0" encoding="utf-8"?>
<c:userShapes xmlns:c="http://schemas.openxmlformats.org/drawingml/2006/chart">
  <cdr:relSizeAnchor xmlns:cdr="http://schemas.openxmlformats.org/drawingml/2006/chartDrawing">
    <cdr:from>
      <cdr:x>0.03744</cdr:x>
      <cdr:y>0.90041</cdr:y>
    </cdr:from>
    <cdr:to>
      <cdr:x>0.35855</cdr:x>
      <cdr:y>0.96214</cdr:y>
    </cdr:to>
    <cdr:sp macro="" textlink="">
      <cdr:nvSpPr>
        <cdr:cNvPr id="2" name="CuadroTexto 1"/>
        <cdr:cNvSpPr txBox="1"/>
      </cdr:nvSpPr>
      <cdr:spPr>
        <a:xfrm xmlns:a="http://schemas.openxmlformats.org/drawingml/2006/main">
          <a:off x="455287" y="5557033"/>
          <a:ext cx="3905250" cy="38100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200"/>
            <a:t>Fuente:</a:t>
          </a:r>
          <a:r>
            <a:rPr lang="es-ES" sz="1200" baseline="0"/>
            <a:t> Web ARL</a:t>
          </a:r>
          <a:endParaRPr lang="es-ES" sz="1200"/>
        </a:p>
      </cdr:txBody>
    </cdr:sp>
  </cdr:relSizeAnchor>
</c:userShapes>
</file>

<file path=xl/drawings/drawing176.xml><?xml version="1.0" encoding="utf-8"?>
<xdr:wsDr xmlns:xdr="http://schemas.openxmlformats.org/drawingml/2006/spreadsheetDrawing" xmlns:a="http://schemas.openxmlformats.org/drawingml/2006/main">
  <xdr:twoCellAnchor>
    <xdr:from>
      <xdr:col>0</xdr:col>
      <xdr:colOff>38102</xdr:colOff>
      <xdr:row>11</xdr:row>
      <xdr:rowOff>62433</xdr:rowOff>
    </xdr:from>
    <xdr:to>
      <xdr:col>13</xdr:col>
      <xdr:colOff>857250</xdr:colOff>
      <xdr:row>43</xdr:row>
      <xdr:rowOff>13607</xdr:rowOff>
    </xdr:to>
    <xdr:graphicFrame macro="">
      <xdr:nvGraphicFramePr>
        <xdr:cNvPr id="259186"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0</xdr:row>
      <xdr:rowOff>1034143</xdr:rowOff>
    </xdr:to>
    <xdr:sp macro="" textlink="">
      <xdr:nvSpPr>
        <xdr:cNvPr id="5" name="6 Rectángulo redondeado"/>
        <xdr:cNvSpPr/>
      </xdr:nvSpPr>
      <xdr:spPr>
        <a:xfrm>
          <a:off x="0" y="0"/>
          <a:ext cx="12015107" cy="1034143"/>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Cantidad de Expedientes Calificados  por la ARL Según Circunstancia del Suceso</a:t>
          </a:r>
        </a:p>
        <a:p>
          <a:pPr algn="ctr" eaLnBrk="1" fontAlgn="auto" latinLnBrk="0" hangingPunct="1"/>
          <a:r>
            <a:rPr lang="es-DO" sz="1600" b="1">
              <a:solidFill>
                <a:schemeClr val="lt1"/>
              </a:solidFill>
              <a:effectLst/>
              <a:latin typeface="+mn-lt"/>
              <a:ea typeface="+mn-ea"/>
              <a:cs typeface="+mn-cs"/>
            </a:rPr>
            <a:t>Período: 2009 - Noviembre 2015</a:t>
          </a:r>
          <a:endParaRPr lang="es-DO" sz="2400">
            <a:effectLst/>
          </a:endParaRPr>
        </a:p>
      </xdr:txBody>
    </xdr:sp>
    <xdr:clientData/>
  </xdr:twoCellAnchor>
  <xdr:twoCellAnchor editAs="oneCell">
    <xdr:from>
      <xdr:col>0</xdr:col>
      <xdr:colOff>381000</xdr:colOff>
      <xdr:row>0</xdr:row>
      <xdr:rowOff>204107</xdr:rowOff>
    </xdr:from>
    <xdr:to>
      <xdr:col>0</xdr:col>
      <xdr:colOff>1137098</xdr:colOff>
      <xdr:row>0</xdr:row>
      <xdr:rowOff>671224</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81000" y="204107"/>
          <a:ext cx="756098" cy="4671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7.xml><?xml version="1.0" encoding="utf-8"?>
<c:userShapes xmlns:c="http://schemas.openxmlformats.org/drawingml/2006/chart">
  <cdr:relSizeAnchor xmlns:cdr="http://schemas.openxmlformats.org/drawingml/2006/chartDrawing">
    <cdr:from>
      <cdr:x>0.03172</cdr:x>
      <cdr:y>0.91522</cdr:y>
    </cdr:from>
    <cdr:to>
      <cdr:x>0.36002</cdr:x>
      <cdr:y>0.97822</cdr:y>
    </cdr:to>
    <cdr:sp macro="" textlink="">
      <cdr:nvSpPr>
        <cdr:cNvPr id="2" name="CuadroTexto 1"/>
        <cdr:cNvSpPr txBox="1"/>
      </cdr:nvSpPr>
      <cdr:spPr>
        <a:xfrm xmlns:a="http://schemas.openxmlformats.org/drawingml/2006/main">
          <a:off x="377371" y="5534478"/>
          <a:ext cx="3905250" cy="38100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200"/>
            <a:t>Fuente:</a:t>
          </a:r>
          <a:r>
            <a:rPr lang="es-ES" sz="1200" baseline="0"/>
            <a:t> Web ARL</a:t>
          </a:r>
          <a:endParaRPr lang="es-ES" sz="1200"/>
        </a:p>
      </cdr:txBody>
    </cdr:sp>
  </cdr:relSizeAnchor>
</c:userShapes>
</file>

<file path=xl/drawings/drawing178.xml><?xml version="1.0" encoding="utf-8"?>
<xdr:wsDr xmlns:xdr="http://schemas.openxmlformats.org/drawingml/2006/spreadsheetDrawing" xmlns:a="http://schemas.openxmlformats.org/drawingml/2006/main">
  <xdr:twoCellAnchor>
    <xdr:from>
      <xdr:col>0</xdr:col>
      <xdr:colOff>0</xdr:colOff>
      <xdr:row>12</xdr:row>
      <xdr:rowOff>169624</xdr:rowOff>
    </xdr:from>
    <xdr:to>
      <xdr:col>13</xdr:col>
      <xdr:colOff>587158</xdr:colOff>
      <xdr:row>42</xdr:row>
      <xdr:rowOff>130478</xdr:rowOff>
    </xdr:to>
    <xdr:graphicFrame macro="">
      <xdr:nvGraphicFramePr>
        <xdr:cNvPr id="261234"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1</xdr:row>
      <xdr:rowOff>13048</xdr:rowOff>
    </xdr:to>
    <xdr:sp macro="" textlink="">
      <xdr:nvSpPr>
        <xdr:cNvPr id="5" name="6 Rectángulo redondeado"/>
        <xdr:cNvSpPr/>
      </xdr:nvSpPr>
      <xdr:spPr>
        <a:xfrm>
          <a:off x="0" y="0"/>
          <a:ext cx="13739486" cy="87421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Cantidad de Expedientes Calificados por la ARL Según Agente Dañino</a:t>
          </a:r>
        </a:p>
        <a:p>
          <a:pPr algn="ctr" eaLnBrk="1" fontAlgn="auto" latinLnBrk="0" hangingPunct="1"/>
          <a:r>
            <a:rPr lang="es-DO" sz="1600" b="1">
              <a:solidFill>
                <a:schemeClr val="lt1"/>
              </a:solidFill>
              <a:effectLst/>
              <a:latin typeface="+mn-lt"/>
              <a:ea typeface="+mn-ea"/>
              <a:cs typeface="+mn-cs"/>
            </a:rPr>
            <a:t>Período: 2009 -  Noviembre 2015</a:t>
          </a:r>
          <a:endParaRPr lang="es-DO" sz="2400">
            <a:effectLst/>
          </a:endParaRPr>
        </a:p>
      </xdr:txBody>
    </xdr:sp>
    <xdr:clientData/>
  </xdr:twoCellAnchor>
  <xdr:twoCellAnchor editAs="oneCell">
    <xdr:from>
      <xdr:col>0</xdr:col>
      <xdr:colOff>378390</xdr:colOff>
      <xdr:row>0</xdr:row>
      <xdr:rowOff>52192</xdr:rowOff>
    </xdr:from>
    <xdr:to>
      <xdr:col>0</xdr:col>
      <xdr:colOff>1239554</xdr:colOff>
      <xdr:row>0</xdr:row>
      <xdr:rowOff>642742</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78390" y="52192"/>
          <a:ext cx="861164"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9.xml><?xml version="1.0" encoding="utf-8"?>
<c:userShapes xmlns:c="http://schemas.openxmlformats.org/drawingml/2006/chart">
  <cdr:relSizeAnchor xmlns:cdr="http://schemas.openxmlformats.org/drawingml/2006/chartDrawing">
    <cdr:from>
      <cdr:x>0.04313</cdr:x>
      <cdr:y>0.90336</cdr:y>
    </cdr:from>
    <cdr:to>
      <cdr:x>0.32443</cdr:x>
      <cdr:y>0.96868</cdr:y>
    </cdr:to>
    <cdr:sp macro="" textlink="">
      <cdr:nvSpPr>
        <cdr:cNvPr id="2" name="CuadroTexto 1"/>
        <cdr:cNvSpPr txBox="1"/>
      </cdr:nvSpPr>
      <cdr:spPr>
        <a:xfrm xmlns:a="http://schemas.openxmlformats.org/drawingml/2006/main">
          <a:off x="598814" y="5268759"/>
          <a:ext cx="3905250" cy="38100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200"/>
            <a:t>Fuente:</a:t>
          </a:r>
          <a:r>
            <a:rPr lang="es-ES" sz="1200" baseline="0"/>
            <a:t> Web ARL</a:t>
          </a:r>
          <a:endParaRPr lang="es-ES" sz="1200"/>
        </a:p>
      </cdr:txBody>
    </cdr:sp>
  </cdr:relSizeAnchor>
</c:userShapes>
</file>

<file path=xl/drawings/drawing18.xml><?xml version="1.0" encoding="utf-8"?>
<xdr:wsDr xmlns:xdr="http://schemas.openxmlformats.org/drawingml/2006/spreadsheetDrawing" xmlns:a="http://schemas.openxmlformats.org/drawingml/2006/main">
  <xdr:twoCellAnchor editAs="oneCell">
    <xdr:from>
      <xdr:col>4</xdr:col>
      <xdr:colOff>33618</xdr:colOff>
      <xdr:row>10</xdr:row>
      <xdr:rowOff>89647</xdr:rowOff>
    </xdr:from>
    <xdr:to>
      <xdr:col>9</xdr:col>
      <xdr:colOff>621314</xdr:colOff>
      <xdr:row>34</xdr:row>
      <xdr:rowOff>10477</xdr:rowOff>
    </xdr:to>
    <xdr:pic>
      <xdr:nvPicPr>
        <xdr:cNvPr id="6" name="5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081618" y="1994647"/>
          <a:ext cx="4532167" cy="4492830"/>
        </a:xfrm>
        <a:prstGeom prst="rect">
          <a:avLst/>
        </a:prstGeom>
        <a:noFill/>
        <a:ln>
          <a:noFill/>
        </a:ln>
      </xdr:spPr>
    </xdr:pic>
    <xdr:clientData/>
  </xdr:twoCellAnchor>
  <xdr:twoCellAnchor>
    <xdr:from>
      <xdr:col>0</xdr:col>
      <xdr:colOff>0</xdr:colOff>
      <xdr:row>0</xdr:row>
      <xdr:rowOff>0</xdr:rowOff>
    </xdr:from>
    <xdr:to>
      <xdr:col>12</xdr:col>
      <xdr:colOff>705971</xdr:colOff>
      <xdr:row>43</xdr:row>
      <xdr:rowOff>0</xdr:rowOff>
    </xdr:to>
    <xdr:sp macro="" textlink="">
      <xdr:nvSpPr>
        <xdr:cNvPr id="2" name="1 CuadroTexto"/>
        <xdr:cNvSpPr txBox="1"/>
      </xdr:nvSpPr>
      <xdr:spPr>
        <a:xfrm>
          <a:off x="0" y="0"/>
          <a:ext cx="10376647" cy="87293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300" b="0" i="0" u="none" strike="noStrike" baseline="0">
              <a:solidFill>
                <a:schemeClr val="dk1"/>
              </a:solidFill>
              <a:latin typeface="+mn-lt"/>
              <a:ea typeface="+mn-ea"/>
              <a:cs typeface="+mn-cs"/>
            </a:rPr>
            <a:t>El Seguro Familiar de Salud comprende la promoción de la salud, la prevención y el tratamiento de las enfermedades, la rehabilitación del enfermo, el embarazo, el parto y sus consecuencias. No comprende los tratamientos derivados de accidentes de tránsito, ni los accidentes de trabajo y las enfermedades profesionales, los cuales estarán cubiertos por la ley 4117, sobre Seguro Obligatorio de Vehículos de Motor y por el Seguro de Riesgos Laborales respectivamente.</a:t>
          </a:r>
        </a:p>
        <a:p>
          <a:pPr marL="0" marR="0" indent="0" algn="l" defTabSz="914400" eaLnBrk="1" fontAlgn="auto" latinLnBrk="0" hangingPunct="1">
            <a:lnSpc>
              <a:spcPct val="100000"/>
            </a:lnSpc>
            <a:spcBef>
              <a:spcPts val="0"/>
            </a:spcBef>
            <a:spcAft>
              <a:spcPts val="0"/>
            </a:spcAft>
            <a:buClrTx/>
            <a:buSzTx/>
            <a:buFontTx/>
            <a:buNone/>
            <a:tabLst/>
            <a:defRPr/>
          </a:pPr>
          <a:endParaRPr lang="es-DO" sz="1300" b="0" i="0" u="none" strike="noStrike" baseline="0">
            <a:solidFill>
              <a:schemeClr val="dk1"/>
            </a:solidFill>
            <a:latin typeface="+mn-lt"/>
            <a:ea typeface="+mn-ea"/>
            <a:cs typeface="+mn-cs"/>
          </a:endParaRPr>
        </a:p>
        <a:p>
          <a:r>
            <a:rPr lang="en-US" sz="1300" b="0" i="0" u="none" strike="noStrike" baseline="0" smtClean="0">
              <a:solidFill>
                <a:schemeClr val="dk1"/>
              </a:solidFill>
              <a:latin typeface="+mn-lt"/>
              <a:ea typeface="+mn-ea"/>
              <a:cs typeface="+mn-cs"/>
            </a:rPr>
            <a:t>De acuerdo al artículo 120  de la Ley 87-01 el Sistema Dominicano de Seguridad Social (SDSS) garantiza la libre elección familiar de la Administradora de Riesgos de Salud (ARS) y/o PSS de su preferencia. La selección que hace el afiliado titular es válida para todos sus dependientes.  Los afiliados pueden realizar cambios una vez por año, con un preaviso de 30 días. </a:t>
          </a:r>
        </a:p>
        <a:p>
          <a:endParaRPr lang="en-US" sz="1300" b="0" i="0" u="none" strike="noStrike" baseline="0" smtClean="0">
            <a:solidFill>
              <a:schemeClr val="dk1"/>
            </a:solidFill>
            <a:latin typeface="+mn-lt"/>
            <a:ea typeface="+mn-ea"/>
            <a:cs typeface="+mn-cs"/>
          </a:endParaRPr>
        </a:p>
        <a:p>
          <a:r>
            <a:rPr lang="en-US" sz="1300" b="1" i="0" u="none" strike="noStrike" baseline="0" smtClean="0">
              <a:solidFill>
                <a:schemeClr val="dk1"/>
              </a:solidFill>
              <a:latin typeface="+mn-lt"/>
              <a:ea typeface="+mn-ea"/>
              <a:cs typeface="+mn-cs"/>
            </a:rPr>
            <a:t>Art. 123.- Son Beneficiarios del Seguro Familiar de Salud del Régimen Contributivo:</a:t>
          </a:r>
        </a:p>
        <a:p>
          <a:r>
            <a:rPr lang="en-US" sz="1300" b="1" i="0" u="none" strike="noStrike" baseline="0" smtClean="0">
              <a:solidFill>
                <a:schemeClr val="dk1"/>
              </a:solidFill>
              <a:latin typeface="+mn-lt"/>
              <a:ea typeface="+mn-ea"/>
              <a:cs typeface="+mn-cs"/>
            </a:rPr>
            <a:t/>
          </a:r>
          <a:br>
            <a:rPr lang="en-US" sz="1300" b="1" i="0" u="none" strike="noStrike" baseline="0" smtClean="0">
              <a:solidFill>
                <a:schemeClr val="dk1"/>
              </a:solidFill>
              <a:latin typeface="+mn-lt"/>
              <a:ea typeface="+mn-ea"/>
              <a:cs typeface="+mn-cs"/>
            </a:rPr>
          </a:br>
          <a:r>
            <a:rPr lang="en-US" sz="1300" b="1" i="0" u="none" strike="noStrike" baseline="0" smtClean="0">
              <a:solidFill>
                <a:schemeClr val="dk1"/>
              </a:solidFill>
              <a:latin typeface="+mn-lt"/>
              <a:ea typeface="+mn-ea"/>
              <a:cs typeface="+mn-cs"/>
            </a:rPr>
            <a:t>a) </a:t>
          </a:r>
          <a:r>
            <a:rPr lang="en-US" sz="1300" b="0" i="0" u="none" strike="noStrike" baseline="0" smtClean="0">
              <a:solidFill>
                <a:schemeClr val="dk1"/>
              </a:solidFill>
              <a:latin typeface="+mn-lt"/>
              <a:ea typeface="+mn-ea"/>
              <a:cs typeface="+mn-cs"/>
            </a:rPr>
            <a:t>El trabajador afiliado;</a:t>
          </a:r>
        </a:p>
        <a:p>
          <a:r>
            <a:rPr lang="en-US" sz="1300" b="1" i="0" u="none" strike="noStrike" baseline="0" smtClean="0">
              <a:solidFill>
                <a:schemeClr val="dk1"/>
              </a:solidFill>
              <a:latin typeface="+mn-lt"/>
              <a:ea typeface="+mn-ea"/>
              <a:cs typeface="+mn-cs"/>
            </a:rPr>
            <a:t>b) </a:t>
          </a:r>
          <a:r>
            <a:rPr lang="en-US" sz="1300" b="0" i="0" u="none" strike="noStrike" baseline="0" smtClean="0">
              <a:solidFill>
                <a:schemeClr val="dk1"/>
              </a:solidFill>
              <a:latin typeface="+mn-lt"/>
              <a:ea typeface="+mn-ea"/>
              <a:cs typeface="+mn-cs"/>
            </a:rPr>
            <a:t>El pensionado del Régimen Contributivo, independientemente de su edad y estado de salud;</a:t>
          </a:r>
        </a:p>
        <a:p>
          <a:r>
            <a:rPr lang="en-US" sz="1300" b="1" i="0" u="none" strike="noStrike" baseline="0" smtClean="0">
              <a:solidFill>
                <a:schemeClr val="dk1"/>
              </a:solidFill>
              <a:latin typeface="+mn-lt"/>
              <a:ea typeface="+mn-ea"/>
              <a:cs typeface="+mn-cs"/>
            </a:rPr>
            <a:t>c) </a:t>
          </a:r>
          <a:r>
            <a:rPr lang="en-US" sz="1300" b="0" i="0" u="none" strike="noStrike" baseline="0" smtClean="0">
              <a:solidFill>
                <a:schemeClr val="dk1"/>
              </a:solidFill>
              <a:latin typeface="+mn-lt"/>
              <a:ea typeface="+mn-ea"/>
              <a:cs typeface="+mn-cs"/>
            </a:rPr>
            <a:t>El cónyuge del afiliado y del pensionado o, a falta de éste el compañero de vida con quien haya mantenido</a:t>
          </a:r>
        </a:p>
        <a:p>
          <a:r>
            <a:rPr lang="en-US" sz="1300" b="0" i="0" u="none" strike="noStrike" baseline="0" smtClean="0">
              <a:solidFill>
                <a:schemeClr val="dk1"/>
              </a:solidFill>
              <a:latin typeface="+mn-lt"/>
              <a:ea typeface="+mn-ea"/>
              <a:cs typeface="+mn-cs"/>
            </a:rPr>
            <a:t>una vida marital durante los tres años anteriores a su inscripción, o haya procreado hijos, siempre que ambos</a:t>
          </a:r>
        </a:p>
        <a:p>
          <a:r>
            <a:rPr lang="en-US" sz="1300" b="0" i="0" u="none" strike="noStrike" baseline="0" smtClean="0">
              <a:solidFill>
                <a:schemeClr val="dk1"/>
              </a:solidFill>
              <a:latin typeface="+mn-lt"/>
              <a:ea typeface="+mn-ea"/>
              <a:cs typeface="+mn-cs"/>
            </a:rPr>
            <a:t>no tengan impedimento legal para el matrimonio;</a:t>
          </a:r>
        </a:p>
        <a:p>
          <a:r>
            <a:rPr lang="en-US" sz="1300" b="1" i="0" u="none" strike="noStrike" baseline="0" smtClean="0">
              <a:solidFill>
                <a:schemeClr val="dk1"/>
              </a:solidFill>
              <a:latin typeface="+mn-lt"/>
              <a:ea typeface="+mn-ea"/>
              <a:cs typeface="+mn-cs"/>
            </a:rPr>
            <a:t>d) </a:t>
          </a:r>
          <a:r>
            <a:rPr lang="en-US" sz="1300" b="0" i="0" u="none" strike="noStrike" baseline="0" smtClean="0">
              <a:solidFill>
                <a:schemeClr val="dk1"/>
              </a:solidFill>
              <a:latin typeface="+mn-lt"/>
              <a:ea typeface="+mn-ea"/>
              <a:cs typeface="+mn-cs"/>
            </a:rPr>
            <a:t>Los hijos menores de 18 años del afiliado;</a:t>
          </a:r>
        </a:p>
        <a:p>
          <a:r>
            <a:rPr lang="en-US" sz="1300" b="1" i="0" u="none" strike="noStrike" baseline="0" smtClean="0">
              <a:solidFill>
                <a:schemeClr val="dk1"/>
              </a:solidFill>
              <a:latin typeface="+mn-lt"/>
              <a:ea typeface="+mn-ea"/>
              <a:cs typeface="+mn-cs"/>
            </a:rPr>
            <a:t>e) </a:t>
          </a:r>
          <a:r>
            <a:rPr lang="en-US" sz="1300" b="0" i="0" u="none" strike="noStrike" baseline="0" smtClean="0">
              <a:solidFill>
                <a:schemeClr val="dk1"/>
              </a:solidFill>
              <a:latin typeface="+mn-lt"/>
              <a:ea typeface="+mn-ea"/>
              <a:cs typeface="+mn-cs"/>
            </a:rPr>
            <a:t>Los hijos del afiliado hasta 21 años cuando sean estudiantes;</a:t>
          </a:r>
        </a:p>
        <a:p>
          <a:r>
            <a:rPr lang="en-US" sz="1300" b="1" i="0" u="none" strike="noStrike" baseline="0" smtClean="0">
              <a:solidFill>
                <a:schemeClr val="dk1"/>
              </a:solidFill>
              <a:latin typeface="+mn-lt"/>
              <a:ea typeface="+mn-ea"/>
              <a:cs typeface="+mn-cs"/>
            </a:rPr>
            <a:t>f ) </a:t>
          </a:r>
          <a:r>
            <a:rPr lang="en-US" sz="1300" b="0" i="0" u="none" strike="noStrike" baseline="0" smtClean="0">
              <a:solidFill>
                <a:schemeClr val="dk1"/>
              </a:solidFill>
              <a:latin typeface="+mn-lt"/>
              <a:ea typeface="+mn-ea"/>
              <a:cs typeface="+mn-cs"/>
            </a:rPr>
            <a:t>Los hijos discapacitados, independientemente de su edad, que dependan del afiliado o del pensionado.</a:t>
          </a:r>
          <a:br>
            <a:rPr lang="en-US" sz="1300" b="0" i="0" u="none" strike="noStrike" baseline="0" smtClean="0">
              <a:solidFill>
                <a:schemeClr val="dk1"/>
              </a:solidFill>
              <a:latin typeface="+mn-lt"/>
              <a:ea typeface="+mn-ea"/>
              <a:cs typeface="+mn-cs"/>
            </a:rPr>
          </a:br>
          <a:endParaRPr lang="en-US" sz="1300" b="0" i="0" u="none" strike="noStrike" baseline="0" smtClean="0">
            <a:solidFill>
              <a:schemeClr val="dk1"/>
            </a:solidFill>
            <a:latin typeface="+mn-lt"/>
            <a:ea typeface="+mn-ea"/>
            <a:cs typeface="+mn-cs"/>
          </a:endParaRPr>
        </a:p>
        <a:p>
          <a:r>
            <a:rPr lang="es-DO" sz="1300" b="1" i="0" u="none" strike="noStrike" baseline="0">
              <a:solidFill>
                <a:schemeClr val="dk1"/>
              </a:solidFill>
              <a:latin typeface="+mn-lt"/>
              <a:ea typeface="+mn-ea"/>
              <a:cs typeface="+mn-cs"/>
            </a:rPr>
            <a:t>Párrafo I</a:t>
          </a:r>
          <a:r>
            <a:rPr lang="es-DO" sz="1300" b="0" i="0" u="none" strike="noStrike" baseline="0">
              <a:solidFill>
                <a:schemeClr val="dk1"/>
              </a:solidFill>
              <a:latin typeface="+mn-lt"/>
              <a:ea typeface="+mn-ea"/>
              <a:cs typeface="+mn-cs"/>
            </a:rPr>
            <a:t>.- En forma complementaria, podrán incluir a otros familiares que dependan del afiliado o pensionado, siempre que el afiliado cubra el costo de su protección. </a:t>
          </a:r>
        </a:p>
        <a:p>
          <a:endParaRPr lang="es-DO" sz="1300" b="1" i="0" u="none" strike="noStrike" baseline="0">
            <a:solidFill>
              <a:schemeClr val="dk1"/>
            </a:solidFill>
            <a:latin typeface="+mn-lt"/>
            <a:ea typeface="+mn-ea"/>
            <a:cs typeface="+mn-cs"/>
          </a:endParaRPr>
        </a:p>
        <a:p>
          <a:r>
            <a:rPr lang="es-DO" sz="1300" b="1" i="0" u="none" strike="noStrike" baseline="0">
              <a:solidFill>
                <a:schemeClr val="dk1"/>
              </a:solidFill>
              <a:latin typeface="+mn-lt"/>
              <a:ea typeface="+mn-ea"/>
              <a:cs typeface="+mn-cs"/>
            </a:rPr>
            <a:t>Art. 124 y Reglamento sobre Aspectos Generales de Afiliación al Seguro Familiar de Salud del Régimen Contributivo, Art. 14.-  </a:t>
          </a:r>
          <a:r>
            <a:rPr lang="es-DO" sz="1300" b="0" i="0" u="none" strike="noStrike" baseline="0">
              <a:solidFill>
                <a:schemeClr val="dk1"/>
              </a:solidFill>
              <a:latin typeface="+mn-lt"/>
              <a:ea typeface="+mn-ea"/>
              <a:cs typeface="+mn-cs"/>
            </a:rPr>
            <a:t>Conservación Temporal del Derecho a Servicios de Salud. En virtud de las disposiciones del artículo 124 de la Ley 87-01, cuando el afiliado quede privado de un trabajo remunerado solicitará una evaluación de su situación, a fin de determinar en cuál de los otros regímenes califica. Durante sesenta (60) días conservará, junto a sus dependientes, el derecho a prestaciones de salud en especie, sin disfrute de prestaciones en dinero.</a:t>
          </a:r>
        </a:p>
        <a:p>
          <a:endParaRPr lang="es-DO" sz="1300" b="0" i="0" u="none" strike="noStrike" baseline="0">
            <a:solidFill>
              <a:schemeClr val="dk1"/>
            </a:solidFill>
            <a:latin typeface="+mn-lt"/>
            <a:ea typeface="+mn-ea"/>
            <a:cs typeface="+mn-cs"/>
          </a:endParaRPr>
        </a:p>
        <a:p>
          <a:r>
            <a:rPr lang="es-DO" sz="1300" b="0" i="0" u="none" strike="noStrike" baseline="0">
              <a:solidFill>
                <a:schemeClr val="dk1"/>
              </a:solidFill>
              <a:latin typeface="+mn-lt"/>
              <a:ea typeface="+mn-ea"/>
              <a:cs typeface="+mn-cs"/>
            </a:rPr>
            <a:t>Reglamento sobre Aspectos Generales de Afiliación al Seguro Familiar de Salud del Régimen Contributivo - Art. 13 , Definición del afiliado titular cuando los dos cónyuges cotizan al SFS.- Cuando los dos cónyuges o compañeros de vida son afiliados cotizantes en el SFS, solo uno de ellos podrá constituirse en afiliado titular y deberán estar afiliados a la misma ARS/SENASA. El otro cónyuge o compañero de vida pasará a formar parte del núcleo familiar  como dependiente de aquel que haya sido elegido por ellos como afiliado titular.</a:t>
          </a:r>
        </a:p>
      </xdr:txBody>
    </xdr:sp>
    <xdr:clientData/>
  </xdr:twoCellAnchor>
  <xdr:twoCellAnchor>
    <xdr:from>
      <xdr:col>0</xdr:col>
      <xdr:colOff>11206</xdr:colOff>
      <xdr:row>0</xdr:row>
      <xdr:rowOff>0</xdr:rowOff>
    </xdr:from>
    <xdr:to>
      <xdr:col>13</xdr:col>
      <xdr:colOff>11206</xdr:colOff>
      <xdr:row>3</xdr:row>
      <xdr:rowOff>179294</xdr:rowOff>
    </xdr:to>
    <xdr:sp macro="" textlink="">
      <xdr:nvSpPr>
        <xdr:cNvPr id="4" name="3 Rectángulo redondeado"/>
        <xdr:cNvSpPr/>
      </xdr:nvSpPr>
      <xdr:spPr>
        <a:xfrm>
          <a:off x="11206" y="0"/>
          <a:ext cx="10432676" cy="75079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Afiliación al Seguro Familiar de Salud (SFS) </a:t>
          </a:r>
          <a:endParaRPr lang="es-DO" sz="4400">
            <a:effectLst/>
          </a:endParaRPr>
        </a:p>
      </xdr:txBody>
    </xdr:sp>
    <xdr:clientData/>
  </xdr:twoCellAnchor>
  <xdr:twoCellAnchor editAs="oneCell">
    <xdr:from>
      <xdr:col>0</xdr:col>
      <xdr:colOff>470648</xdr:colOff>
      <xdr:row>0</xdr:row>
      <xdr:rowOff>112060</xdr:rowOff>
    </xdr:from>
    <xdr:to>
      <xdr:col>1</xdr:col>
      <xdr:colOff>459442</xdr:colOff>
      <xdr:row>3</xdr:row>
      <xdr:rowOff>56030</xdr:rowOff>
    </xdr:to>
    <xdr:pic>
      <xdr:nvPicPr>
        <xdr:cNvPr id="5" name="1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7333" t="10324" r="3243" b="11557"/>
        <a:stretch/>
      </xdr:blipFill>
      <xdr:spPr bwMode="auto">
        <a:xfrm>
          <a:off x="470648" y="112060"/>
          <a:ext cx="750794" cy="5154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0.xml><?xml version="1.0" encoding="utf-8"?>
<xdr:wsDr xmlns:xdr="http://schemas.openxmlformats.org/drawingml/2006/spreadsheetDrawing" xmlns:a="http://schemas.openxmlformats.org/drawingml/2006/main">
  <xdr:twoCellAnchor>
    <xdr:from>
      <xdr:col>0</xdr:col>
      <xdr:colOff>39144</xdr:colOff>
      <xdr:row>13</xdr:row>
      <xdr:rowOff>91334</xdr:rowOff>
    </xdr:from>
    <xdr:to>
      <xdr:col>12</xdr:col>
      <xdr:colOff>717637</xdr:colOff>
      <xdr:row>43</xdr:row>
      <xdr:rowOff>39144</xdr:rowOff>
    </xdr:to>
    <xdr:graphicFrame macro="">
      <xdr:nvGraphicFramePr>
        <xdr:cNvPr id="262258"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1</xdr:rowOff>
    </xdr:from>
    <xdr:to>
      <xdr:col>12</xdr:col>
      <xdr:colOff>848116</xdr:colOff>
      <xdr:row>0</xdr:row>
      <xdr:rowOff>926405</xdr:rowOff>
    </xdr:to>
    <xdr:sp macro="" textlink="">
      <xdr:nvSpPr>
        <xdr:cNvPr id="5" name="6 Rectángulo redondeado"/>
        <xdr:cNvSpPr/>
      </xdr:nvSpPr>
      <xdr:spPr>
        <a:xfrm>
          <a:off x="0" y="1"/>
          <a:ext cx="15918493" cy="92640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Cantidad de Expedientes Calificados  por la ARL Según Lugar del Accidente</a:t>
          </a:r>
        </a:p>
        <a:p>
          <a:pPr algn="ctr" eaLnBrk="1" fontAlgn="auto" latinLnBrk="0" hangingPunct="1"/>
          <a:r>
            <a:rPr lang="es-DO" sz="1600" b="1">
              <a:solidFill>
                <a:schemeClr val="lt1"/>
              </a:solidFill>
              <a:effectLst/>
              <a:latin typeface="+mn-lt"/>
              <a:ea typeface="+mn-ea"/>
              <a:cs typeface="+mn-cs"/>
            </a:rPr>
            <a:t>Período: 2009 -</a:t>
          </a:r>
          <a:r>
            <a:rPr lang="es-DO" sz="1600" b="1" baseline="0">
              <a:solidFill>
                <a:schemeClr val="lt1"/>
              </a:solidFill>
              <a:effectLst/>
              <a:latin typeface="+mn-lt"/>
              <a:ea typeface="+mn-ea"/>
              <a:cs typeface="+mn-cs"/>
            </a:rPr>
            <a:t> Noviembre </a:t>
          </a:r>
          <a:r>
            <a:rPr lang="es-DO" sz="1600" b="1">
              <a:solidFill>
                <a:schemeClr val="lt1"/>
              </a:solidFill>
              <a:effectLst/>
              <a:latin typeface="+mn-lt"/>
              <a:ea typeface="+mn-ea"/>
              <a:cs typeface="+mn-cs"/>
            </a:rPr>
            <a:t>2015</a:t>
          </a:r>
          <a:endParaRPr lang="es-DO" sz="2400">
            <a:effectLst/>
          </a:endParaRPr>
        </a:p>
      </xdr:txBody>
    </xdr:sp>
    <xdr:clientData/>
  </xdr:twoCellAnchor>
  <xdr:twoCellAnchor editAs="oneCell">
    <xdr:from>
      <xdr:col>0</xdr:col>
      <xdr:colOff>508870</xdr:colOff>
      <xdr:row>0</xdr:row>
      <xdr:rowOff>104384</xdr:rowOff>
    </xdr:from>
    <xdr:to>
      <xdr:col>0</xdr:col>
      <xdr:colOff>1261345</xdr:colOff>
      <xdr:row>0</xdr:row>
      <xdr:rowOff>618734</xdr:rowOff>
    </xdr:to>
    <xdr:pic>
      <xdr:nvPicPr>
        <xdr:cNvPr id="6" name="1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08870" y="104384"/>
          <a:ext cx="752475"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469726</xdr:colOff>
      <xdr:row>0</xdr:row>
      <xdr:rowOff>65240</xdr:rowOff>
    </xdr:from>
    <xdr:to>
      <xdr:col>0</xdr:col>
      <xdr:colOff>1265650</xdr:colOff>
      <xdr:row>0</xdr:row>
      <xdr:rowOff>655790</xdr:rowOff>
    </xdr:to>
    <xdr:pic>
      <xdr:nvPicPr>
        <xdr:cNvPr id="7" name="9 Imagen" descr="logo_2x4.bmp">
          <a:hlinkClick xmlns:r="http://schemas.openxmlformats.org/officeDocument/2006/relationships" r:id="rId4"/>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69726" y="65240"/>
          <a:ext cx="795924"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1.xml><?xml version="1.0" encoding="utf-8"?>
<c:userShapes xmlns:c="http://schemas.openxmlformats.org/drawingml/2006/chart">
  <cdr:relSizeAnchor xmlns:cdr="http://schemas.openxmlformats.org/drawingml/2006/chartDrawing">
    <cdr:from>
      <cdr:x>0.05175</cdr:x>
      <cdr:y>0.92129</cdr:y>
    </cdr:from>
    <cdr:to>
      <cdr:x>0.29043</cdr:x>
      <cdr:y>0.98676</cdr:y>
    </cdr:to>
    <cdr:sp macro="" textlink="">
      <cdr:nvSpPr>
        <cdr:cNvPr id="2" name="CuadroTexto 1"/>
        <cdr:cNvSpPr txBox="1"/>
      </cdr:nvSpPr>
      <cdr:spPr>
        <a:xfrm xmlns:a="http://schemas.openxmlformats.org/drawingml/2006/main">
          <a:off x="846725" y="5361313"/>
          <a:ext cx="3905250" cy="38100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200"/>
            <a:t>Fuente:</a:t>
          </a:r>
          <a:r>
            <a:rPr lang="es-ES" sz="1200" baseline="0"/>
            <a:t> Web ARL</a:t>
          </a:r>
          <a:endParaRPr lang="es-ES" sz="1200"/>
        </a:p>
      </cdr:txBody>
    </cdr:sp>
  </cdr:relSizeAnchor>
</c:userShapes>
</file>

<file path=xl/drawings/drawing182.xml><?xml version="1.0" encoding="utf-8"?>
<xdr:wsDr xmlns:xdr="http://schemas.openxmlformats.org/drawingml/2006/spreadsheetDrawing" xmlns:a="http://schemas.openxmlformats.org/drawingml/2006/main">
  <xdr:twoCellAnchor>
    <xdr:from>
      <xdr:col>0</xdr:col>
      <xdr:colOff>76199</xdr:colOff>
      <xdr:row>11</xdr:row>
      <xdr:rowOff>149679</xdr:rowOff>
    </xdr:from>
    <xdr:to>
      <xdr:col>14</xdr:col>
      <xdr:colOff>639536</xdr:colOff>
      <xdr:row>52</xdr:row>
      <xdr:rowOff>136071</xdr:rowOff>
    </xdr:to>
    <xdr:graphicFrame macro="">
      <xdr:nvGraphicFramePr>
        <xdr:cNvPr id="264306"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748393</xdr:colOff>
      <xdr:row>0</xdr:row>
      <xdr:rowOff>925285</xdr:rowOff>
    </xdr:to>
    <xdr:sp macro="" textlink="">
      <xdr:nvSpPr>
        <xdr:cNvPr id="5" name="6 Rectángulo redondeado"/>
        <xdr:cNvSpPr/>
      </xdr:nvSpPr>
      <xdr:spPr>
        <a:xfrm>
          <a:off x="0" y="0"/>
          <a:ext cx="15376072" cy="925285"/>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Accidentes Laborales Calificados con Lesiones Discapacitantes                                                                                                                                                                                                                                                         Período: 2009 - Noviembre 2015</a:t>
          </a:r>
          <a:endParaRPr lang="es-DO" sz="2400">
            <a:effectLst/>
          </a:endParaRPr>
        </a:p>
      </xdr:txBody>
    </xdr:sp>
    <xdr:clientData/>
  </xdr:twoCellAnchor>
  <xdr:twoCellAnchor editAs="oneCell">
    <xdr:from>
      <xdr:col>0</xdr:col>
      <xdr:colOff>666750</xdr:colOff>
      <xdr:row>0</xdr:row>
      <xdr:rowOff>176892</xdr:rowOff>
    </xdr:from>
    <xdr:to>
      <xdr:col>1</xdr:col>
      <xdr:colOff>442138</xdr:colOff>
      <xdr:row>0</xdr:row>
      <xdr:rowOff>767442</xdr:rowOff>
    </xdr:to>
    <xdr:pic>
      <xdr:nvPicPr>
        <xdr:cNvPr id="7"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66750" y="176892"/>
          <a:ext cx="795924"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3.xml><?xml version="1.0" encoding="utf-8"?>
<c:userShapes xmlns:c="http://schemas.openxmlformats.org/drawingml/2006/chart">
  <cdr:relSizeAnchor xmlns:cdr="http://schemas.openxmlformats.org/drawingml/2006/chartDrawing">
    <cdr:from>
      <cdr:x>0.04592</cdr:x>
      <cdr:y>0.92882</cdr:y>
    </cdr:from>
    <cdr:to>
      <cdr:x>0.33629</cdr:x>
      <cdr:y>0.97743</cdr:y>
    </cdr:to>
    <cdr:sp macro="" textlink="">
      <cdr:nvSpPr>
        <cdr:cNvPr id="2" name="CuadroTexto 1"/>
        <cdr:cNvSpPr txBox="1"/>
      </cdr:nvSpPr>
      <cdr:spPr>
        <a:xfrm xmlns:a="http://schemas.openxmlformats.org/drawingml/2006/main">
          <a:off x="697530" y="7279856"/>
          <a:ext cx="4411015" cy="380991"/>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200" b="1"/>
            <a:t>Fuente:</a:t>
          </a:r>
          <a:r>
            <a:rPr lang="es-ES" sz="1200" b="1" baseline="0"/>
            <a:t> </a:t>
          </a:r>
          <a:r>
            <a:rPr lang="es-ES" sz="1200" baseline="0"/>
            <a:t>Web ARL</a:t>
          </a:r>
          <a:endParaRPr lang="es-ES" sz="1200"/>
        </a:p>
      </cdr:txBody>
    </cdr:sp>
  </cdr:relSizeAnchor>
</c:userShapes>
</file>

<file path=xl/drawings/drawing184.xml><?xml version="1.0" encoding="utf-8"?>
<xdr:wsDr xmlns:xdr="http://schemas.openxmlformats.org/drawingml/2006/spreadsheetDrawing" xmlns:a="http://schemas.openxmlformats.org/drawingml/2006/main">
  <xdr:twoCellAnchor editAs="oneCell">
    <xdr:from>
      <xdr:col>0</xdr:col>
      <xdr:colOff>190500</xdr:colOff>
      <xdr:row>0</xdr:row>
      <xdr:rowOff>152400</xdr:rowOff>
    </xdr:from>
    <xdr:to>
      <xdr:col>0</xdr:col>
      <xdr:colOff>793576</xdr:colOff>
      <xdr:row>0</xdr:row>
      <xdr:rowOff>561975</xdr:rowOff>
    </xdr:to>
    <xdr:pic>
      <xdr:nvPicPr>
        <xdr:cNvPr id="265329"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0" y="152400"/>
          <a:ext cx="600075"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xdr:colOff>
      <xdr:row>11</xdr:row>
      <xdr:rowOff>130478</xdr:rowOff>
    </xdr:from>
    <xdr:to>
      <xdr:col>11</xdr:col>
      <xdr:colOff>802821</xdr:colOff>
      <xdr:row>43</xdr:row>
      <xdr:rowOff>95249</xdr:rowOff>
    </xdr:to>
    <xdr:graphicFrame macro="">
      <xdr:nvGraphicFramePr>
        <xdr:cNvPr id="265330"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11</xdr:col>
      <xdr:colOff>925286</xdr:colOff>
      <xdr:row>0</xdr:row>
      <xdr:rowOff>829234</xdr:rowOff>
    </xdr:to>
    <xdr:sp macro="" textlink="">
      <xdr:nvSpPr>
        <xdr:cNvPr id="5" name="6 Rectángulo redondeado"/>
        <xdr:cNvSpPr/>
      </xdr:nvSpPr>
      <xdr:spPr>
        <a:xfrm>
          <a:off x="0" y="0"/>
          <a:ext cx="12749893" cy="82923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Cantidad de Expedientes de Enfermedades Profesionales Calificados en Proceso de Investigación</a:t>
          </a:r>
        </a:p>
        <a:p>
          <a:pPr algn="ctr" eaLnBrk="1" fontAlgn="auto" latinLnBrk="0" hangingPunct="1"/>
          <a:r>
            <a:rPr lang="es-DO" sz="1600" b="1">
              <a:solidFill>
                <a:schemeClr val="lt1"/>
              </a:solidFill>
              <a:effectLst/>
              <a:latin typeface="+mn-lt"/>
              <a:ea typeface="+mn-ea"/>
              <a:cs typeface="+mn-cs"/>
            </a:rPr>
            <a:t>Período: 2009 - Noviembre 2015</a:t>
          </a:r>
          <a:endParaRPr lang="es-DO" sz="2400">
            <a:effectLst/>
          </a:endParaRPr>
        </a:p>
      </xdr:txBody>
    </xdr:sp>
    <xdr:clientData/>
  </xdr:twoCellAnchor>
  <xdr:twoCellAnchor editAs="oneCell">
    <xdr:from>
      <xdr:col>0</xdr:col>
      <xdr:colOff>389005</xdr:colOff>
      <xdr:row>0</xdr:row>
      <xdr:rowOff>144282</xdr:rowOff>
    </xdr:from>
    <xdr:to>
      <xdr:col>0</xdr:col>
      <xdr:colOff>1224643</xdr:colOff>
      <xdr:row>0</xdr:row>
      <xdr:rowOff>669841</xdr:rowOff>
    </xdr:to>
    <xdr:pic>
      <xdr:nvPicPr>
        <xdr:cNvPr id="6" name="9 Imagen" descr="logo_2x4.bmp">
          <a:hlinkClick xmlns:r="http://schemas.openxmlformats.org/officeDocument/2006/relationships" r:id="rId4"/>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89005" y="144282"/>
          <a:ext cx="835638" cy="5255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517071</xdr:colOff>
      <xdr:row>40</xdr:row>
      <xdr:rowOff>122464</xdr:rowOff>
    </xdr:from>
    <xdr:to>
      <xdr:col>4</xdr:col>
      <xdr:colOff>54428</xdr:colOff>
      <xdr:row>42</xdr:row>
      <xdr:rowOff>122464</xdr:rowOff>
    </xdr:to>
    <xdr:sp macro="" textlink="">
      <xdr:nvSpPr>
        <xdr:cNvPr id="2" name="CuadroTexto 1"/>
        <xdr:cNvSpPr txBox="1"/>
      </xdr:nvSpPr>
      <xdr:spPr>
        <a:xfrm>
          <a:off x="517071" y="8899071"/>
          <a:ext cx="3905250" cy="381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200" b="1"/>
            <a:t>Fuente:</a:t>
          </a:r>
          <a:r>
            <a:rPr lang="es-ES" sz="1200" b="1" baseline="0"/>
            <a:t> </a:t>
          </a:r>
          <a:r>
            <a:rPr lang="es-ES" sz="1200" b="0" baseline="0"/>
            <a:t>Web ARL</a:t>
          </a:r>
          <a:endParaRPr lang="es-ES" sz="1200" b="0"/>
        </a:p>
      </xdr:txBody>
    </xdr:sp>
    <xdr:clientData/>
  </xdr:twoCellAnchor>
</xdr:wsDr>
</file>

<file path=xl/drawings/drawing185.xml><?xml version="1.0" encoding="utf-8"?>
<xdr:wsDr xmlns:xdr="http://schemas.openxmlformats.org/drawingml/2006/spreadsheetDrawing" xmlns:a="http://schemas.openxmlformats.org/drawingml/2006/main">
  <xdr:twoCellAnchor editAs="oneCell">
    <xdr:from>
      <xdr:col>0</xdr:col>
      <xdr:colOff>190500</xdr:colOff>
      <xdr:row>0</xdr:row>
      <xdr:rowOff>152400</xdr:rowOff>
    </xdr:from>
    <xdr:to>
      <xdr:col>0</xdr:col>
      <xdr:colOff>793576</xdr:colOff>
      <xdr:row>0</xdr:row>
      <xdr:rowOff>561975</xdr:rowOff>
    </xdr:to>
    <xdr:pic>
      <xdr:nvPicPr>
        <xdr:cNvPr id="266353"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0" y="152400"/>
          <a:ext cx="600075"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39144</xdr:colOff>
      <xdr:row>11</xdr:row>
      <xdr:rowOff>104384</xdr:rowOff>
    </xdr:from>
    <xdr:to>
      <xdr:col>11</xdr:col>
      <xdr:colOff>990600</xdr:colOff>
      <xdr:row>43</xdr:row>
      <xdr:rowOff>114299</xdr:rowOff>
    </xdr:to>
    <xdr:graphicFrame macro="">
      <xdr:nvGraphicFramePr>
        <xdr:cNvPr id="266354"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11</xdr:col>
      <xdr:colOff>1069931</xdr:colOff>
      <xdr:row>1</xdr:row>
      <xdr:rowOff>13048</xdr:rowOff>
    </xdr:to>
    <xdr:sp macro="" textlink="">
      <xdr:nvSpPr>
        <xdr:cNvPr id="5" name="6 Rectángulo redondeado"/>
        <xdr:cNvSpPr/>
      </xdr:nvSpPr>
      <xdr:spPr>
        <a:xfrm>
          <a:off x="0" y="0"/>
          <a:ext cx="10908082" cy="84811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Cantidad de Expedientes de Accidentes Laborales Calificados en Proceso de Reinvestigación</a:t>
          </a:r>
        </a:p>
        <a:p>
          <a:pPr algn="ctr" eaLnBrk="1" fontAlgn="auto" latinLnBrk="0" hangingPunct="1"/>
          <a:r>
            <a:rPr lang="es-DO" sz="1600" b="1">
              <a:solidFill>
                <a:schemeClr val="lt1"/>
              </a:solidFill>
              <a:effectLst/>
              <a:latin typeface="+mn-lt"/>
              <a:ea typeface="+mn-ea"/>
              <a:cs typeface="+mn-cs"/>
            </a:rPr>
            <a:t>Período: 2009 -  Noviembre 2015</a:t>
          </a:r>
          <a:endParaRPr lang="es-DO" sz="2400">
            <a:effectLst/>
          </a:endParaRPr>
        </a:p>
      </xdr:txBody>
    </xdr:sp>
    <xdr:clientData/>
  </xdr:twoCellAnchor>
  <xdr:twoCellAnchor editAs="oneCell">
    <xdr:from>
      <xdr:col>0</xdr:col>
      <xdr:colOff>287054</xdr:colOff>
      <xdr:row>0</xdr:row>
      <xdr:rowOff>104383</xdr:rowOff>
    </xdr:from>
    <xdr:to>
      <xdr:col>0</xdr:col>
      <xdr:colOff>939451</xdr:colOff>
      <xdr:row>0</xdr:row>
      <xdr:rowOff>596508</xdr:rowOff>
    </xdr:to>
    <xdr:pic>
      <xdr:nvPicPr>
        <xdr:cNvPr id="7" name="9 Imagen" descr="logo_2x4.bmp">
          <a:hlinkClick xmlns:r="http://schemas.openxmlformats.org/officeDocument/2006/relationships" r:id="rId4"/>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87054" y="104383"/>
          <a:ext cx="652397" cy="492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6.xml><?xml version="1.0" encoding="utf-8"?>
<c:userShapes xmlns:c="http://schemas.openxmlformats.org/drawingml/2006/chart">
  <cdr:relSizeAnchor xmlns:cdr="http://schemas.openxmlformats.org/drawingml/2006/chartDrawing">
    <cdr:from>
      <cdr:x>0.02597</cdr:x>
      <cdr:y>0.90876</cdr:y>
    </cdr:from>
    <cdr:to>
      <cdr:x>0.38105</cdr:x>
      <cdr:y>0.96949</cdr:y>
    </cdr:to>
    <cdr:sp macro="" textlink="">
      <cdr:nvSpPr>
        <cdr:cNvPr id="2" name="CuadroTexto 1"/>
        <cdr:cNvSpPr txBox="1"/>
      </cdr:nvSpPr>
      <cdr:spPr>
        <a:xfrm xmlns:a="http://schemas.openxmlformats.org/drawingml/2006/main">
          <a:off x="285662" y="5700561"/>
          <a:ext cx="3905250" cy="38100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200" b="1"/>
            <a:t>Fuente:</a:t>
          </a:r>
          <a:r>
            <a:rPr lang="es-ES" sz="1200" b="1" baseline="0"/>
            <a:t> </a:t>
          </a:r>
          <a:r>
            <a:rPr lang="es-ES" sz="1200" b="0" baseline="0"/>
            <a:t>Web ARL</a:t>
          </a:r>
          <a:endParaRPr lang="es-ES" sz="1200" b="0"/>
        </a:p>
      </cdr:txBody>
    </cdr:sp>
  </cdr:relSizeAnchor>
</c:userShapes>
</file>

<file path=xl/drawings/drawing187.xml><?xml version="1.0" encoding="utf-8"?>
<xdr:wsDr xmlns:xdr="http://schemas.openxmlformats.org/drawingml/2006/spreadsheetDrawing" xmlns:a="http://schemas.openxmlformats.org/drawingml/2006/main">
  <xdr:twoCellAnchor>
    <xdr:from>
      <xdr:col>0</xdr:col>
      <xdr:colOff>26096</xdr:colOff>
      <xdr:row>12</xdr:row>
      <xdr:rowOff>65239</xdr:rowOff>
    </xdr:from>
    <xdr:to>
      <xdr:col>12</xdr:col>
      <xdr:colOff>1435274</xdr:colOff>
      <xdr:row>43</xdr:row>
      <xdr:rowOff>117430</xdr:rowOff>
    </xdr:to>
    <xdr:graphicFrame macro="">
      <xdr:nvGraphicFramePr>
        <xdr:cNvPr id="267378"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0</xdr:colOff>
      <xdr:row>1</xdr:row>
      <xdr:rowOff>0</xdr:rowOff>
    </xdr:to>
    <xdr:sp macro="" textlink="">
      <xdr:nvSpPr>
        <xdr:cNvPr id="5" name="6 Rectángulo redondeado"/>
        <xdr:cNvSpPr/>
      </xdr:nvSpPr>
      <xdr:spPr>
        <a:xfrm>
          <a:off x="0" y="0"/>
          <a:ext cx="12499932" cy="86116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Casos Aprobados en Proceso de Reinvestigación por Tipo de Accidente </a:t>
          </a:r>
        </a:p>
        <a:p>
          <a:pPr algn="ctr" eaLnBrk="1" fontAlgn="auto" latinLnBrk="0" hangingPunct="1"/>
          <a:r>
            <a:rPr lang="es-DO" sz="1600" b="1">
              <a:solidFill>
                <a:schemeClr val="lt1"/>
              </a:solidFill>
              <a:effectLst/>
              <a:latin typeface="+mn-lt"/>
              <a:ea typeface="+mn-ea"/>
              <a:cs typeface="+mn-cs"/>
            </a:rPr>
            <a:t>Período: 2009 - Noviembre 2015</a:t>
          </a:r>
          <a:endParaRPr lang="es-DO" sz="2400">
            <a:effectLst/>
          </a:endParaRPr>
        </a:p>
      </xdr:txBody>
    </xdr:sp>
    <xdr:clientData/>
  </xdr:twoCellAnchor>
  <xdr:twoCellAnchor editAs="oneCell">
    <xdr:from>
      <xdr:col>0</xdr:col>
      <xdr:colOff>378390</xdr:colOff>
      <xdr:row>0</xdr:row>
      <xdr:rowOff>143527</xdr:rowOff>
    </xdr:from>
    <xdr:to>
      <xdr:col>1</xdr:col>
      <xdr:colOff>147104</xdr:colOff>
      <xdr:row>0</xdr:row>
      <xdr:rowOff>652397</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78390" y="143527"/>
          <a:ext cx="812550" cy="5088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561062</xdr:colOff>
      <xdr:row>41</xdr:row>
      <xdr:rowOff>39144</xdr:rowOff>
    </xdr:from>
    <xdr:to>
      <xdr:col>5</xdr:col>
      <xdr:colOff>926404</xdr:colOff>
      <xdr:row>43</xdr:row>
      <xdr:rowOff>39143</xdr:rowOff>
    </xdr:to>
    <xdr:sp macro="" textlink="">
      <xdr:nvSpPr>
        <xdr:cNvPr id="2" name="CuadroTexto 1"/>
        <xdr:cNvSpPr txBox="1"/>
      </xdr:nvSpPr>
      <xdr:spPr>
        <a:xfrm>
          <a:off x="561062" y="9042226"/>
          <a:ext cx="3901335" cy="391438"/>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100"/>
            <a:t>Fuente: Portal</a:t>
          </a:r>
          <a:r>
            <a:rPr lang="es-ES" sz="1100" baseline="0"/>
            <a:t> Web ARL</a:t>
          </a:r>
          <a:endParaRPr lang="es-ES" sz="1100"/>
        </a:p>
      </xdr:txBody>
    </xdr:sp>
    <xdr:clientData/>
  </xdr:twoCellAnchor>
</xdr:wsDr>
</file>

<file path=xl/drawings/drawing188.xml><?xml version="1.0" encoding="utf-8"?>
<xdr:wsDr xmlns:xdr="http://schemas.openxmlformats.org/drawingml/2006/spreadsheetDrawing" xmlns:a="http://schemas.openxmlformats.org/drawingml/2006/main">
  <xdr:twoCellAnchor>
    <xdr:from>
      <xdr:col>0</xdr:col>
      <xdr:colOff>0</xdr:colOff>
      <xdr:row>11</xdr:row>
      <xdr:rowOff>49061</xdr:rowOff>
    </xdr:from>
    <xdr:to>
      <xdr:col>11</xdr:col>
      <xdr:colOff>1082979</xdr:colOff>
      <xdr:row>42</xdr:row>
      <xdr:rowOff>13049</xdr:rowOff>
    </xdr:to>
    <xdr:graphicFrame macro="">
      <xdr:nvGraphicFramePr>
        <xdr:cNvPr id="26840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1135171</xdr:colOff>
      <xdr:row>0</xdr:row>
      <xdr:rowOff>756781</xdr:rowOff>
    </xdr:to>
    <xdr:sp macro="" textlink="">
      <xdr:nvSpPr>
        <xdr:cNvPr id="4" name="6 Rectángulo redondeado"/>
        <xdr:cNvSpPr/>
      </xdr:nvSpPr>
      <xdr:spPr>
        <a:xfrm>
          <a:off x="0" y="0"/>
          <a:ext cx="11129897" cy="756781"/>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Casos Aprobados en Proceso de Reinvestigación por Grado de Lesión</a:t>
          </a:r>
        </a:p>
        <a:p>
          <a:pPr algn="ctr" eaLnBrk="1" fontAlgn="auto" latinLnBrk="0" hangingPunct="1"/>
          <a:r>
            <a:rPr lang="es-DO" sz="1600" b="1">
              <a:solidFill>
                <a:schemeClr val="lt1"/>
              </a:solidFill>
              <a:effectLst/>
              <a:latin typeface="+mn-lt"/>
              <a:ea typeface="+mn-ea"/>
              <a:cs typeface="+mn-cs"/>
            </a:rPr>
            <a:t>Período: 2009 - Noviembre 2015</a:t>
          </a:r>
          <a:endParaRPr lang="es-DO" sz="2400">
            <a:effectLst/>
          </a:endParaRPr>
        </a:p>
      </xdr:txBody>
    </xdr:sp>
    <xdr:clientData/>
  </xdr:twoCellAnchor>
  <xdr:twoCellAnchor editAs="oneCell">
    <xdr:from>
      <xdr:col>0</xdr:col>
      <xdr:colOff>339247</xdr:colOff>
      <xdr:row>0</xdr:row>
      <xdr:rowOff>156576</xdr:rowOff>
    </xdr:from>
    <xdr:to>
      <xdr:col>0</xdr:col>
      <xdr:colOff>1110128</xdr:colOff>
      <xdr:row>0</xdr:row>
      <xdr:rowOff>639350</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39247" y="156576"/>
          <a:ext cx="770881" cy="4827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9.xml><?xml version="1.0" encoding="utf-8"?>
<xdr:wsDr xmlns:xdr="http://schemas.openxmlformats.org/drawingml/2006/spreadsheetDrawing" xmlns:a="http://schemas.openxmlformats.org/drawingml/2006/main">
  <xdr:twoCellAnchor>
    <xdr:from>
      <xdr:col>0</xdr:col>
      <xdr:colOff>10437</xdr:colOff>
      <xdr:row>11</xdr:row>
      <xdr:rowOff>70198</xdr:rowOff>
    </xdr:from>
    <xdr:to>
      <xdr:col>13</xdr:col>
      <xdr:colOff>965548</xdr:colOff>
      <xdr:row>43</xdr:row>
      <xdr:rowOff>117431</xdr:rowOff>
    </xdr:to>
    <xdr:graphicFrame macro="">
      <xdr:nvGraphicFramePr>
        <xdr:cNvPr id="3" name="2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13048</xdr:colOff>
      <xdr:row>0</xdr:row>
      <xdr:rowOff>978596</xdr:rowOff>
    </xdr:to>
    <xdr:sp macro="" textlink="">
      <xdr:nvSpPr>
        <xdr:cNvPr id="5" name="6 Rectángulo redondeado"/>
        <xdr:cNvSpPr/>
      </xdr:nvSpPr>
      <xdr:spPr>
        <a:xfrm>
          <a:off x="0" y="0"/>
          <a:ext cx="12382500" cy="97859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Casos Aprobados en Proceso de Reinvestigación por Circunstancia del Suceso</a:t>
          </a:r>
        </a:p>
        <a:p>
          <a:pPr algn="ctr" eaLnBrk="1" fontAlgn="auto" latinLnBrk="0" hangingPunct="1"/>
          <a:r>
            <a:rPr lang="es-DO" sz="1600" b="1">
              <a:solidFill>
                <a:schemeClr val="lt1"/>
              </a:solidFill>
              <a:effectLst/>
              <a:latin typeface="+mn-lt"/>
              <a:ea typeface="+mn-ea"/>
              <a:cs typeface="+mn-cs"/>
            </a:rPr>
            <a:t>Período: 2009 - Noviembre</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2015</a:t>
          </a:r>
          <a:endParaRPr lang="es-DO" sz="2400">
            <a:effectLst/>
          </a:endParaRPr>
        </a:p>
      </xdr:txBody>
    </xdr:sp>
    <xdr:clientData/>
  </xdr:twoCellAnchor>
  <xdr:twoCellAnchor editAs="oneCell">
    <xdr:from>
      <xdr:col>0</xdr:col>
      <xdr:colOff>665445</xdr:colOff>
      <xdr:row>0</xdr:row>
      <xdr:rowOff>169623</xdr:rowOff>
    </xdr:from>
    <xdr:to>
      <xdr:col>1</xdr:col>
      <xdr:colOff>234862</xdr:colOff>
      <xdr:row>0</xdr:row>
      <xdr:rowOff>760173</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65445" y="169623"/>
          <a:ext cx="795924"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3</xdr:col>
      <xdr:colOff>515469</xdr:colOff>
      <xdr:row>14</xdr:row>
      <xdr:rowOff>44824</xdr:rowOff>
    </xdr:from>
    <xdr:to>
      <xdr:col>9</xdr:col>
      <xdr:colOff>341165</xdr:colOff>
      <xdr:row>37</xdr:row>
      <xdr:rowOff>156154</xdr:rowOff>
    </xdr:to>
    <xdr:pic>
      <xdr:nvPicPr>
        <xdr:cNvPr id="6" name="5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801469" y="2902324"/>
          <a:ext cx="4532167" cy="4492830"/>
        </a:xfrm>
        <a:prstGeom prst="rect">
          <a:avLst/>
        </a:prstGeom>
        <a:noFill/>
        <a:ln>
          <a:noFill/>
        </a:ln>
      </xdr:spPr>
    </xdr:pic>
    <xdr:clientData/>
  </xdr:twoCellAnchor>
  <xdr:twoCellAnchor>
    <xdr:from>
      <xdr:col>0</xdr:col>
      <xdr:colOff>22412</xdr:colOff>
      <xdr:row>4</xdr:row>
      <xdr:rowOff>22411</xdr:rowOff>
    </xdr:from>
    <xdr:to>
      <xdr:col>12</xdr:col>
      <xdr:colOff>717177</xdr:colOff>
      <xdr:row>53</xdr:row>
      <xdr:rowOff>67234</xdr:rowOff>
    </xdr:to>
    <xdr:sp macro="" textlink="">
      <xdr:nvSpPr>
        <xdr:cNvPr id="2" name="1 CuadroTexto"/>
        <xdr:cNvSpPr txBox="1"/>
      </xdr:nvSpPr>
      <xdr:spPr>
        <a:xfrm>
          <a:off x="22412" y="784411"/>
          <a:ext cx="10365441" cy="93793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300" b="1" i="0" baseline="0">
              <a:solidFill>
                <a:schemeClr val="dk1"/>
              </a:solidFill>
              <a:effectLst/>
              <a:latin typeface="+mn-lt"/>
              <a:ea typeface="+mn-ea"/>
              <a:cs typeface="+mn-cs"/>
            </a:rPr>
            <a:t>Art. 125  Serán beneficiarios del Seguro Familiar de Salud del Régimen Subsidiado:</a:t>
          </a:r>
        </a:p>
        <a:p>
          <a:r>
            <a:rPr lang="es-DO" sz="1300" b="0" i="0" baseline="0">
              <a:solidFill>
                <a:schemeClr val="dk1"/>
              </a:solidFill>
              <a:effectLst/>
              <a:latin typeface="+mn-lt"/>
              <a:ea typeface="+mn-ea"/>
              <a:cs typeface="+mn-cs"/>
            </a:rPr>
            <a:t>a) Los desempleados, urbanos y rurales, así como sus familiares;</a:t>
          </a:r>
        </a:p>
        <a:p>
          <a:pPr marL="0" marR="0" indent="0" algn="l" defTabSz="914400" eaLnBrk="1" fontAlgn="auto" latinLnBrk="0" hangingPunct="1">
            <a:lnSpc>
              <a:spcPct val="100000"/>
            </a:lnSpc>
            <a:spcBef>
              <a:spcPts val="0"/>
            </a:spcBef>
            <a:spcAft>
              <a:spcPts val="0"/>
            </a:spcAft>
            <a:buClrTx/>
            <a:buSzTx/>
            <a:buFontTx/>
            <a:buNone/>
            <a:tabLst/>
            <a:defRPr/>
          </a:pPr>
          <a:r>
            <a:rPr lang="es-DO" sz="1300" b="0" i="0" baseline="0">
              <a:solidFill>
                <a:schemeClr val="dk1"/>
              </a:solidFill>
              <a:effectLst/>
              <a:latin typeface="+mn-lt"/>
              <a:ea typeface="+mn-ea"/>
              <a:cs typeface="+mn-cs"/>
            </a:rPr>
            <a:t>b) Los discapacitados, urbanos y rurales, siempre que no dependan económicamente de un padre o tutor afiliado a otro régimen y tengan derecho a ser protegido en otro régimen;</a:t>
          </a:r>
        </a:p>
        <a:p>
          <a:pPr marL="0" marR="0" indent="0" algn="l" defTabSz="914400" eaLnBrk="1" fontAlgn="auto" latinLnBrk="0" hangingPunct="1">
            <a:lnSpc>
              <a:spcPct val="100000"/>
            </a:lnSpc>
            <a:spcBef>
              <a:spcPts val="0"/>
            </a:spcBef>
            <a:spcAft>
              <a:spcPts val="0"/>
            </a:spcAft>
            <a:buClrTx/>
            <a:buSzTx/>
            <a:buFontTx/>
            <a:buNone/>
            <a:tabLst/>
            <a:defRPr/>
          </a:pPr>
          <a:r>
            <a:rPr lang="es-DO" sz="1300" b="0" i="0" baseline="0">
              <a:solidFill>
                <a:schemeClr val="dk1"/>
              </a:solidFill>
              <a:effectLst/>
              <a:latin typeface="+mn-lt"/>
              <a:ea typeface="+mn-ea"/>
              <a:cs typeface="+mn-cs"/>
            </a:rPr>
            <a:t>c) Los indigentes, urbanos y rurales, así como sus familiares, bajo las modalidades solidarias que establecerá el Poder Ejecutivo a propuesta del Consejo Nacional de Seguridad Social.</a:t>
          </a:r>
        </a:p>
        <a:p>
          <a:pPr marL="0" marR="0" indent="0" algn="l" defTabSz="914400" eaLnBrk="1" fontAlgn="auto" latinLnBrk="0" hangingPunct="1">
            <a:lnSpc>
              <a:spcPct val="100000"/>
            </a:lnSpc>
            <a:spcBef>
              <a:spcPts val="0"/>
            </a:spcBef>
            <a:spcAft>
              <a:spcPts val="0"/>
            </a:spcAft>
            <a:buClrTx/>
            <a:buSzTx/>
            <a:buFontTx/>
            <a:buNone/>
            <a:tabLst/>
            <a:defRPr/>
          </a:pPr>
          <a:endParaRPr lang="es-DO" sz="13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n-US" sz="1300" b="1" i="0" baseline="0">
              <a:solidFill>
                <a:schemeClr val="dk1"/>
              </a:solidFill>
              <a:effectLst/>
              <a:latin typeface="+mn-lt"/>
              <a:ea typeface="+mn-ea"/>
              <a:cs typeface="+mn-cs"/>
            </a:rPr>
            <a:t>Art. 126.- Beneficiarios del Régimen Contributivo Subsidiado serán Beneficiarios del Seguro Familiar de Salud del Régimen Contributivo Subsidiado:</a:t>
          </a:r>
        </a:p>
        <a:p>
          <a:pPr marL="0" marR="0"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a) Los profesionales y técnicos que trabajan en forma independiente, así como sus familiares;</a:t>
          </a:r>
        </a:p>
        <a:p>
          <a:pPr marL="0" marR="0"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b) Los trabajadores por cuenta propia, urbanos y rurales, así como sus familiares;</a:t>
          </a:r>
        </a:p>
        <a:p>
          <a:pPr marL="0" marR="0"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c) Los trabajadores a domicilio, así como sus familiares;</a:t>
          </a:r>
        </a:p>
        <a:p>
          <a:pPr marL="0" marR="0"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d) Los jubilados y pensionados del Régimen Contributivo Subsidiado. </a:t>
          </a:r>
        </a:p>
        <a:p>
          <a:pPr marL="0" marR="0"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(Este régimen aun no se ha implementado)</a:t>
          </a:r>
        </a:p>
        <a:p>
          <a:endParaRPr lang="en-US" sz="1300" b="0" i="0" baseline="0">
            <a:solidFill>
              <a:schemeClr val="dk1"/>
            </a:solidFill>
            <a:effectLst/>
            <a:latin typeface="+mn-lt"/>
            <a:ea typeface="+mn-ea"/>
            <a:cs typeface="+mn-cs"/>
          </a:endParaRPr>
        </a:p>
        <a:p>
          <a:r>
            <a:rPr lang="en-US" sz="1300" b="1">
              <a:effectLst/>
            </a:rPr>
            <a:t>Régimen Especial Transitorio:</a:t>
          </a:r>
        </a:p>
        <a:p>
          <a:r>
            <a:rPr lang="en-US" sz="1300">
              <a:effectLst/>
            </a:rPr>
            <a:t>Corresponde a los Pensionados y Jubilados que reciben su pensión a través del Ministerio de Hacienda, que al mes de febrero de 2009  estuvieron oficialmente inscritos en la base de datos de dicha institución y no están acogidos a ningún otro régimen de financiamiento del SDSS.</a:t>
          </a:r>
          <a:r>
            <a:rPr lang="en-US" sz="1300" baseline="0">
              <a:effectLst/>
            </a:rPr>
            <a:t>  </a:t>
          </a:r>
          <a:r>
            <a:rPr lang="en-US" sz="1300">
              <a:effectLst/>
            </a:rPr>
            <a:t>En cumplimiento del Decreto 342-09 del Poder Ejecutivo dichos pensionados  tienen derecho a afiliarse en las ARS SENASA, SEMMA o Salud Segura.  </a:t>
          </a:r>
        </a:p>
        <a:p>
          <a:endParaRPr lang="en-US" sz="1300">
            <a:effectLst/>
          </a:endParaRPr>
        </a:p>
        <a:p>
          <a:r>
            <a:rPr lang="en-US" sz="1300" b="1">
              <a:solidFill>
                <a:schemeClr val="dk1"/>
              </a:solidFill>
              <a:effectLst/>
            </a:rPr>
            <a:t>Pago de Cápitas por los Afiliados al SFS (Cobertura de Afiliación)</a:t>
          </a:r>
        </a:p>
        <a:p>
          <a:endParaRPr lang="en-US" sz="1300" b="1">
            <a:solidFill>
              <a:schemeClr val="dk1"/>
            </a:solidFill>
            <a:effectLst/>
          </a:endParaRPr>
        </a:p>
        <a:p>
          <a:pPr lvl="0"/>
          <a:r>
            <a:rPr lang="es-DO" sz="1300" b="0">
              <a:solidFill>
                <a:sysClr val="windowText" lastClr="000000"/>
              </a:solidFill>
            </a:rPr>
            <a:t>La Tesorería de Seguridad Social realiza el pago a las Administradoras de Riesgos de Salud  por el Plan Básico de Salud  en base a un per cápita establecido por afiliado, lo que le da el derecho a cobertura . Esa</a:t>
          </a:r>
          <a:r>
            <a:rPr lang="es-DO" sz="1300" b="0" baseline="0">
              <a:solidFill>
                <a:sysClr val="windowText" lastClr="000000"/>
              </a:solidFill>
            </a:rPr>
            <a:t> </a:t>
          </a:r>
          <a:r>
            <a:rPr lang="es-DO" sz="1300" b="0">
              <a:solidFill>
                <a:sysClr val="windowText" lastClr="000000"/>
              </a:solidFill>
            </a:rPr>
            <a:t>Cobertura de Afiliación  en un período determinado puede contener pagos de cápitas atrasados,  de igual forma pagos correspondientes a ese período corriente pueden ser efectuados en fechas posteriores, ya sea porque el empleador no transfirió su pago de notificación  o lo hizo de manera tardía, además puede contener  el pago de cápitas de  Conservación Temporal del Derecho a Servicios de Salud, de los afiliados que han quedado privado de un trabajo remunerado y que mantienen el derecho a prestaciones en especie por 60 días,  en virtud de las disposiciones del artículo 124 de la Ley 87-01.  </a:t>
          </a:r>
        </a:p>
        <a:p>
          <a:pPr lvl="0"/>
          <a:r>
            <a:rPr lang="es-DO" sz="1300" b="0">
              <a:solidFill>
                <a:sysClr val="windowText" lastClr="000000"/>
              </a:solidFill>
            </a:rPr>
            <a:t>Por último es importante aclarar que  la cantidad de afiliados titulares  del Seguro Familiar de Salud , los afiliados  cotizantes del Seguro de Vejez, Discapacidad y Sobrevivencia y los del Seguro de Riesgos  Laborales  del Régimen Contributivo , que en principio pudieran coincidir, con regularidad muestran   algunas diferencias debido a los siguientes aspectos:   </a:t>
          </a:r>
        </a:p>
        <a:p>
          <a:pPr lvl="0"/>
          <a:endParaRPr lang="es-DO" sz="1300" b="0">
            <a:solidFill>
              <a:sysClr val="windowText" lastClr="000000"/>
            </a:solidFill>
          </a:endParaRPr>
        </a:p>
        <a:p>
          <a:pPr lvl="0"/>
          <a:r>
            <a:rPr lang="es-DO" sz="1300" b="1">
              <a:solidFill>
                <a:sysClr val="windowText" lastClr="000000"/>
              </a:solidFill>
            </a:rPr>
            <a:t>                a)</a:t>
          </a:r>
          <a:r>
            <a:rPr lang="es-DO" sz="1300" b="0">
              <a:solidFill>
                <a:sysClr val="windowText" lastClr="000000"/>
              </a:solidFill>
            </a:rPr>
            <a:t>   De acuerdo al Art. 13. del Reglamento sobre Aspectos Generales de Afiliación al Seguro Familiar de Salud del Régimen Contributivo , cuando los dos cónyuges o compañeros de vida son afiliados cotizantes en el SFS, solo uno de ellos podrá constituirse en afiliado titular y deberán estar afiliados a la misma ARS/SENASA. El otro cónyuge o compañero de vida pasará a formar parte del núcleo familiar de aquel que haya sido elegido por ellos como afiliado titular, por tanto el trabajador afiliado que en el SFS pasa a ser dependiente cotizante , en el SVDS y SRL es afiliado cotizante.     </a:t>
          </a:r>
        </a:p>
        <a:p>
          <a:pPr lvl="0"/>
          <a:r>
            <a:rPr lang="es-DO" sz="1300" b="0">
              <a:solidFill>
                <a:sysClr val="windowText" lastClr="000000"/>
              </a:solidFill>
            </a:rPr>
            <a:t>                </a:t>
          </a:r>
          <a:r>
            <a:rPr lang="es-DO" sz="1300" b="1">
              <a:solidFill>
                <a:sysClr val="windowText" lastClr="000000"/>
              </a:solidFill>
            </a:rPr>
            <a:t>b)</a:t>
          </a:r>
          <a:r>
            <a:rPr lang="es-DO" sz="1300" b="0">
              <a:solidFill>
                <a:sysClr val="windowText" lastClr="000000"/>
              </a:solidFill>
            </a:rPr>
            <a:t> El Reglamento sobre el Seguro de Riesgos Laborales, en su Art. 14 establece que dicho reglamento  será aplicado a todos los empleadores  que tengan dos o más trabajadores , incluyendo a los familiares del empleador que estén en la nómina de la empresa</a:t>
          </a:r>
          <a:r>
            <a:rPr lang="es-DO" sz="1300" b="0" baseline="0">
              <a:solidFill>
                <a:sysClr val="windowText" lastClr="000000"/>
              </a:solidFill>
            </a:rPr>
            <a:t> (</a:t>
          </a:r>
          <a:r>
            <a:rPr lang="es-DO" sz="1300" b="0">
              <a:solidFill>
                <a:sysClr val="windowText" lastClr="000000"/>
              </a:solidFill>
            </a:rPr>
            <a:t>aunque muchas empresa con un solo empleado están</a:t>
          </a:r>
          <a:r>
            <a:rPr lang="es-DO" sz="1300" b="0" baseline="0">
              <a:solidFill>
                <a:sysClr val="windowText" lastClr="000000"/>
              </a:solidFill>
            </a:rPr>
            <a:t> afiliadas</a:t>
          </a:r>
          <a:r>
            <a:rPr lang="es-DO" sz="1300" b="0">
              <a:solidFill>
                <a:sysClr val="windowText" lastClr="000000"/>
              </a:solidFill>
            </a:rPr>
            <a:t> .</a:t>
          </a:r>
        </a:p>
        <a:p>
          <a:pPr lvl="0"/>
          <a:r>
            <a:rPr lang="es-DO" sz="1300" b="1">
              <a:solidFill>
                <a:sysClr val="windowText" lastClr="000000"/>
              </a:solidFill>
            </a:rPr>
            <a:t>                c) </a:t>
          </a:r>
          <a:r>
            <a:rPr lang="es-DO" sz="1300" b="0">
              <a:solidFill>
                <a:sysClr val="windowText" lastClr="000000"/>
              </a:solidFill>
            </a:rPr>
            <a:t>Como solo existe una Administradora de Riesgos Laborales, cuando el empleador registra la nómina, los trabajadores son afiliados inmediatamente sin embargo en el caso del SVDS si el trabajador afiliado no ha escogido  una AFP y el empleador paga  la cotización esta queda pendiente por individualizar hasta el trabajador elija una o se le asigne  de manera automática.                                                            </a:t>
          </a:r>
        </a:p>
      </xdr:txBody>
    </xdr:sp>
    <xdr:clientData/>
  </xdr:twoCellAnchor>
  <xdr:twoCellAnchor>
    <xdr:from>
      <xdr:col>0</xdr:col>
      <xdr:colOff>0</xdr:colOff>
      <xdr:row>0</xdr:row>
      <xdr:rowOff>0</xdr:rowOff>
    </xdr:from>
    <xdr:to>
      <xdr:col>13</xdr:col>
      <xdr:colOff>0</xdr:colOff>
      <xdr:row>3</xdr:row>
      <xdr:rowOff>123265</xdr:rowOff>
    </xdr:to>
    <xdr:sp macro="" textlink="">
      <xdr:nvSpPr>
        <xdr:cNvPr id="4" name="3 Rectángulo redondeado"/>
        <xdr:cNvSpPr/>
      </xdr:nvSpPr>
      <xdr:spPr>
        <a:xfrm>
          <a:off x="0" y="0"/>
          <a:ext cx="10432676" cy="69476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Afiliación al Seguro Familiar de Salud (SFS) </a:t>
          </a:r>
          <a:endParaRPr lang="es-DO" sz="4400">
            <a:effectLst/>
          </a:endParaRPr>
        </a:p>
      </xdr:txBody>
    </xdr:sp>
    <xdr:clientData/>
  </xdr:twoCellAnchor>
  <xdr:twoCellAnchor editAs="oneCell">
    <xdr:from>
      <xdr:col>0</xdr:col>
      <xdr:colOff>683559</xdr:colOff>
      <xdr:row>0</xdr:row>
      <xdr:rowOff>100852</xdr:rowOff>
    </xdr:from>
    <xdr:to>
      <xdr:col>1</xdr:col>
      <xdr:colOff>459441</xdr:colOff>
      <xdr:row>2</xdr:row>
      <xdr:rowOff>180893</xdr:rowOff>
    </xdr:to>
    <xdr:pic>
      <xdr:nvPicPr>
        <xdr:cNvPr id="5" name="1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21095" t="10323" r="18088" b="23349"/>
        <a:stretch/>
      </xdr:blipFill>
      <xdr:spPr bwMode="auto">
        <a:xfrm>
          <a:off x="683559" y="100852"/>
          <a:ext cx="537882" cy="4610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0.xml><?xml version="1.0" encoding="utf-8"?>
<xdr:wsDr xmlns:xdr="http://schemas.openxmlformats.org/drawingml/2006/spreadsheetDrawing" xmlns:a="http://schemas.openxmlformats.org/drawingml/2006/main">
  <xdr:twoCellAnchor editAs="oneCell">
    <xdr:from>
      <xdr:col>2</xdr:col>
      <xdr:colOff>704477</xdr:colOff>
      <xdr:row>8</xdr:row>
      <xdr:rowOff>22038</xdr:rowOff>
    </xdr:from>
    <xdr:to>
      <xdr:col>9</xdr:col>
      <xdr:colOff>368300</xdr:colOff>
      <xdr:row>30</xdr:row>
      <xdr:rowOff>92075</xdr:rowOff>
    </xdr:to>
    <xdr:pic>
      <xdr:nvPicPr>
        <xdr:cNvPr id="2"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228477" y="1546038"/>
          <a:ext cx="4864473" cy="4261037"/>
        </a:xfrm>
        <a:prstGeom prst="rect">
          <a:avLst/>
        </a:prstGeom>
        <a:noFill/>
        <a:ln>
          <a:noFill/>
        </a:ln>
      </xdr:spPr>
    </xdr:pic>
    <xdr:clientData/>
  </xdr:twoCellAnchor>
  <xdr:twoCellAnchor>
    <xdr:from>
      <xdr:col>0</xdr:col>
      <xdr:colOff>28575</xdr:colOff>
      <xdr:row>4</xdr:row>
      <xdr:rowOff>28575</xdr:rowOff>
    </xdr:from>
    <xdr:to>
      <xdr:col>11</xdr:col>
      <xdr:colOff>695325</xdr:colOff>
      <xdr:row>32</xdr:row>
      <xdr:rowOff>123825</xdr:rowOff>
    </xdr:to>
    <xdr:sp macro="" textlink="">
      <xdr:nvSpPr>
        <xdr:cNvPr id="3" name="1 CuadroTexto"/>
        <xdr:cNvSpPr txBox="1"/>
      </xdr:nvSpPr>
      <xdr:spPr>
        <a:xfrm>
          <a:off x="28575" y="790575"/>
          <a:ext cx="8915400" cy="5429250"/>
        </a:xfrm>
        <a:prstGeom prst="rect">
          <a:avLst/>
        </a:prstGeom>
        <a:solidFill>
          <a:sysClr val="window" lastClr="FFFFFF"/>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Las Comisiones Médicas Nacional y Regional (CMNR), fueron concebidas atendiendo el mandato del artículo 49 de la Ley 87-01, el cual establece que el grado de discapacidad será determinado por las Comisiones Médicas Regionales de acuerdo a la normas de evaluación y calificación del grado de discapacidad, elaboradas aprobadas por el Consejo Nacional de Seguridad Social (CNSS).  La Comisión Médica Nacional está constituida por tres médicos designados por el CNSS. Funge como instancia de apelación y tiene como función revisar, validar o rechazar los dictámenes de las Comisiones Médicas Regionales, por apelaciones interpuestas por los afiliados y/o compañías de seguros.</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Las CMNR comenzaron a operar el 1ero de octubre del año 2008, e iniciaron sus funciones con los expedientes de solicitud de evaluación y calificación de grado de discapacidad tramitados a partir de esa fecha, dando cumplimiento de esa manera a la Resolución 192-05 del CNSS, la cual establece que los expedientes sometidos hasta el 30 de septiembre de 2008 por las Administradoras de Fondos de Pensiones (AFP), que estén en proceso de evaluación en el esquema transitorio aprobado por el CNSS  mediante Resolución 97-03 del 5 de febrero de 2004, se continuarán evaluando por el mismo esquema hasta su conclusión final.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Desde el inicio de sus operaciones hasta noviembre de 2015 las Comisiones Médicas Regionales han recibido 11,618 solicitudes de evaluación de grado de discapacidad permanente, de los cuales 9,789 han sido emitidos y notificados dictámenes a las Comisiones Técnicas de Discapacidad y a las AFP correspondientes, representando un 84.3% del total de las solicitudes.</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De los 9,789 dictámenes emitidos y notificados,  2,345 han sido apelados representando un 24%.  Dichas apelaciones han sido realizadas en un 68.57% por afiliados (1,608); un 27.85% por las compañías aseguradoras (653) y  84 casos con orígenes no especificados, equivalente a un 3.58%. </a:t>
          </a:r>
        </a:p>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                                                                                                                                                                               </a:t>
          </a:r>
          <a:r>
            <a:rPr lang="es-DO" sz="1400" b="0" baseline="0">
              <a:solidFill>
                <a:sysClr val="windowText" lastClr="000000"/>
              </a:solidFill>
            </a:rPr>
            <a:t>                </a:t>
          </a:r>
          <a:endParaRPr lang="es-DO" sz="1400" b="0">
            <a:solidFill>
              <a:sysClr val="windowText" lastClr="000000"/>
            </a:solidFill>
          </a:endParaRPr>
        </a:p>
      </xdr:txBody>
    </xdr:sp>
    <xdr:clientData/>
  </xdr:twoCellAnchor>
  <xdr:twoCellAnchor>
    <xdr:from>
      <xdr:col>0</xdr:col>
      <xdr:colOff>0</xdr:colOff>
      <xdr:row>0</xdr:row>
      <xdr:rowOff>0</xdr:rowOff>
    </xdr:from>
    <xdr:to>
      <xdr:col>12</xdr:col>
      <xdr:colOff>0</xdr:colOff>
      <xdr:row>3</xdr:row>
      <xdr:rowOff>133350</xdr:rowOff>
    </xdr:to>
    <xdr:sp macro="" textlink="">
      <xdr:nvSpPr>
        <xdr:cNvPr id="4" name="4 Rectángulo redondeado"/>
        <xdr:cNvSpPr/>
      </xdr:nvSpPr>
      <xdr:spPr>
        <a:xfrm>
          <a:off x="0" y="0"/>
          <a:ext cx="10219765" cy="70485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Estadística</a:t>
          </a:r>
          <a:r>
            <a:rPr lang="es-DO" sz="2400" b="1" baseline="0">
              <a:solidFill>
                <a:schemeClr val="lt1"/>
              </a:solidFill>
              <a:effectLst/>
              <a:latin typeface="+mn-lt"/>
              <a:ea typeface="+mn-ea"/>
              <a:cs typeface="+mn-cs"/>
            </a:rPr>
            <a:t> Comisiones Médicas Nacional y Regional</a:t>
          </a:r>
          <a:endParaRPr lang="es-DO" sz="2400" b="1">
            <a:solidFill>
              <a:schemeClr val="lt1"/>
            </a:solidFill>
            <a:effectLst/>
            <a:latin typeface="+mn-lt"/>
            <a:ea typeface="+mn-ea"/>
            <a:cs typeface="+mn-cs"/>
          </a:endParaRPr>
        </a:p>
      </xdr:txBody>
    </xdr:sp>
    <xdr:clientData/>
  </xdr:twoCellAnchor>
  <xdr:twoCellAnchor editAs="oneCell">
    <xdr:from>
      <xdr:col>0</xdr:col>
      <xdr:colOff>264459</xdr:colOff>
      <xdr:row>0</xdr:row>
      <xdr:rowOff>54349</xdr:rowOff>
    </xdr:from>
    <xdr:to>
      <xdr:col>1</xdr:col>
      <xdr:colOff>173783</xdr:colOff>
      <xdr:row>2</xdr:row>
      <xdr:rowOff>171450</xdr:rowOff>
    </xdr:to>
    <xdr:pic>
      <xdr:nvPicPr>
        <xdr:cNvPr id="8" name="9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4459" y="54349"/>
          <a:ext cx="671324" cy="4981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1.xml><?xml version="1.0" encoding="utf-8"?>
<xdr:wsDr xmlns:xdr="http://schemas.openxmlformats.org/drawingml/2006/spreadsheetDrawing" xmlns:a="http://schemas.openxmlformats.org/drawingml/2006/main">
  <xdr:twoCellAnchor>
    <xdr:from>
      <xdr:col>0</xdr:col>
      <xdr:colOff>33618</xdr:colOff>
      <xdr:row>14</xdr:row>
      <xdr:rowOff>100853</xdr:rowOff>
    </xdr:from>
    <xdr:to>
      <xdr:col>13</xdr:col>
      <xdr:colOff>571500</xdr:colOff>
      <xdr:row>49</xdr:row>
      <xdr:rowOff>168089</xdr:rowOff>
    </xdr:to>
    <xdr:graphicFrame macro="">
      <xdr:nvGraphicFramePr>
        <xdr:cNvPr id="3"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0</xdr:row>
      <xdr:rowOff>851647</xdr:rowOff>
    </xdr:to>
    <xdr:sp macro="" textlink="">
      <xdr:nvSpPr>
        <xdr:cNvPr id="4" name="4 Rectángulo redondeado"/>
        <xdr:cNvSpPr/>
      </xdr:nvSpPr>
      <xdr:spPr>
        <a:xfrm>
          <a:off x="0" y="0"/>
          <a:ext cx="12315265" cy="851647"/>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Solicitudes Recibidas en las Comisiones Médicas por Estatus</a:t>
          </a:r>
        </a:p>
        <a:p>
          <a:pPr algn="ctr" eaLnBrk="1" fontAlgn="auto" latinLnBrk="0" hangingPunct="1"/>
          <a:r>
            <a:rPr lang="es-DO" sz="1800" b="1">
              <a:solidFill>
                <a:schemeClr val="lt1"/>
              </a:solidFill>
              <a:effectLst/>
              <a:latin typeface="+mn-lt"/>
              <a:ea typeface="+mn-ea"/>
              <a:cs typeface="+mn-cs"/>
            </a:rPr>
            <a:t>Período: Octubre 2008 -  Noviembre 2015</a:t>
          </a:r>
        </a:p>
      </xdr:txBody>
    </xdr:sp>
    <xdr:clientData/>
  </xdr:twoCellAnchor>
  <xdr:oneCellAnchor>
    <xdr:from>
      <xdr:col>0</xdr:col>
      <xdr:colOff>347383</xdr:colOff>
      <xdr:row>0</xdr:row>
      <xdr:rowOff>190499</xdr:rowOff>
    </xdr:from>
    <xdr:ext cx="806825" cy="549089"/>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47383" y="190499"/>
          <a:ext cx="806825" cy="5490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92.xml><?xml version="1.0" encoding="utf-8"?>
<c:userShapes xmlns:c="http://schemas.openxmlformats.org/drawingml/2006/chart">
  <cdr:relSizeAnchor xmlns:cdr="http://schemas.openxmlformats.org/drawingml/2006/chartDrawing">
    <cdr:from>
      <cdr:x>0.02769</cdr:x>
      <cdr:y>0.91865</cdr:y>
    </cdr:from>
    <cdr:to>
      <cdr:x>0.27503</cdr:x>
      <cdr:y>0.97818</cdr:y>
    </cdr:to>
    <cdr:sp macro="" textlink="">
      <cdr:nvSpPr>
        <cdr:cNvPr id="2" name="CuadroTexto 1"/>
        <cdr:cNvSpPr txBox="1"/>
      </cdr:nvSpPr>
      <cdr:spPr>
        <a:xfrm xmlns:a="http://schemas.openxmlformats.org/drawingml/2006/main">
          <a:off x="289846" y="5394219"/>
          <a:ext cx="2588679" cy="34951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400" b="1"/>
            <a:t>Fuente:</a:t>
          </a:r>
          <a:r>
            <a:rPr lang="es-ES" sz="1400" b="1" baseline="0"/>
            <a:t> </a:t>
          </a:r>
          <a:r>
            <a:rPr lang="es-ES" sz="1400" baseline="0"/>
            <a:t>CMNR</a:t>
          </a:r>
          <a:endParaRPr lang="es-ES" sz="1400"/>
        </a:p>
      </cdr:txBody>
    </cdr:sp>
  </cdr:relSizeAnchor>
</c:userShapes>
</file>

<file path=xl/drawings/drawing193.xml><?xml version="1.0" encoding="utf-8"?>
<xdr:wsDr xmlns:xdr="http://schemas.openxmlformats.org/drawingml/2006/spreadsheetDrawing" xmlns:a="http://schemas.openxmlformats.org/drawingml/2006/main">
  <xdr:twoCellAnchor>
    <xdr:from>
      <xdr:col>0</xdr:col>
      <xdr:colOff>47625</xdr:colOff>
      <xdr:row>13</xdr:row>
      <xdr:rowOff>142875</xdr:rowOff>
    </xdr:from>
    <xdr:to>
      <xdr:col>12</xdr:col>
      <xdr:colOff>444500</xdr:colOff>
      <xdr:row>49</xdr:row>
      <xdr:rowOff>31750</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571500</xdr:colOff>
      <xdr:row>0</xdr:row>
      <xdr:rowOff>1143000</xdr:rowOff>
    </xdr:to>
    <xdr:sp macro="" textlink="">
      <xdr:nvSpPr>
        <xdr:cNvPr id="6" name="6 Rectángulo redondeado"/>
        <xdr:cNvSpPr/>
      </xdr:nvSpPr>
      <xdr:spPr>
        <a:xfrm>
          <a:off x="0" y="0"/>
          <a:ext cx="13747750" cy="11430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Apelaciones de Dictámenes de la CMNR</a:t>
          </a:r>
        </a:p>
        <a:p>
          <a:pPr algn="ctr" eaLnBrk="1" fontAlgn="auto" latinLnBrk="0" hangingPunct="1"/>
          <a:r>
            <a:rPr lang="es-DO" sz="2400" b="1">
              <a:solidFill>
                <a:schemeClr val="lt1"/>
              </a:solidFill>
              <a:effectLst/>
              <a:latin typeface="+mn-lt"/>
              <a:ea typeface="+mn-ea"/>
              <a:cs typeface="+mn-cs"/>
            </a:rPr>
            <a:t>Período: Octubre 2009 -  Noviembre 2015</a:t>
          </a:r>
          <a:endParaRPr lang="es-DO" sz="3600">
            <a:effectLst/>
          </a:endParaRPr>
        </a:p>
      </xdr:txBody>
    </xdr:sp>
    <xdr:clientData/>
  </xdr:twoCellAnchor>
  <xdr:oneCellAnchor>
    <xdr:from>
      <xdr:col>0</xdr:col>
      <xdr:colOff>793750</xdr:colOff>
      <xdr:row>0</xdr:row>
      <xdr:rowOff>95250</xdr:rowOff>
    </xdr:from>
    <xdr:ext cx="1106346" cy="752930"/>
    <xdr:pic>
      <xdr:nvPicPr>
        <xdr:cNvPr id="7"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93750" y="95250"/>
          <a:ext cx="1106346" cy="7529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777875</xdr:colOff>
      <xdr:row>46</xdr:row>
      <xdr:rowOff>95250</xdr:rowOff>
    </xdr:from>
    <xdr:to>
      <xdr:col>3</xdr:col>
      <xdr:colOff>47625</xdr:colOff>
      <xdr:row>49</xdr:row>
      <xdr:rowOff>31750</xdr:rowOff>
    </xdr:to>
    <xdr:sp macro="" textlink="">
      <xdr:nvSpPr>
        <xdr:cNvPr id="3" name="CuadroTexto 2"/>
        <xdr:cNvSpPr txBox="1"/>
      </xdr:nvSpPr>
      <xdr:spPr>
        <a:xfrm>
          <a:off x="777875" y="11033125"/>
          <a:ext cx="3698875" cy="508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800" b="1"/>
            <a:t>Fuente: </a:t>
          </a:r>
          <a:r>
            <a:rPr lang="es-ES" sz="1800"/>
            <a:t>CMNR</a:t>
          </a:r>
        </a:p>
      </xdr:txBody>
    </xdr:sp>
    <xdr:clientData/>
  </xdr:twoCellAnchor>
</xdr:wsDr>
</file>

<file path=xl/drawings/drawing194.xml><?xml version="1.0" encoding="utf-8"?>
<xdr:wsDr xmlns:xdr="http://schemas.openxmlformats.org/drawingml/2006/spreadsheetDrawing" xmlns:a="http://schemas.openxmlformats.org/drawingml/2006/main">
  <xdr:twoCellAnchor>
    <xdr:from>
      <xdr:col>0</xdr:col>
      <xdr:colOff>0</xdr:colOff>
      <xdr:row>11</xdr:row>
      <xdr:rowOff>9524</xdr:rowOff>
    </xdr:from>
    <xdr:to>
      <xdr:col>10</xdr:col>
      <xdr:colOff>409575</xdr:colOff>
      <xdr:row>36</xdr:row>
      <xdr:rowOff>114300</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9525</xdr:colOff>
      <xdr:row>0</xdr:row>
      <xdr:rowOff>723900</xdr:rowOff>
    </xdr:to>
    <xdr:sp macro="" textlink="">
      <xdr:nvSpPr>
        <xdr:cNvPr id="4" name="4 Rectángulo redondeado"/>
        <xdr:cNvSpPr/>
      </xdr:nvSpPr>
      <xdr:spPr>
        <a:xfrm>
          <a:off x="0" y="0"/>
          <a:ext cx="9829800" cy="7239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Apelaciones por Entidad Receptora y Orígen</a:t>
          </a:r>
        </a:p>
        <a:p>
          <a:pPr algn="ctr" eaLnBrk="1" fontAlgn="auto" latinLnBrk="0" hangingPunct="1"/>
          <a:r>
            <a:rPr lang="es-DO" sz="1600" b="1">
              <a:solidFill>
                <a:schemeClr val="lt1"/>
              </a:solidFill>
              <a:effectLst/>
              <a:latin typeface="+mn-lt"/>
              <a:ea typeface="+mn-ea"/>
              <a:cs typeface="+mn-cs"/>
            </a:rPr>
            <a:t> Período: Octubre 2009 - Noviembre 2015</a:t>
          </a:r>
        </a:p>
      </xdr:txBody>
    </xdr:sp>
    <xdr:clientData/>
  </xdr:twoCellAnchor>
  <xdr:oneCellAnchor>
    <xdr:from>
      <xdr:col>0</xdr:col>
      <xdr:colOff>523875</xdr:colOff>
      <xdr:row>0</xdr:row>
      <xdr:rowOff>85725</xdr:rowOff>
    </xdr:from>
    <xdr:ext cx="595992" cy="405606"/>
    <xdr:pic>
      <xdr:nvPicPr>
        <xdr:cNvPr id="6" name="9 Imagen" descr="logo_2x4.bmp"/>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23875" y="85725"/>
          <a:ext cx="595992" cy="4056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523875</xdr:colOff>
      <xdr:row>0</xdr:row>
      <xdr:rowOff>57150</xdr:rowOff>
    </xdr:from>
    <xdr:to>
      <xdr:col>1</xdr:col>
      <xdr:colOff>359024</xdr:colOff>
      <xdr:row>0</xdr:row>
      <xdr:rowOff>514350</xdr:rowOff>
    </xdr:to>
    <xdr:pic>
      <xdr:nvPicPr>
        <xdr:cNvPr id="5" name="9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23875" y="57150"/>
          <a:ext cx="616199"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5.xml><?xml version="1.0" encoding="utf-8"?>
<c:userShapes xmlns:c="http://schemas.openxmlformats.org/drawingml/2006/chart">
  <cdr:relSizeAnchor xmlns:cdr="http://schemas.openxmlformats.org/drawingml/2006/chartDrawing">
    <cdr:from>
      <cdr:x>0.03251</cdr:x>
      <cdr:y>0.92955</cdr:y>
    </cdr:from>
    <cdr:to>
      <cdr:x>0.32709</cdr:x>
      <cdr:y>0.98239</cdr:y>
    </cdr:to>
    <cdr:sp macro="" textlink="">
      <cdr:nvSpPr>
        <cdr:cNvPr id="2" name="CuadroTexto 1"/>
        <cdr:cNvSpPr txBox="1"/>
      </cdr:nvSpPr>
      <cdr:spPr>
        <a:xfrm xmlns:a="http://schemas.openxmlformats.org/drawingml/2006/main">
          <a:off x="314325" y="4524375"/>
          <a:ext cx="2847975" cy="2571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100" b="1"/>
            <a:t>Fuente: </a:t>
          </a:r>
          <a:r>
            <a:rPr lang="es-ES" sz="1100"/>
            <a:t>CMNR</a:t>
          </a:r>
        </a:p>
      </cdr:txBody>
    </cdr:sp>
  </cdr:relSizeAnchor>
</c:userShapes>
</file>

<file path=xl/drawings/drawing196.xml><?xml version="1.0" encoding="utf-8"?>
<xdr:wsDr xmlns:xdr="http://schemas.openxmlformats.org/drawingml/2006/spreadsheetDrawing" xmlns:a="http://schemas.openxmlformats.org/drawingml/2006/main">
  <xdr:twoCellAnchor editAs="oneCell">
    <xdr:from>
      <xdr:col>3</xdr:col>
      <xdr:colOff>4142</xdr:colOff>
      <xdr:row>5</xdr:row>
      <xdr:rowOff>164824</xdr:rowOff>
    </xdr:from>
    <xdr:to>
      <xdr:col>5</xdr:col>
      <xdr:colOff>778566</xdr:colOff>
      <xdr:row>21</xdr:row>
      <xdr:rowOff>124239</xdr:rowOff>
    </xdr:to>
    <xdr:pic>
      <xdr:nvPicPr>
        <xdr:cNvPr id="2"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290142" y="1117324"/>
          <a:ext cx="2787098" cy="3007415"/>
        </a:xfrm>
        <a:prstGeom prst="rect">
          <a:avLst/>
        </a:prstGeom>
        <a:noFill/>
        <a:ln>
          <a:noFill/>
        </a:ln>
      </xdr:spPr>
    </xdr:pic>
    <xdr:clientData/>
  </xdr:twoCellAnchor>
  <xdr:twoCellAnchor>
    <xdr:from>
      <xdr:col>0</xdr:col>
      <xdr:colOff>735082</xdr:colOff>
      <xdr:row>6</xdr:row>
      <xdr:rowOff>170210</xdr:rowOff>
    </xdr:from>
    <xdr:to>
      <xdr:col>7</xdr:col>
      <xdr:colOff>140805</xdr:colOff>
      <xdr:row>18</xdr:row>
      <xdr:rowOff>49696</xdr:rowOff>
    </xdr:to>
    <xdr:sp macro="" textlink="">
      <xdr:nvSpPr>
        <xdr:cNvPr id="3" name="1 CuadroTexto"/>
        <xdr:cNvSpPr txBox="1"/>
      </xdr:nvSpPr>
      <xdr:spPr>
        <a:xfrm>
          <a:off x="735082" y="1313210"/>
          <a:ext cx="6363114" cy="21654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ES" sz="4000" b="1" baseline="0">
              <a:solidFill>
                <a:srgbClr val="0070C0"/>
              </a:solidFill>
              <a:effectLst/>
              <a:latin typeface="+mn-lt"/>
              <a:ea typeface="+mn-ea"/>
              <a:cs typeface="+mn-cs"/>
            </a:rPr>
            <a:t>ESTADÍSTICAS </a:t>
          </a:r>
        </a:p>
        <a:p>
          <a:pPr marL="0" marR="0" indent="0" algn="ctr" defTabSz="914400" eaLnBrk="1" fontAlgn="auto" latinLnBrk="0" hangingPunct="1">
            <a:lnSpc>
              <a:spcPct val="100000"/>
            </a:lnSpc>
            <a:spcBef>
              <a:spcPts val="0"/>
            </a:spcBef>
            <a:spcAft>
              <a:spcPts val="0"/>
            </a:spcAft>
            <a:buClrTx/>
            <a:buSzTx/>
            <a:buFontTx/>
            <a:buNone/>
            <a:tabLst/>
            <a:defRPr/>
          </a:pPr>
          <a:r>
            <a:rPr lang="es-ES" sz="2800" b="1" baseline="0">
              <a:solidFill>
                <a:schemeClr val="accent3">
                  <a:lumMod val="50000"/>
                </a:schemeClr>
              </a:solidFill>
              <a:latin typeface="+mn-lt"/>
              <a:ea typeface="+mn-ea"/>
              <a:cs typeface="+mn-cs"/>
            </a:rPr>
            <a:t>Convenio Bilateral de Seguridad Social entre España y la República Dominicana.</a:t>
          </a:r>
        </a:p>
      </xdr:txBody>
    </xdr:sp>
    <xdr:clientData/>
  </xdr:twoCellAnchor>
  <xdr:twoCellAnchor editAs="oneCell">
    <xdr:from>
      <xdr:col>0</xdr:col>
      <xdr:colOff>152400</xdr:colOff>
      <xdr:row>1</xdr:row>
      <xdr:rowOff>19051</xdr:rowOff>
    </xdr:from>
    <xdr:to>
      <xdr:col>1</xdr:col>
      <xdr:colOff>144462</xdr:colOff>
      <xdr:row>3</xdr:row>
      <xdr:rowOff>114301</xdr:rowOff>
    </xdr:to>
    <xdr:pic>
      <xdr:nvPicPr>
        <xdr:cNvPr id="4"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152400" y="209551"/>
          <a:ext cx="754062"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7.xml><?xml version="1.0" encoding="utf-8"?>
<xdr:wsDr xmlns:xdr="http://schemas.openxmlformats.org/drawingml/2006/spreadsheetDrawing" xmlns:a="http://schemas.openxmlformats.org/drawingml/2006/main">
  <xdr:twoCellAnchor editAs="oneCell">
    <xdr:from>
      <xdr:col>2</xdr:col>
      <xdr:colOff>704477</xdr:colOff>
      <xdr:row>8</xdr:row>
      <xdr:rowOff>22038</xdr:rowOff>
    </xdr:from>
    <xdr:to>
      <xdr:col>9</xdr:col>
      <xdr:colOff>368300</xdr:colOff>
      <xdr:row>30</xdr:row>
      <xdr:rowOff>92075</xdr:rowOff>
    </xdr:to>
    <xdr:pic>
      <xdr:nvPicPr>
        <xdr:cNvPr id="2"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228477" y="1546038"/>
          <a:ext cx="4864473" cy="4261037"/>
        </a:xfrm>
        <a:prstGeom prst="rect">
          <a:avLst/>
        </a:prstGeom>
        <a:noFill/>
        <a:ln>
          <a:noFill/>
        </a:ln>
      </xdr:spPr>
    </xdr:pic>
    <xdr:clientData/>
  </xdr:twoCellAnchor>
  <xdr:twoCellAnchor>
    <xdr:from>
      <xdr:col>0</xdr:col>
      <xdr:colOff>57149</xdr:colOff>
      <xdr:row>4</xdr:row>
      <xdr:rowOff>57150</xdr:rowOff>
    </xdr:from>
    <xdr:to>
      <xdr:col>11</xdr:col>
      <xdr:colOff>657225</xdr:colOff>
      <xdr:row>34</xdr:row>
      <xdr:rowOff>85725</xdr:rowOff>
    </xdr:to>
    <xdr:sp macro="" textlink="">
      <xdr:nvSpPr>
        <xdr:cNvPr id="3" name="1 CuadroTexto"/>
        <xdr:cNvSpPr txBox="1"/>
      </xdr:nvSpPr>
      <xdr:spPr>
        <a:xfrm>
          <a:off x="57149" y="819150"/>
          <a:ext cx="9086851" cy="5743575"/>
        </a:xfrm>
        <a:prstGeom prst="rect">
          <a:avLst/>
        </a:prstGeom>
        <a:solidFill>
          <a:sysClr val="window" lastClr="FFFFFF"/>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El Convenio Bilateral de Seguridad Social entre el Reino Unido de España y la República Dominicana, fue el 1 julio de 2004, en vigor desde el 1 julio del 2006.  Este convenio abarca los casos de pensiones y jubilaciones, prestaciones por vejez, prestaciones por cesantía por edad avanzada, prestaciones por sobrevivencia, etc.   Este convenio se firmó por el aumento de las migraciones, donde los trabajadores han dividido sus carreras laborales y muchas veces no accedían a los beneficios de retiro, o los seguros de sobrevivencia o invalidez.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Este convenio es aplicable a los dominicanos y españoles que estén o hayan estado sujetos a las legislaciones de Seguridad Social de España o República Dominicana, así como sus familiares beneficiarios y sobrevivientes.  Los interesados requieren el tiempo de cotización en RD-España o España-RD, y estas cotizaciones se suman al tiempo de cotización del país aplicar, para obtener los beneficios que la Seguridad Social otorga.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Desde el inicio de sus operaciones en el 2006 al mes de noviembre de 2015,  las Oficinas del Convenio Bilateral de Seguridad Social entre España y la RD han registrado un total de 1,100 expedientes nuevos, el 2.2% son reintroducciones de casos y el 4.7% son solicitudes de cooperaciones administrativas. </a:t>
          </a:r>
        </a:p>
        <a:p>
          <a:pPr marL="0" marR="0" indent="0"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En este mismo período, el 76.1% solicitaron certificaciones de períodos cotizados o cuantías; el 11% por jubilación o vejez; el 7.8% por sobrevivencia y el 4.9% por incapacidad o por eximición de cotización. </a:t>
          </a:r>
          <a:r>
            <a:rPr lang="es-ES" sz="1400" baseline="0">
              <a:solidFill>
                <a:sysClr val="windowText" lastClr="000000"/>
              </a:solidFill>
              <a:effectLst/>
              <a:latin typeface="+mn-lt"/>
              <a:ea typeface="+mn-ea"/>
              <a:cs typeface="+mn-cs"/>
            </a:rPr>
            <a:t> </a:t>
          </a:r>
          <a:r>
            <a:rPr lang="es-DO" sz="1400" baseline="0">
              <a:solidFill>
                <a:sysClr val="windowText" lastClr="000000"/>
              </a:solidFill>
              <a:effectLst/>
              <a:latin typeface="+mn-lt"/>
              <a:ea typeface="+mn-ea"/>
              <a:cs typeface="+mn-cs"/>
            </a:rPr>
            <a:t>Por sexo, el 55.3% pertenecen al sexo masculino y el 44.7% al femenino</a:t>
          </a:r>
          <a:r>
            <a:rPr lang="en-US" sz="1400" baseline="0">
              <a:solidFill>
                <a:sysClr val="windowText" lastClr="000000"/>
              </a:solidFill>
              <a:effectLst/>
              <a:latin typeface="+mn-lt"/>
              <a:ea typeface="+mn-ea"/>
              <a:cs typeface="+mn-cs"/>
            </a:rPr>
            <a:t>.</a:t>
          </a:r>
          <a:endParaRPr lang="es-ES" sz="1400" baseline="0">
            <a:solidFill>
              <a:sysClr val="windowText" lastClr="000000"/>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endParaRPr lang="es-DO" sz="1400" baseline="0">
            <a:solidFill>
              <a:srgbClr val="FF0000"/>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Desde el mes de enero hasta el noviembre 2015 se han registrado 150 nuevos expedientes, de los cuales se han concluidos 11.3%.   Del total de casos nuevos, 88 fueron enviados a España en espera de documentación o resolución conclusiva, de estos,  31 respuestas a España, con el Formulario (FORM DO ES 01);  31 solicitudes de Pensión desde República Dominicana a España, con el Formulario (FORM DO ES 02),  para tramitar pensión por jubilación, incapacidad y supervivencia y 27 con otros tipos de requerimientos</a:t>
          </a:r>
          <a:r>
            <a:rPr lang="es-ES" sz="1400" baseline="0">
              <a:solidFill>
                <a:sysClr val="windowText" lastClr="000000"/>
              </a:solidFill>
              <a:effectLst/>
              <a:latin typeface="+mn-lt"/>
              <a:ea typeface="+mn-ea"/>
              <a:cs typeface="+mn-cs"/>
            </a:rPr>
            <a:t>. </a:t>
          </a:r>
          <a:endParaRPr lang="es-DO" sz="1400" baseline="0">
            <a:solidFill>
              <a:sysClr val="windowText" lastClr="000000"/>
            </a:solidFill>
            <a:effectLst/>
            <a:latin typeface="+mn-lt"/>
            <a:ea typeface="+mn-ea"/>
            <a:cs typeface="+mn-cs"/>
          </a:endParaRPr>
        </a:p>
      </xdr:txBody>
    </xdr:sp>
    <xdr:clientData/>
  </xdr:twoCellAnchor>
  <xdr:twoCellAnchor>
    <xdr:from>
      <xdr:col>0</xdr:col>
      <xdr:colOff>0</xdr:colOff>
      <xdr:row>0</xdr:row>
      <xdr:rowOff>0</xdr:rowOff>
    </xdr:from>
    <xdr:to>
      <xdr:col>12</xdr:col>
      <xdr:colOff>0</xdr:colOff>
      <xdr:row>3</xdr:row>
      <xdr:rowOff>133350</xdr:rowOff>
    </xdr:to>
    <xdr:sp macro="" textlink="">
      <xdr:nvSpPr>
        <xdr:cNvPr id="4" name="4 Rectángulo redondeado"/>
        <xdr:cNvSpPr/>
      </xdr:nvSpPr>
      <xdr:spPr>
        <a:xfrm>
          <a:off x="0" y="0"/>
          <a:ext cx="9010650" cy="70485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baseline="0">
              <a:solidFill>
                <a:schemeClr val="lt1"/>
              </a:solidFill>
              <a:effectLst/>
              <a:latin typeface="+mn-lt"/>
              <a:ea typeface="+mn-ea"/>
              <a:cs typeface="+mn-cs"/>
            </a:rPr>
            <a:t> </a:t>
          </a:r>
          <a:r>
            <a:rPr lang="es-ES" sz="1800" b="1" baseline="0">
              <a:solidFill>
                <a:schemeClr val="lt1"/>
              </a:solidFill>
              <a:effectLst/>
              <a:latin typeface="+mn-lt"/>
              <a:ea typeface="+mn-ea"/>
              <a:cs typeface="+mn-cs"/>
            </a:rPr>
            <a:t>Convenio Bilateral de Seguridad Social </a:t>
          </a:r>
        </a:p>
        <a:p>
          <a:pPr algn="ctr" eaLnBrk="1" fontAlgn="auto" latinLnBrk="0" hangingPunct="1"/>
          <a:r>
            <a:rPr lang="es-ES" sz="1800" b="1" baseline="0">
              <a:solidFill>
                <a:schemeClr val="lt1"/>
              </a:solidFill>
              <a:effectLst/>
              <a:latin typeface="+mn-lt"/>
              <a:ea typeface="+mn-ea"/>
              <a:cs typeface="+mn-cs"/>
            </a:rPr>
            <a:t>entre España y la República Dominicana</a:t>
          </a:r>
          <a:endParaRPr lang="es-ES" sz="1800">
            <a:effectLst/>
          </a:endParaRPr>
        </a:p>
      </xdr:txBody>
    </xdr:sp>
    <xdr:clientData/>
  </xdr:twoCellAnchor>
  <xdr:twoCellAnchor editAs="oneCell">
    <xdr:from>
      <xdr:col>0</xdr:col>
      <xdr:colOff>264459</xdr:colOff>
      <xdr:row>0</xdr:row>
      <xdr:rowOff>54349</xdr:rowOff>
    </xdr:from>
    <xdr:to>
      <xdr:col>1</xdr:col>
      <xdr:colOff>173783</xdr:colOff>
      <xdr:row>2</xdr:row>
      <xdr:rowOff>171450</xdr:rowOff>
    </xdr:to>
    <xdr:pic>
      <xdr:nvPicPr>
        <xdr:cNvPr id="5" name="9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4459" y="54349"/>
          <a:ext cx="671324" cy="4981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8.xml><?xml version="1.0" encoding="utf-8"?>
<xdr:wsDr xmlns:xdr="http://schemas.openxmlformats.org/drawingml/2006/spreadsheetDrawing" xmlns:a="http://schemas.openxmlformats.org/drawingml/2006/main">
  <xdr:twoCellAnchor>
    <xdr:from>
      <xdr:col>0</xdr:col>
      <xdr:colOff>0</xdr:colOff>
      <xdr:row>0</xdr:row>
      <xdr:rowOff>0</xdr:rowOff>
    </xdr:from>
    <xdr:to>
      <xdr:col>14</xdr:col>
      <xdr:colOff>0</xdr:colOff>
      <xdr:row>0</xdr:row>
      <xdr:rowOff>851647</xdr:rowOff>
    </xdr:to>
    <xdr:sp macro="" textlink="">
      <xdr:nvSpPr>
        <xdr:cNvPr id="2" name="4 Rectángulo redondeado"/>
        <xdr:cNvSpPr/>
      </xdr:nvSpPr>
      <xdr:spPr>
        <a:xfrm>
          <a:off x="0" y="0"/>
          <a:ext cx="16830675" cy="851647"/>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ES" sz="1800" b="1" baseline="0">
              <a:solidFill>
                <a:schemeClr val="lt1"/>
              </a:solidFill>
              <a:effectLst/>
              <a:latin typeface="+mn-lt"/>
              <a:ea typeface="+mn-ea"/>
              <a:cs typeface="+mn-cs"/>
            </a:rPr>
            <a:t>Convenio Bilateral de Seguridad Social entre España y la República Dominicana</a:t>
          </a:r>
        </a:p>
        <a:p>
          <a:pPr algn="ctr" eaLnBrk="1" fontAlgn="auto" latinLnBrk="0" hangingPunct="1"/>
          <a:r>
            <a:rPr lang="es-ES" sz="1800" b="1" baseline="0">
              <a:solidFill>
                <a:schemeClr val="lt1"/>
              </a:solidFill>
              <a:effectLst/>
              <a:latin typeface="+mn-lt"/>
              <a:ea typeface="+mn-ea"/>
              <a:cs typeface="+mn-cs"/>
            </a:rPr>
            <a:t>Cantidad de Solicitudes por Año y  Tipo de Trámite</a:t>
          </a:r>
        </a:p>
        <a:p>
          <a:pPr algn="ctr" eaLnBrk="1" fontAlgn="auto" latinLnBrk="0" hangingPunct="1"/>
          <a:r>
            <a:rPr lang="es-ES" sz="1800" b="1" baseline="0">
              <a:solidFill>
                <a:schemeClr val="lt1"/>
              </a:solidFill>
              <a:effectLst/>
              <a:latin typeface="+mn-lt"/>
              <a:ea typeface="+mn-ea"/>
              <a:cs typeface="+mn-cs"/>
            </a:rPr>
            <a:t>P</a:t>
          </a:r>
          <a:r>
            <a:rPr lang="es-DO" sz="1800" b="1">
              <a:solidFill>
                <a:schemeClr val="lt1"/>
              </a:solidFill>
              <a:effectLst/>
              <a:latin typeface="+mn-lt"/>
              <a:ea typeface="+mn-ea"/>
              <a:cs typeface="+mn-cs"/>
            </a:rPr>
            <a:t>eríodo: 2006 - Noviembre</a:t>
          </a:r>
          <a:r>
            <a:rPr lang="es-DO" sz="1800" b="1" baseline="0">
              <a:solidFill>
                <a:schemeClr val="lt1"/>
              </a:solidFill>
              <a:effectLst/>
              <a:latin typeface="+mn-lt"/>
              <a:ea typeface="+mn-ea"/>
              <a:cs typeface="+mn-cs"/>
            </a:rPr>
            <a:t> </a:t>
          </a:r>
          <a:r>
            <a:rPr lang="es-DO" sz="1800" b="1">
              <a:solidFill>
                <a:schemeClr val="lt1"/>
              </a:solidFill>
              <a:effectLst/>
              <a:latin typeface="+mn-lt"/>
              <a:ea typeface="+mn-ea"/>
              <a:cs typeface="+mn-cs"/>
            </a:rPr>
            <a:t> 2015</a:t>
          </a:r>
        </a:p>
      </xdr:txBody>
    </xdr:sp>
    <xdr:clientData/>
  </xdr:twoCellAnchor>
  <xdr:oneCellAnchor>
    <xdr:from>
      <xdr:col>0</xdr:col>
      <xdr:colOff>347383</xdr:colOff>
      <xdr:row>0</xdr:row>
      <xdr:rowOff>190499</xdr:rowOff>
    </xdr:from>
    <xdr:ext cx="806825" cy="549089"/>
    <xdr:pic>
      <xdr:nvPicPr>
        <xdr:cNvPr id="3" name="9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7383" y="190499"/>
          <a:ext cx="806825" cy="5490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0</xdr:colOff>
      <xdr:row>8</xdr:row>
      <xdr:rowOff>63953</xdr:rowOff>
    </xdr:from>
    <xdr:to>
      <xdr:col>13</xdr:col>
      <xdr:colOff>598713</xdr:colOff>
      <xdr:row>57</xdr:row>
      <xdr:rowOff>163285</xdr:rowOff>
    </xdr:to>
    <xdr:graphicFrame macro="">
      <xdr:nvGraphicFramePr>
        <xdr:cNvPr id="4" name="Gráfico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99.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0</xdr:colOff>
      <xdr:row>0</xdr:row>
      <xdr:rowOff>987136</xdr:rowOff>
    </xdr:to>
    <xdr:sp macro="" textlink="">
      <xdr:nvSpPr>
        <xdr:cNvPr id="2" name="4 Rectángulo redondeado"/>
        <xdr:cNvSpPr/>
      </xdr:nvSpPr>
      <xdr:spPr>
        <a:xfrm>
          <a:off x="0" y="0"/>
          <a:ext cx="15863455" cy="98713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ES" sz="2000" b="1" baseline="0">
              <a:solidFill>
                <a:schemeClr val="lt1"/>
              </a:solidFill>
              <a:effectLst/>
              <a:latin typeface="+mn-lt"/>
              <a:ea typeface="+mn-ea"/>
              <a:cs typeface="+mn-cs"/>
            </a:rPr>
            <a:t>Convenio Bilateral de Seguridad Social entre España y la República Dominicana</a:t>
          </a:r>
        </a:p>
        <a:p>
          <a:pPr algn="ctr" eaLnBrk="1" fontAlgn="auto" latinLnBrk="0" hangingPunct="1"/>
          <a:r>
            <a:rPr lang="es-ES" sz="2000" b="1" baseline="0">
              <a:solidFill>
                <a:schemeClr val="lt1"/>
              </a:solidFill>
              <a:effectLst/>
              <a:latin typeface="+mn-lt"/>
              <a:ea typeface="+mn-ea"/>
              <a:cs typeface="+mn-cs"/>
            </a:rPr>
            <a:t>Cantidad de Solicitudes por Año y  Tipo de Beneficio</a:t>
          </a:r>
        </a:p>
        <a:p>
          <a:pPr algn="ctr" eaLnBrk="1" fontAlgn="auto" latinLnBrk="0" hangingPunct="1"/>
          <a:r>
            <a:rPr lang="es-ES" sz="2000" b="1" baseline="0">
              <a:solidFill>
                <a:schemeClr val="lt1"/>
              </a:solidFill>
              <a:effectLst/>
              <a:latin typeface="+mn-lt"/>
              <a:ea typeface="+mn-ea"/>
              <a:cs typeface="+mn-cs"/>
            </a:rPr>
            <a:t>P</a:t>
          </a:r>
          <a:r>
            <a:rPr lang="es-DO" sz="2000" b="1">
              <a:solidFill>
                <a:schemeClr val="lt1"/>
              </a:solidFill>
              <a:effectLst/>
              <a:latin typeface="+mn-lt"/>
              <a:ea typeface="+mn-ea"/>
              <a:cs typeface="+mn-cs"/>
            </a:rPr>
            <a:t>eríodo: 2006 - Noviembre  2015</a:t>
          </a:r>
        </a:p>
      </xdr:txBody>
    </xdr:sp>
    <xdr:clientData/>
  </xdr:twoCellAnchor>
  <xdr:oneCellAnchor>
    <xdr:from>
      <xdr:col>0</xdr:col>
      <xdr:colOff>347383</xdr:colOff>
      <xdr:row>0</xdr:row>
      <xdr:rowOff>190499</xdr:rowOff>
    </xdr:from>
    <xdr:ext cx="806825" cy="549089"/>
    <xdr:pic>
      <xdr:nvPicPr>
        <xdr:cNvPr id="3" name="9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7383" y="190499"/>
          <a:ext cx="806825" cy="5490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1</xdr:colOff>
      <xdr:row>11</xdr:row>
      <xdr:rowOff>63953</xdr:rowOff>
    </xdr:from>
    <xdr:to>
      <xdr:col>12</xdr:col>
      <xdr:colOff>1056410</xdr:colOff>
      <xdr:row>56</xdr:row>
      <xdr:rowOff>86591</xdr:rowOff>
    </xdr:to>
    <xdr:graphicFrame macro="">
      <xdr:nvGraphicFramePr>
        <xdr:cNvPr id="4" name="Gráfico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1</xdr:rowOff>
    </xdr:from>
    <xdr:to>
      <xdr:col>1</xdr:col>
      <xdr:colOff>0</xdr:colOff>
      <xdr:row>2</xdr:row>
      <xdr:rowOff>168519</xdr:rowOff>
    </xdr:to>
    <xdr:sp macro="" textlink="">
      <xdr:nvSpPr>
        <xdr:cNvPr id="2" name="3 Rectángulo redondeado"/>
        <xdr:cNvSpPr/>
      </xdr:nvSpPr>
      <xdr:spPr>
        <a:xfrm>
          <a:off x="0" y="1"/>
          <a:ext cx="8172450" cy="54951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1800" b="1">
              <a:solidFill>
                <a:schemeClr val="lt1"/>
              </a:solidFill>
              <a:effectLst/>
              <a:latin typeface="+mn-lt"/>
              <a:ea typeface="+mn-ea"/>
              <a:cs typeface="+mn-cs"/>
            </a:rPr>
            <a:t> Sistema Dominicano Seguridad Social (SDSS)</a:t>
          </a:r>
          <a:endParaRPr lang="en-US" sz="2400" b="1"/>
        </a:p>
      </xdr:txBody>
    </xdr:sp>
    <xdr:clientData/>
  </xdr:twoCellAnchor>
  <xdr:twoCellAnchor editAs="oneCell">
    <xdr:from>
      <xdr:col>0</xdr:col>
      <xdr:colOff>303303</xdr:colOff>
      <xdr:row>0</xdr:row>
      <xdr:rowOff>76043</xdr:rowOff>
    </xdr:from>
    <xdr:to>
      <xdr:col>0</xdr:col>
      <xdr:colOff>886238</xdr:colOff>
      <xdr:row>1</xdr:row>
      <xdr:rowOff>258693</xdr:rowOff>
    </xdr:to>
    <xdr:pic>
      <xdr:nvPicPr>
        <xdr:cNvPr id="3" name="1 Imagen" descr="Logo_2x4.bmp"/>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063" t="10325" r="3969" b="15109"/>
        <a:stretch/>
      </xdr:blipFill>
      <xdr:spPr bwMode="auto">
        <a:xfrm>
          <a:off x="303303" y="76043"/>
          <a:ext cx="582935" cy="373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3</xdr:col>
      <xdr:colOff>256933</xdr:colOff>
      <xdr:row>8</xdr:row>
      <xdr:rowOff>153681</xdr:rowOff>
    </xdr:from>
    <xdr:to>
      <xdr:col>8</xdr:col>
      <xdr:colOff>508453</xdr:colOff>
      <xdr:row>32</xdr:row>
      <xdr:rowOff>74511</xdr:rowOff>
    </xdr:to>
    <xdr:pic>
      <xdr:nvPicPr>
        <xdr:cNvPr id="2" name="1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542933" y="1704895"/>
          <a:ext cx="4533767" cy="4492830"/>
        </a:xfrm>
        <a:prstGeom prst="rect">
          <a:avLst/>
        </a:prstGeom>
        <a:noFill/>
        <a:ln>
          <a:noFill/>
        </a:ln>
      </xdr:spPr>
    </xdr:pic>
    <xdr:clientData/>
  </xdr:twoCellAnchor>
  <xdr:twoCellAnchor>
    <xdr:from>
      <xdr:col>0</xdr:col>
      <xdr:colOff>76200</xdr:colOff>
      <xdr:row>3</xdr:row>
      <xdr:rowOff>114300</xdr:rowOff>
    </xdr:from>
    <xdr:to>
      <xdr:col>12</xdr:col>
      <xdr:colOff>638735</xdr:colOff>
      <xdr:row>35</xdr:row>
      <xdr:rowOff>235324</xdr:rowOff>
    </xdr:to>
    <xdr:sp macro="" textlink="">
      <xdr:nvSpPr>
        <xdr:cNvPr id="3" name="2 CuadroTexto"/>
        <xdr:cNvSpPr txBox="1"/>
      </xdr:nvSpPr>
      <xdr:spPr>
        <a:xfrm>
          <a:off x="76200" y="923925"/>
          <a:ext cx="10563785" cy="6245599"/>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400">
              <a:solidFill>
                <a:schemeClr val="dk1"/>
              </a:solidFill>
              <a:effectLst/>
              <a:latin typeface="+mn-lt"/>
              <a:ea typeface="+mn-ea"/>
              <a:cs typeface="+mn-cs"/>
            </a:rPr>
            <a:t>Con la aprobación de la Resolución No. 051-03 del Consejo Nacional de Seguridad Social de fecha 30 de octubre de 2002, se dio inicio a la implementación  del Seguro Familiar de Salud del Régimen Subsidiado (SFS-RS), comenzando el proceso en la Región de Salud IV, en noviembre del año 2002, por considerar esta región una de la zona más deprimida del país. Luego continuaron con la Región V en el 2005, hasta extenderlo a todo el país.  Para finales de 2005 la afiliación total del Régimen Subsidiado era de 253,374 personas.</a:t>
          </a:r>
        </a:p>
        <a:p>
          <a:endParaRPr lang="es-DO" sz="1400">
            <a:solidFill>
              <a:schemeClr val="dk1"/>
            </a:solidFill>
            <a:effectLst/>
            <a:latin typeface="+mn-lt"/>
            <a:ea typeface="+mn-ea"/>
            <a:cs typeface="+mn-cs"/>
          </a:endParaRPr>
        </a:p>
        <a:p>
          <a:r>
            <a:rPr lang="es-DO" sz="1400">
              <a:solidFill>
                <a:schemeClr val="dk1"/>
              </a:solidFill>
              <a:effectLst/>
              <a:latin typeface="+mn-lt"/>
              <a:ea typeface="+mn-ea"/>
              <a:cs typeface="+mn-cs"/>
            </a:rPr>
            <a:t>En septiembre de 2007 inició el Seguro Familiar de Salud (SFS) del Régimen Contributivo (RC) afiliando entre los meses de septiembre y diciembre de ese año un total de 1,477,181 personas, de los cuales 919,911 eran titulares y 557,270 dependientes para un índice de dependencia de 0.61 (61 dependientes por cada 100 afiliados).  Para ese año la afiliación del SFS RC representaba el 57.7% y del Régimen Subsidiado (RS) eran 1,081,936 siendo el 42.3%.  </a:t>
          </a:r>
        </a:p>
        <a:p>
          <a:endParaRPr lang="es-DO" sz="1400">
            <a:solidFill>
              <a:schemeClr val="dk1"/>
            </a:solidFill>
            <a:effectLst/>
            <a:latin typeface="+mn-lt"/>
            <a:ea typeface="+mn-ea"/>
            <a:cs typeface="+mn-cs"/>
          </a:endParaRPr>
        </a:p>
        <a:p>
          <a:r>
            <a:rPr lang="es-DO" sz="1400">
              <a:solidFill>
                <a:schemeClr val="dk1"/>
              </a:solidFill>
              <a:effectLst/>
              <a:latin typeface="+mn-lt"/>
              <a:ea typeface="+mn-ea"/>
              <a:cs typeface="+mn-cs"/>
            </a:rPr>
            <a:t>Por mandato del Decreto 342-09 emitido por el Poder Ejecutivo en fecha 28 de abril de 2009, en junio de ese mismo año se dio inicio a la afiliación al Régimen Especial Transitorio (RET) de los Pensionados y Jubilados que reciben su pensión a través del Ministerio de Hacienda, y que al mes de febrero de 2009 estuvieron oficialmente inscritos en la base de datos de dicha institución y no estuvieran acogidos a ningún otro régimen de financiamiento del SDSS. Dichos pensionados tienen derecho a afiliarse en las ARS SENASA, SEMMA o Salud Segura.  </a:t>
          </a:r>
        </a:p>
        <a:p>
          <a:endParaRPr lang="es-DO" sz="1400">
            <a:solidFill>
              <a:schemeClr val="dk1"/>
            </a:solidFill>
            <a:effectLst/>
            <a:latin typeface="+mn-lt"/>
            <a:ea typeface="+mn-ea"/>
            <a:cs typeface="+mn-cs"/>
          </a:endParaRPr>
        </a:p>
        <a:p>
          <a:r>
            <a:rPr lang="es-DO" sz="1400">
              <a:solidFill>
                <a:schemeClr val="dk1"/>
              </a:solidFill>
              <a:effectLst/>
              <a:latin typeface="+mn-lt"/>
              <a:ea typeface="+mn-ea"/>
              <a:cs typeface="+mn-cs"/>
            </a:rPr>
            <a:t>Para el mes de</a:t>
          </a:r>
          <a:r>
            <a:rPr lang="es-DO" sz="1400" baseline="0">
              <a:solidFill>
                <a:schemeClr val="dk1"/>
              </a:solidFill>
              <a:effectLst/>
              <a:latin typeface="+mn-lt"/>
              <a:ea typeface="+mn-ea"/>
              <a:cs typeface="+mn-cs"/>
            </a:rPr>
            <a:t> noviembre </a:t>
          </a:r>
          <a:r>
            <a:rPr lang="es-DO" sz="1400">
              <a:solidFill>
                <a:schemeClr val="dk1"/>
              </a:solidFill>
              <a:effectLst/>
              <a:latin typeface="+mn-lt"/>
              <a:ea typeface="+mn-ea"/>
              <a:cs typeface="+mn-cs"/>
            </a:rPr>
            <a:t>2015 la afiliación total del SFS ascendió a 6,490,854 personas, cubriendo de esta manera al 64.8%</a:t>
          </a:r>
          <a:r>
            <a:rPr lang="es-DO" sz="1400" baseline="0">
              <a:solidFill>
                <a:schemeClr val="dk1"/>
              </a:solidFill>
              <a:effectLst/>
              <a:latin typeface="+mn-lt"/>
              <a:ea typeface="+mn-ea"/>
              <a:cs typeface="+mn-cs"/>
            </a:rPr>
            <a:t> d</a:t>
          </a:r>
          <a:r>
            <a:rPr lang="es-DO" sz="1400">
              <a:solidFill>
                <a:schemeClr val="dk1"/>
              </a:solidFill>
              <a:effectLst/>
              <a:latin typeface="+mn-lt"/>
              <a:ea typeface="+mn-ea"/>
              <a:cs typeface="+mn-cs"/>
            </a:rPr>
            <a:t>e la población nacional.  La participación de los diferente regímenes de financiamiento es de  51.7% del Régimen Contributivo (RC),</a:t>
          </a:r>
          <a:r>
            <a:rPr lang="es-DO" sz="1400" baseline="0">
              <a:solidFill>
                <a:schemeClr val="dk1"/>
              </a:solidFill>
              <a:effectLst/>
              <a:latin typeface="+mn-lt"/>
              <a:ea typeface="+mn-ea"/>
              <a:cs typeface="+mn-cs"/>
            </a:rPr>
            <a:t> </a:t>
          </a:r>
          <a:r>
            <a:rPr lang="es-DO" sz="1400">
              <a:solidFill>
                <a:schemeClr val="dk1"/>
              </a:solidFill>
              <a:effectLst/>
              <a:latin typeface="+mn-lt"/>
              <a:ea typeface="+mn-ea"/>
              <a:cs typeface="+mn-cs"/>
            </a:rPr>
            <a:t>el 47.9% pertenecen al Régimen Subsidiado (RS) y el 0.5% al Régimen Especial Transitorio (RET). </a:t>
          </a:r>
        </a:p>
        <a:p>
          <a:endParaRPr lang="es-DO" sz="1400">
            <a:solidFill>
              <a:schemeClr val="dk1"/>
            </a:solidFill>
            <a:effectLst/>
            <a:latin typeface="+mn-lt"/>
            <a:ea typeface="+mn-ea"/>
            <a:cs typeface="+mn-cs"/>
          </a:endParaRPr>
        </a:p>
        <a:p>
          <a:r>
            <a:rPr lang="es-DO" sz="1400">
              <a:solidFill>
                <a:schemeClr val="dk1"/>
              </a:solidFill>
              <a:effectLst/>
              <a:latin typeface="+mn-lt"/>
              <a:ea typeface="+mn-ea"/>
              <a:cs typeface="+mn-cs"/>
            </a:rPr>
            <a:t>La composición de la afiliación del Seguro Familiar de Salud (SFS) por sexo al mes de noviembre del 2015 es de 51.4% femenino y 48.6% masculino, esto debido al peso mayor que tienen las mujeres en la afiliación del Régimen Subsidiado</a:t>
          </a:r>
          <a:r>
            <a:rPr lang="es-DO" sz="1400" baseline="0">
              <a:solidFill>
                <a:schemeClr val="dk1"/>
              </a:solidFill>
              <a:effectLst/>
              <a:latin typeface="+mn-lt"/>
              <a:ea typeface="+mn-ea"/>
              <a:cs typeface="+mn-cs"/>
            </a:rPr>
            <a:t> (RS)</a:t>
          </a:r>
          <a:r>
            <a:rPr lang="es-DO" sz="1400">
              <a:solidFill>
                <a:schemeClr val="dk1"/>
              </a:solidFill>
              <a:effectLst/>
              <a:latin typeface="+mn-lt"/>
              <a:ea typeface="+mn-ea"/>
              <a:cs typeface="+mn-cs"/>
            </a:rPr>
            <a:t>.  Al mes</a:t>
          </a:r>
          <a:r>
            <a:rPr lang="es-DO" sz="1400" baseline="0">
              <a:solidFill>
                <a:schemeClr val="dk1"/>
              </a:solidFill>
              <a:effectLst/>
              <a:latin typeface="+mn-lt"/>
              <a:ea typeface="+mn-ea"/>
              <a:cs typeface="+mn-cs"/>
            </a:rPr>
            <a:t> noviembre </a:t>
          </a:r>
          <a:r>
            <a:rPr lang="es-DO" sz="1400">
              <a:solidFill>
                <a:schemeClr val="dk1"/>
              </a:solidFill>
              <a:effectLst/>
              <a:latin typeface="+mn-lt"/>
              <a:ea typeface="+mn-ea"/>
              <a:cs typeface="+mn-cs"/>
            </a:rPr>
            <a:t>2015 la participación de mujeres en el Régimen Subsidiado fue de 53.1%; contrario al Régimen Contributivo, donde la participación masculina fue en promedio de 50.2%, lo que demuestra la inequidad de género tanto en el acceso al mercado laboral como en el fenómeno social de la pobreza.</a:t>
          </a:r>
        </a:p>
        <a:p>
          <a:endParaRPr lang="es-DO" sz="1400">
            <a:solidFill>
              <a:schemeClr val="dk1"/>
            </a:solidFill>
            <a:effectLst/>
            <a:latin typeface="+mn-lt"/>
            <a:ea typeface="+mn-ea"/>
            <a:cs typeface="+mn-cs"/>
          </a:endParaRPr>
        </a:p>
        <a:p>
          <a:r>
            <a:rPr lang="es-DO" sz="1400">
              <a:solidFill>
                <a:schemeClr val="dk1"/>
              </a:solidFill>
              <a:effectLst/>
              <a:latin typeface="+mn-lt"/>
              <a:ea typeface="+mn-ea"/>
              <a:cs typeface="+mn-cs"/>
            </a:rPr>
            <a:t>Al proyectar la afiliación en comparación a la población nacional, calculada en base a la tasa de  crecimiento media anual, se observa que si continúa un comportamiento similar en el ritmo de crecimiento de la afiliación,  y se da inicio a la afiliación de los trabajadores independientes y cuentas propias  del Régimen Contributivo Subsidiado</a:t>
          </a:r>
          <a:r>
            <a:rPr lang="es-DO" sz="1400" baseline="0">
              <a:solidFill>
                <a:schemeClr val="dk1"/>
              </a:solidFill>
              <a:effectLst/>
              <a:latin typeface="+mn-lt"/>
              <a:ea typeface="+mn-ea"/>
              <a:cs typeface="+mn-cs"/>
            </a:rPr>
            <a:t> (RCS)</a:t>
          </a:r>
          <a:r>
            <a:rPr lang="es-DO" sz="1400">
              <a:solidFill>
                <a:schemeClr val="dk1"/>
              </a:solidFill>
              <a:effectLst/>
              <a:latin typeface="+mn-lt"/>
              <a:ea typeface="+mn-ea"/>
              <a:cs typeface="+mn-cs"/>
            </a:rPr>
            <a:t>, se cubriría toda la población aproximadamente para el año 2021.   </a:t>
          </a:r>
        </a:p>
      </xdr:txBody>
    </xdr:sp>
    <xdr:clientData/>
  </xdr:twoCellAnchor>
  <xdr:twoCellAnchor>
    <xdr:from>
      <xdr:col>0</xdr:col>
      <xdr:colOff>0</xdr:colOff>
      <xdr:row>0</xdr:row>
      <xdr:rowOff>0</xdr:rowOff>
    </xdr:from>
    <xdr:to>
      <xdr:col>13</xdr:col>
      <xdr:colOff>9524</xdr:colOff>
      <xdr:row>2</xdr:row>
      <xdr:rowOff>414618</xdr:rowOff>
    </xdr:to>
    <xdr:sp macro="" textlink="">
      <xdr:nvSpPr>
        <xdr:cNvPr id="4" name="3 Rectángulo redondeado"/>
        <xdr:cNvSpPr/>
      </xdr:nvSpPr>
      <xdr:spPr>
        <a:xfrm>
          <a:off x="0" y="0"/>
          <a:ext cx="10772774" cy="7956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Sistema Dominicano De Seguridad</a:t>
          </a:r>
          <a:r>
            <a:rPr lang="es-DO" sz="1800" b="1" baseline="0">
              <a:solidFill>
                <a:schemeClr val="lt1"/>
              </a:solidFill>
              <a:effectLst/>
              <a:latin typeface="+mn-lt"/>
              <a:ea typeface="+mn-ea"/>
              <a:cs typeface="+mn-cs"/>
            </a:rPr>
            <a:t> Social </a:t>
          </a:r>
        </a:p>
        <a:p>
          <a:pPr algn="ctr" eaLnBrk="1" fontAlgn="auto" latinLnBrk="0" hangingPunct="1"/>
          <a:r>
            <a:rPr lang="es-DO" sz="1800" b="1">
              <a:solidFill>
                <a:schemeClr val="lt1"/>
              </a:solidFill>
              <a:effectLst/>
              <a:latin typeface="+mn-lt"/>
              <a:ea typeface="+mn-ea"/>
              <a:cs typeface="+mn-cs"/>
            </a:rPr>
            <a:t>Afiliación al Seguro Familiar de Salud (SFS) </a:t>
          </a:r>
          <a:endParaRPr lang="es-DO" sz="4000">
            <a:effectLst/>
          </a:endParaRPr>
        </a:p>
      </xdr:txBody>
    </xdr:sp>
    <xdr:clientData/>
  </xdr:twoCellAnchor>
  <xdr:twoCellAnchor editAs="oneCell">
    <xdr:from>
      <xdr:col>0</xdr:col>
      <xdr:colOff>388844</xdr:colOff>
      <xdr:row>0</xdr:row>
      <xdr:rowOff>147356</xdr:rowOff>
    </xdr:from>
    <xdr:to>
      <xdr:col>1</xdr:col>
      <xdr:colOff>349539</xdr:colOff>
      <xdr:row>2</xdr:row>
      <xdr:rowOff>247650</xdr:rowOff>
    </xdr:to>
    <xdr:pic>
      <xdr:nvPicPr>
        <xdr:cNvPr id="5" name="1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5890" t="10323" r="1617" b="10681"/>
        <a:stretch/>
      </xdr:blipFill>
      <xdr:spPr bwMode="auto">
        <a:xfrm>
          <a:off x="388844" y="147356"/>
          <a:ext cx="722695" cy="4812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0.xml><?xml version="1.0" encoding="utf-8"?>
<xdr:wsDr xmlns:xdr="http://schemas.openxmlformats.org/drawingml/2006/spreadsheetDrawing" xmlns:a="http://schemas.openxmlformats.org/drawingml/2006/main">
  <xdr:twoCellAnchor>
    <xdr:from>
      <xdr:col>0</xdr:col>
      <xdr:colOff>33617</xdr:colOff>
      <xdr:row>15</xdr:row>
      <xdr:rowOff>100853</xdr:rowOff>
    </xdr:from>
    <xdr:to>
      <xdr:col>13</xdr:col>
      <xdr:colOff>627528</xdr:colOff>
      <xdr:row>44</xdr:row>
      <xdr:rowOff>22412</xdr:rowOff>
    </xdr:to>
    <xdr:graphicFrame macro="">
      <xdr:nvGraphicFramePr>
        <xdr:cNvPr id="2"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1</xdr:row>
      <xdr:rowOff>22412</xdr:rowOff>
    </xdr:to>
    <xdr:sp macro="" textlink="">
      <xdr:nvSpPr>
        <xdr:cNvPr id="3" name="4 Rectángulo redondeado"/>
        <xdr:cNvSpPr/>
      </xdr:nvSpPr>
      <xdr:spPr>
        <a:xfrm>
          <a:off x="0" y="0"/>
          <a:ext cx="11620500" cy="94129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ES" sz="1800" b="1" baseline="0">
              <a:solidFill>
                <a:schemeClr val="lt1"/>
              </a:solidFill>
              <a:effectLst/>
              <a:latin typeface="+mn-lt"/>
              <a:ea typeface="+mn-ea"/>
              <a:cs typeface="+mn-cs"/>
            </a:rPr>
            <a:t>Convenio Bilateral de Seguridad Social entre España y la República Dominicana</a:t>
          </a:r>
        </a:p>
        <a:p>
          <a:pPr algn="ctr" eaLnBrk="1" fontAlgn="auto" latinLnBrk="0" hangingPunct="1"/>
          <a:r>
            <a:rPr lang="es-ES" sz="1800" b="1" baseline="0">
              <a:solidFill>
                <a:schemeClr val="lt1"/>
              </a:solidFill>
              <a:effectLst/>
              <a:latin typeface="+mn-lt"/>
              <a:ea typeface="+mn-ea"/>
              <a:cs typeface="+mn-cs"/>
            </a:rPr>
            <a:t>Cantidad de Solicitudes y Tramitaciones Concluidas</a:t>
          </a:r>
          <a:endParaRPr lang="es-ES" sz="3200">
            <a:effectLst/>
          </a:endParaRPr>
        </a:p>
        <a:p>
          <a:pPr algn="ctr" eaLnBrk="1" fontAlgn="auto" latinLnBrk="0" hangingPunct="1"/>
          <a:r>
            <a:rPr lang="es-ES" sz="1800" b="1" baseline="0">
              <a:solidFill>
                <a:schemeClr val="lt1"/>
              </a:solidFill>
              <a:effectLst/>
              <a:latin typeface="+mn-lt"/>
              <a:ea typeface="+mn-ea"/>
              <a:cs typeface="+mn-cs"/>
            </a:rPr>
            <a:t>P</a:t>
          </a:r>
          <a:r>
            <a:rPr lang="es-DO" sz="1800" b="1">
              <a:solidFill>
                <a:schemeClr val="lt1"/>
              </a:solidFill>
              <a:effectLst/>
              <a:latin typeface="+mn-lt"/>
              <a:ea typeface="+mn-ea"/>
              <a:cs typeface="+mn-cs"/>
            </a:rPr>
            <a:t>eríodo: 2006 -  Noviembre 2015</a:t>
          </a:r>
        </a:p>
      </xdr:txBody>
    </xdr:sp>
    <xdr:clientData/>
  </xdr:twoCellAnchor>
  <xdr:oneCellAnchor>
    <xdr:from>
      <xdr:col>0</xdr:col>
      <xdr:colOff>347383</xdr:colOff>
      <xdr:row>0</xdr:row>
      <xdr:rowOff>190499</xdr:rowOff>
    </xdr:from>
    <xdr:ext cx="806825" cy="549089"/>
    <xdr:pic>
      <xdr:nvPicPr>
        <xdr:cNvPr id="4"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47383" y="190499"/>
          <a:ext cx="806825" cy="5490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01.xml><?xml version="1.0" encoding="utf-8"?>
<c:userShapes xmlns:c="http://schemas.openxmlformats.org/drawingml/2006/chart">
  <cdr:relSizeAnchor xmlns:cdr="http://schemas.openxmlformats.org/drawingml/2006/chartDrawing">
    <cdr:from>
      <cdr:x>0.02769</cdr:x>
      <cdr:y>0.91865</cdr:y>
    </cdr:from>
    <cdr:to>
      <cdr:x>0.27503</cdr:x>
      <cdr:y>0.97818</cdr:y>
    </cdr:to>
    <cdr:sp macro="" textlink="">
      <cdr:nvSpPr>
        <cdr:cNvPr id="2" name="CuadroTexto 1"/>
        <cdr:cNvSpPr txBox="1"/>
      </cdr:nvSpPr>
      <cdr:spPr>
        <a:xfrm xmlns:a="http://schemas.openxmlformats.org/drawingml/2006/main">
          <a:off x="289846" y="5394219"/>
          <a:ext cx="2588679" cy="34951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400" b="1"/>
            <a:t>Fuente:</a:t>
          </a:r>
          <a:r>
            <a:rPr lang="es-ES" sz="1400" b="1" baseline="0"/>
            <a:t> </a:t>
          </a:r>
          <a:r>
            <a:rPr lang="es-ES" sz="1400" baseline="0"/>
            <a:t>CNSS</a:t>
          </a:r>
          <a:endParaRPr lang="es-ES" sz="1400"/>
        </a:p>
      </cdr:txBody>
    </cdr:sp>
  </cdr:relSizeAnchor>
</c:userShapes>
</file>

<file path=xl/drawings/drawing202.xml><?xml version="1.0" encoding="utf-8"?>
<xdr:wsDr xmlns:xdr="http://schemas.openxmlformats.org/drawingml/2006/spreadsheetDrawing" xmlns:a="http://schemas.openxmlformats.org/drawingml/2006/main">
  <xdr:twoCellAnchor>
    <xdr:from>
      <xdr:col>0</xdr:col>
      <xdr:colOff>0</xdr:colOff>
      <xdr:row>15</xdr:row>
      <xdr:rowOff>176891</xdr:rowOff>
    </xdr:from>
    <xdr:to>
      <xdr:col>14</xdr:col>
      <xdr:colOff>639535</xdr:colOff>
      <xdr:row>46</xdr:row>
      <xdr:rowOff>123264</xdr:rowOff>
    </xdr:to>
    <xdr:graphicFrame macro="">
      <xdr:nvGraphicFramePr>
        <xdr:cNvPr id="2"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0</xdr:colOff>
      <xdr:row>0</xdr:row>
      <xdr:rowOff>907676</xdr:rowOff>
    </xdr:to>
    <xdr:sp macro="" textlink="">
      <xdr:nvSpPr>
        <xdr:cNvPr id="3" name="4 Rectángulo redondeado"/>
        <xdr:cNvSpPr/>
      </xdr:nvSpPr>
      <xdr:spPr>
        <a:xfrm>
          <a:off x="0" y="0"/>
          <a:ext cx="13211735" cy="90767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ES" sz="1800" b="1" baseline="0">
              <a:solidFill>
                <a:schemeClr val="lt1"/>
              </a:solidFill>
              <a:effectLst/>
              <a:latin typeface="+mn-lt"/>
              <a:ea typeface="+mn-ea"/>
              <a:cs typeface="+mn-cs"/>
            </a:rPr>
            <a:t>Convenio Bilateral de Seguridad Social entre España y la República Dominicana</a:t>
          </a:r>
        </a:p>
        <a:p>
          <a:pPr algn="ctr" eaLnBrk="1" fontAlgn="auto" latinLnBrk="0" hangingPunct="1"/>
          <a:r>
            <a:rPr lang="es-ES" sz="1800" b="1" baseline="0">
              <a:solidFill>
                <a:schemeClr val="lt1"/>
              </a:solidFill>
              <a:effectLst/>
              <a:latin typeface="+mn-lt"/>
              <a:ea typeface="+mn-ea"/>
              <a:cs typeface="+mn-cs"/>
            </a:rPr>
            <a:t>Cantidad de Expedientes Enviados a España en Espera de Documentación o Resolución Conclusiva </a:t>
          </a:r>
        </a:p>
        <a:p>
          <a:pPr algn="ctr" eaLnBrk="1" fontAlgn="auto" latinLnBrk="0" hangingPunct="1"/>
          <a:r>
            <a:rPr lang="es-ES" sz="1800" b="1" baseline="0">
              <a:solidFill>
                <a:schemeClr val="lt1"/>
              </a:solidFill>
              <a:effectLst/>
              <a:latin typeface="+mn-lt"/>
              <a:ea typeface="+mn-ea"/>
              <a:cs typeface="+mn-cs"/>
            </a:rPr>
            <a:t>P</a:t>
          </a:r>
          <a:r>
            <a:rPr lang="es-DO" sz="1800" b="1">
              <a:solidFill>
                <a:schemeClr val="lt1"/>
              </a:solidFill>
              <a:effectLst/>
              <a:latin typeface="+mn-lt"/>
              <a:ea typeface="+mn-ea"/>
              <a:cs typeface="+mn-cs"/>
            </a:rPr>
            <a:t>eríodo: 2006 -  Noviembre 2015</a:t>
          </a:r>
        </a:p>
      </xdr:txBody>
    </xdr:sp>
    <xdr:clientData/>
  </xdr:twoCellAnchor>
  <xdr:oneCellAnchor>
    <xdr:from>
      <xdr:col>0</xdr:col>
      <xdr:colOff>347383</xdr:colOff>
      <xdr:row>0</xdr:row>
      <xdr:rowOff>190499</xdr:rowOff>
    </xdr:from>
    <xdr:ext cx="806825" cy="549089"/>
    <xdr:pic>
      <xdr:nvPicPr>
        <xdr:cNvPr id="4"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47383" y="190499"/>
          <a:ext cx="806825" cy="5490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03.xml><?xml version="1.0" encoding="utf-8"?>
<c:userShapes xmlns:c="http://schemas.openxmlformats.org/drawingml/2006/chart">
  <cdr:relSizeAnchor xmlns:cdr="http://schemas.openxmlformats.org/drawingml/2006/chartDrawing">
    <cdr:from>
      <cdr:x>0.02769</cdr:x>
      <cdr:y>0.91865</cdr:y>
    </cdr:from>
    <cdr:to>
      <cdr:x>0.27503</cdr:x>
      <cdr:y>0.97818</cdr:y>
    </cdr:to>
    <cdr:sp macro="" textlink="">
      <cdr:nvSpPr>
        <cdr:cNvPr id="2" name="CuadroTexto 1"/>
        <cdr:cNvSpPr txBox="1"/>
      </cdr:nvSpPr>
      <cdr:spPr>
        <a:xfrm xmlns:a="http://schemas.openxmlformats.org/drawingml/2006/main">
          <a:off x="289846" y="5394219"/>
          <a:ext cx="2588679" cy="34951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400" b="1"/>
            <a:t>Fuente:</a:t>
          </a:r>
          <a:r>
            <a:rPr lang="es-ES" sz="1400" b="1" baseline="0"/>
            <a:t> </a:t>
          </a:r>
          <a:r>
            <a:rPr lang="es-ES" sz="1400" baseline="0"/>
            <a:t>CNSS</a:t>
          </a:r>
          <a:endParaRPr lang="es-ES" sz="1400"/>
        </a:p>
      </cdr:txBody>
    </cdr:sp>
  </cdr:relSizeAnchor>
</c:userShapes>
</file>

<file path=xl/drawings/drawing204.xml><?xml version="1.0" encoding="utf-8"?>
<xdr:wsDr xmlns:xdr="http://schemas.openxmlformats.org/drawingml/2006/spreadsheetDrawing" xmlns:a="http://schemas.openxmlformats.org/drawingml/2006/main">
  <xdr:twoCellAnchor>
    <xdr:from>
      <xdr:col>0</xdr:col>
      <xdr:colOff>0</xdr:colOff>
      <xdr:row>14</xdr:row>
      <xdr:rowOff>179294</xdr:rowOff>
    </xdr:from>
    <xdr:to>
      <xdr:col>13</xdr:col>
      <xdr:colOff>537882</xdr:colOff>
      <xdr:row>50</xdr:row>
      <xdr:rowOff>56030</xdr:rowOff>
    </xdr:to>
    <xdr:graphicFrame macro="">
      <xdr:nvGraphicFramePr>
        <xdr:cNvPr id="2"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1</xdr:row>
      <xdr:rowOff>0</xdr:rowOff>
    </xdr:to>
    <xdr:sp macro="" textlink="">
      <xdr:nvSpPr>
        <xdr:cNvPr id="3" name="4 Rectángulo redondeado"/>
        <xdr:cNvSpPr/>
      </xdr:nvSpPr>
      <xdr:spPr>
        <a:xfrm>
          <a:off x="0" y="0"/>
          <a:ext cx="12337676" cy="91888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ES" sz="1800" b="1" baseline="0">
              <a:solidFill>
                <a:schemeClr val="lt1"/>
              </a:solidFill>
              <a:effectLst/>
              <a:latin typeface="+mn-lt"/>
              <a:ea typeface="+mn-ea"/>
              <a:cs typeface="+mn-cs"/>
            </a:rPr>
            <a:t>Convenio Bilateral de Seguridad Social entre España y la República Dominicana</a:t>
          </a:r>
        </a:p>
        <a:p>
          <a:pPr algn="ctr" eaLnBrk="1" fontAlgn="auto" latinLnBrk="0" hangingPunct="1"/>
          <a:r>
            <a:rPr lang="es-ES" sz="1800" b="1" baseline="0">
              <a:solidFill>
                <a:schemeClr val="lt1"/>
              </a:solidFill>
              <a:effectLst/>
              <a:latin typeface="+mn-lt"/>
              <a:ea typeface="+mn-ea"/>
              <a:cs typeface="+mn-cs"/>
            </a:rPr>
            <a:t>Cantidad de Expedientes con Solicitud de Certificación a Entidades Dominicanas</a:t>
          </a:r>
        </a:p>
        <a:p>
          <a:pPr algn="ctr" eaLnBrk="1" fontAlgn="auto" latinLnBrk="0" hangingPunct="1"/>
          <a:r>
            <a:rPr lang="es-ES" sz="1800" b="1" baseline="0">
              <a:solidFill>
                <a:schemeClr val="lt1"/>
              </a:solidFill>
              <a:effectLst/>
              <a:latin typeface="+mn-lt"/>
              <a:ea typeface="+mn-ea"/>
              <a:cs typeface="+mn-cs"/>
            </a:rPr>
            <a:t>P</a:t>
          </a:r>
          <a:r>
            <a:rPr lang="es-DO" sz="1800" b="1">
              <a:solidFill>
                <a:schemeClr val="lt1"/>
              </a:solidFill>
              <a:effectLst/>
              <a:latin typeface="+mn-lt"/>
              <a:ea typeface="+mn-ea"/>
              <a:cs typeface="+mn-cs"/>
            </a:rPr>
            <a:t>eríodo: 2006 -  Noviembre</a:t>
          </a:r>
          <a:r>
            <a:rPr lang="es-DO" sz="1800" b="1" baseline="0">
              <a:solidFill>
                <a:schemeClr val="lt1"/>
              </a:solidFill>
              <a:effectLst/>
              <a:latin typeface="+mn-lt"/>
              <a:ea typeface="+mn-ea"/>
              <a:cs typeface="+mn-cs"/>
            </a:rPr>
            <a:t> </a:t>
          </a:r>
          <a:r>
            <a:rPr lang="es-DO" sz="1800" b="1">
              <a:solidFill>
                <a:schemeClr val="lt1"/>
              </a:solidFill>
              <a:effectLst/>
              <a:latin typeface="+mn-lt"/>
              <a:ea typeface="+mn-ea"/>
              <a:cs typeface="+mn-cs"/>
            </a:rPr>
            <a:t>2015</a:t>
          </a:r>
        </a:p>
      </xdr:txBody>
    </xdr:sp>
    <xdr:clientData/>
  </xdr:twoCellAnchor>
  <xdr:oneCellAnchor>
    <xdr:from>
      <xdr:col>0</xdr:col>
      <xdr:colOff>347383</xdr:colOff>
      <xdr:row>0</xdr:row>
      <xdr:rowOff>190499</xdr:rowOff>
    </xdr:from>
    <xdr:ext cx="806825" cy="549089"/>
    <xdr:pic>
      <xdr:nvPicPr>
        <xdr:cNvPr id="4"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47383" y="190499"/>
          <a:ext cx="806825" cy="5490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05.xml><?xml version="1.0" encoding="utf-8"?>
<c:userShapes xmlns:c="http://schemas.openxmlformats.org/drawingml/2006/chart">
  <cdr:relSizeAnchor xmlns:cdr="http://schemas.openxmlformats.org/drawingml/2006/chartDrawing">
    <cdr:from>
      <cdr:x>0.02769</cdr:x>
      <cdr:y>0.91865</cdr:y>
    </cdr:from>
    <cdr:to>
      <cdr:x>0.27503</cdr:x>
      <cdr:y>0.97818</cdr:y>
    </cdr:to>
    <cdr:sp macro="" textlink="">
      <cdr:nvSpPr>
        <cdr:cNvPr id="2" name="CuadroTexto 1"/>
        <cdr:cNvSpPr txBox="1"/>
      </cdr:nvSpPr>
      <cdr:spPr>
        <a:xfrm xmlns:a="http://schemas.openxmlformats.org/drawingml/2006/main">
          <a:off x="289846" y="5394219"/>
          <a:ext cx="2588679" cy="34951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400" b="1"/>
            <a:t>Fuente:</a:t>
          </a:r>
          <a:r>
            <a:rPr lang="es-ES" sz="1400" b="1" baseline="0"/>
            <a:t> </a:t>
          </a:r>
          <a:r>
            <a:rPr lang="es-ES" sz="1400" baseline="0"/>
            <a:t>CNSS</a:t>
          </a:r>
          <a:endParaRPr lang="es-ES" sz="1400"/>
        </a:p>
      </cdr:txBody>
    </cdr:sp>
  </cdr:relSizeAnchor>
</c:userShapes>
</file>

<file path=xl/drawings/drawing206.xml><?xml version="1.0" encoding="utf-8"?>
<xdr:wsDr xmlns:xdr="http://schemas.openxmlformats.org/drawingml/2006/spreadsheetDrawing" xmlns:a="http://schemas.openxmlformats.org/drawingml/2006/main">
  <xdr:twoCellAnchor>
    <xdr:from>
      <xdr:col>0</xdr:col>
      <xdr:colOff>67236</xdr:colOff>
      <xdr:row>15</xdr:row>
      <xdr:rowOff>67235</xdr:rowOff>
    </xdr:from>
    <xdr:to>
      <xdr:col>13</xdr:col>
      <xdr:colOff>549089</xdr:colOff>
      <xdr:row>46</xdr:row>
      <xdr:rowOff>56029</xdr:rowOff>
    </xdr:to>
    <xdr:graphicFrame macro="">
      <xdr:nvGraphicFramePr>
        <xdr:cNvPr id="2"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11206</xdr:colOff>
      <xdr:row>0</xdr:row>
      <xdr:rowOff>0</xdr:rowOff>
    </xdr:from>
    <xdr:to>
      <xdr:col>14</xdr:col>
      <xdr:colOff>0</xdr:colOff>
      <xdr:row>1</xdr:row>
      <xdr:rowOff>22412</xdr:rowOff>
    </xdr:to>
    <xdr:sp macro="" textlink="">
      <xdr:nvSpPr>
        <xdr:cNvPr id="3" name="4 Rectángulo redondeado"/>
        <xdr:cNvSpPr/>
      </xdr:nvSpPr>
      <xdr:spPr>
        <a:xfrm>
          <a:off x="11206" y="0"/>
          <a:ext cx="11609294" cy="94129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ES" sz="1600" b="1" baseline="0">
              <a:solidFill>
                <a:schemeClr val="lt1"/>
              </a:solidFill>
              <a:effectLst/>
              <a:latin typeface="+mn-lt"/>
              <a:ea typeface="+mn-ea"/>
              <a:cs typeface="+mn-cs"/>
            </a:rPr>
            <a:t>Convenio Bilateral de Seguridad Social entre España y </a:t>
          </a:r>
        </a:p>
        <a:p>
          <a:pPr algn="ctr" eaLnBrk="1" fontAlgn="auto" latinLnBrk="0" hangingPunct="1"/>
          <a:r>
            <a:rPr lang="es-ES" sz="1600" b="1" baseline="0">
              <a:solidFill>
                <a:schemeClr val="lt1"/>
              </a:solidFill>
              <a:effectLst/>
              <a:latin typeface="+mn-lt"/>
              <a:ea typeface="+mn-ea"/>
              <a:cs typeface="+mn-cs"/>
            </a:rPr>
            <a:t>la República Dominicana Cantidad de Solicitudes  por  Fecha y Sexo </a:t>
          </a:r>
        </a:p>
        <a:p>
          <a:pPr algn="ctr" eaLnBrk="1" fontAlgn="auto" latinLnBrk="0" hangingPunct="1"/>
          <a:r>
            <a:rPr lang="es-ES" sz="1600" b="1" baseline="0">
              <a:solidFill>
                <a:schemeClr val="lt1"/>
              </a:solidFill>
              <a:effectLst/>
              <a:latin typeface="+mn-lt"/>
              <a:ea typeface="+mn-ea"/>
              <a:cs typeface="+mn-cs"/>
            </a:rPr>
            <a:t>P</a:t>
          </a:r>
          <a:r>
            <a:rPr lang="es-DO" sz="1600" b="1">
              <a:solidFill>
                <a:schemeClr val="lt1"/>
              </a:solidFill>
              <a:effectLst/>
              <a:latin typeface="+mn-lt"/>
              <a:ea typeface="+mn-ea"/>
              <a:cs typeface="+mn-cs"/>
            </a:rPr>
            <a:t>eríodo: 2006 -  Noviembre</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2015</a:t>
          </a:r>
        </a:p>
      </xdr:txBody>
    </xdr:sp>
    <xdr:clientData/>
  </xdr:twoCellAnchor>
  <xdr:oneCellAnchor>
    <xdr:from>
      <xdr:col>0</xdr:col>
      <xdr:colOff>347383</xdr:colOff>
      <xdr:row>0</xdr:row>
      <xdr:rowOff>190499</xdr:rowOff>
    </xdr:from>
    <xdr:ext cx="806825" cy="549089"/>
    <xdr:pic>
      <xdr:nvPicPr>
        <xdr:cNvPr id="4"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47383" y="190499"/>
          <a:ext cx="806825" cy="5490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07.xml><?xml version="1.0" encoding="utf-8"?>
<c:userShapes xmlns:c="http://schemas.openxmlformats.org/drawingml/2006/chart">
  <cdr:relSizeAnchor xmlns:cdr="http://schemas.openxmlformats.org/drawingml/2006/chartDrawing">
    <cdr:from>
      <cdr:x>0.02769</cdr:x>
      <cdr:y>0.91865</cdr:y>
    </cdr:from>
    <cdr:to>
      <cdr:x>0.27503</cdr:x>
      <cdr:y>0.97818</cdr:y>
    </cdr:to>
    <cdr:sp macro="" textlink="">
      <cdr:nvSpPr>
        <cdr:cNvPr id="2" name="CuadroTexto 1"/>
        <cdr:cNvSpPr txBox="1"/>
      </cdr:nvSpPr>
      <cdr:spPr>
        <a:xfrm xmlns:a="http://schemas.openxmlformats.org/drawingml/2006/main">
          <a:off x="289846" y="5394219"/>
          <a:ext cx="2588679" cy="34951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400" b="1"/>
            <a:t>Fuente:</a:t>
          </a:r>
          <a:r>
            <a:rPr lang="es-ES" sz="1400" b="1" baseline="0"/>
            <a:t> </a:t>
          </a:r>
          <a:r>
            <a:rPr lang="es-ES" sz="1400" baseline="0"/>
            <a:t>CNSS</a:t>
          </a:r>
          <a:endParaRPr lang="es-ES" sz="1400"/>
        </a:p>
      </cdr:txBody>
    </cdr:sp>
  </cdr:relSizeAnchor>
</c:userShapes>
</file>

<file path=xl/drawings/drawing208.xml><?xml version="1.0" encoding="utf-8"?>
<xdr:wsDr xmlns:xdr="http://schemas.openxmlformats.org/drawingml/2006/spreadsheetDrawing" xmlns:a="http://schemas.openxmlformats.org/drawingml/2006/main">
  <xdr:twoCellAnchor editAs="oneCell">
    <xdr:from>
      <xdr:col>2</xdr:col>
      <xdr:colOff>95250</xdr:colOff>
      <xdr:row>1</xdr:row>
      <xdr:rowOff>38100</xdr:rowOff>
    </xdr:from>
    <xdr:to>
      <xdr:col>6</xdr:col>
      <xdr:colOff>695324</xdr:colOff>
      <xdr:row>22</xdr:row>
      <xdr:rowOff>142875</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1619250" y="228600"/>
          <a:ext cx="3648074" cy="4105275"/>
        </a:xfrm>
        <a:prstGeom prst="rect">
          <a:avLst/>
        </a:prstGeom>
        <a:noFill/>
        <a:ln>
          <a:noFill/>
        </a:ln>
      </xdr:spPr>
    </xdr:pic>
    <xdr:clientData/>
  </xdr:twoCellAnchor>
  <xdr:twoCellAnchor>
    <xdr:from>
      <xdr:col>1</xdr:col>
      <xdr:colOff>47625</xdr:colOff>
      <xdr:row>6</xdr:row>
      <xdr:rowOff>161927</xdr:rowOff>
    </xdr:from>
    <xdr:to>
      <xdr:col>6</xdr:col>
      <xdr:colOff>2362200</xdr:colOff>
      <xdr:row>18</xdr:row>
      <xdr:rowOff>57151</xdr:rowOff>
    </xdr:to>
    <xdr:sp macro="" textlink="">
      <xdr:nvSpPr>
        <xdr:cNvPr id="2" name="1 CuadroTexto"/>
        <xdr:cNvSpPr txBox="1"/>
      </xdr:nvSpPr>
      <xdr:spPr>
        <a:xfrm>
          <a:off x="809625" y="1304927"/>
          <a:ext cx="6124575" cy="2181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000" b="1" baseline="0">
              <a:solidFill>
                <a:srgbClr val="0070C0"/>
              </a:solidFill>
              <a:effectLst/>
              <a:latin typeface="+mn-lt"/>
              <a:ea typeface="+mn-ea"/>
              <a:cs typeface="+mn-cs"/>
            </a:rPr>
            <a:t>ENFT Banco Central</a:t>
          </a:r>
        </a:p>
        <a:p>
          <a:pPr marL="0" marR="0" indent="0" algn="ctr" defTabSz="914400" eaLnBrk="1" fontAlgn="auto" latinLnBrk="0" hangingPunct="1">
            <a:lnSpc>
              <a:spcPct val="100000"/>
            </a:lnSpc>
            <a:spcBef>
              <a:spcPts val="0"/>
            </a:spcBef>
            <a:spcAft>
              <a:spcPts val="0"/>
            </a:spcAft>
            <a:buClrTx/>
            <a:buSzTx/>
            <a:buFontTx/>
            <a:buNone/>
            <a:tabLst/>
            <a:defRPr/>
          </a:pPr>
          <a:r>
            <a:rPr lang="es-DO" sz="2800" b="1">
              <a:solidFill>
                <a:schemeClr val="accent3">
                  <a:lumMod val="50000"/>
                </a:schemeClr>
              </a:solidFill>
            </a:rPr>
            <a:t>Estadísticas de la Encuesta Nacional de Fuerza de Trabajo</a:t>
          </a:r>
        </a:p>
      </xdr:txBody>
    </xdr:sp>
    <xdr:clientData/>
  </xdr:twoCellAnchor>
  <xdr:twoCellAnchor editAs="oneCell">
    <xdr:from>
      <xdr:col>0</xdr:col>
      <xdr:colOff>152400</xdr:colOff>
      <xdr:row>1</xdr:row>
      <xdr:rowOff>19051</xdr:rowOff>
    </xdr:from>
    <xdr:to>
      <xdr:col>1</xdr:col>
      <xdr:colOff>144462</xdr:colOff>
      <xdr:row>3</xdr:row>
      <xdr:rowOff>114301</xdr:rowOff>
    </xdr:to>
    <xdr:pic>
      <xdr:nvPicPr>
        <xdr:cNvPr id="3"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152400" y="209551"/>
          <a:ext cx="754062"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9.xml><?xml version="1.0" encoding="utf-8"?>
<xdr:wsDr xmlns:xdr="http://schemas.openxmlformats.org/drawingml/2006/spreadsheetDrawing" xmlns:a="http://schemas.openxmlformats.org/drawingml/2006/main">
  <xdr:twoCellAnchor>
    <xdr:from>
      <xdr:col>0</xdr:col>
      <xdr:colOff>15687</xdr:colOff>
      <xdr:row>15</xdr:row>
      <xdr:rowOff>89646</xdr:rowOff>
    </xdr:from>
    <xdr:to>
      <xdr:col>15</xdr:col>
      <xdr:colOff>661146</xdr:colOff>
      <xdr:row>45</xdr:row>
      <xdr:rowOff>11205</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750793</xdr:colOff>
      <xdr:row>0</xdr:row>
      <xdr:rowOff>862852</xdr:rowOff>
    </xdr:to>
    <xdr:sp macro="" textlink="">
      <xdr:nvSpPr>
        <xdr:cNvPr id="4" name="6 Rectángulo redondeado"/>
        <xdr:cNvSpPr/>
      </xdr:nvSpPr>
      <xdr:spPr>
        <a:xfrm>
          <a:off x="0" y="0"/>
          <a:ext cx="11116234" cy="86285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Estadísticas De Mercado De Trabajo</a:t>
          </a:r>
        </a:p>
        <a:p>
          <a:pPr algn="ctr" eaLnBrk="1" fontAlgn="auto" latinLnBrk="0" hangingPunct="1"/>
          <a:r>
            <a:rPr lang="es-DO" sz="1600" b="1">
              <a:solidFill>
                <a:schemeClr val="lt1"/>
              </a:solidFill>
              <a:effectLst/>
              <a:latin typeface="+mn-lt"/>
              <a:ea typeface="+mn-ea"/>
              <a:cs typeface="+mn-cs"/>
            </a:rPr>
            <a:t>Distribución de la Población Ocupada Formal por Rama de Actividad</a:t>
          </a:r>
        </a:p>
        <a:p>
          <a:pPr algn="ctr" eaLnBrk="1" fontAlgn="auto" latinLnBrk="0" hangingPunct="1"/>
          <a:r>
            <a:rPr lang="es-DO" sz="1600" b="1">
              <a:solidFill>
                <a:schemeClr val="lt1"/>
              </a:solidFill>
              <a:effectLst/>
              <a:latin typeface="+mn-lt"/>
              <a:ea typeface="+mn-ea"/>
              <a:cs typeface="+mn-cs"/>
            </a:rPr>
            <a:t>Período: 2005 - 2015</a:t>
          </a:r>
          <a:endParaRPr lang="es-DO" sz="2400">
            <a:effectLst/>
          </a:endParaRPr>
        </a:p>
      </xdr:txBody>
    </xdr:sp>
    <xdr:clientData/>
  </xdr:twoCellAnchor>
  <xdr:twoCellAnchor editAs="oneCell">
    <xdr:from>
      <xdr:col>0</xdr:col>
      <xdr:colOff>504264</xdr:colOff>
      <xdr:row>0</xdr:row>
      <xdr:rowOff>156881</xdr:rowOff>
    </xdr:from>
    <xdr:to>
      <xdr:col>0</xdr:col>
      <xdr:colOff>1135156</xdr:colOff>
      <xdr:row>0</xdr:row>
      <xdr:rowOff>577476</xdr:rowOff>
    </xdr:to>
    <xdr:pic>
      <xdr:nvPicPr>
        <xdr:cNvPr id="5" name="4 Imagen" descr="logo_2x4.bmp"/>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04264" y="156881"/>
          <a:ext cx="630892" cy="4205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437029</xdr:colOff>
      <xdr:row>0</xdr:row>
      <xdr:rowOff>89645</xdr:rowOff>
    </xdr:from>
    <xdr:to>
      <xdr:col>0</xdr:col>
      <xdr:colOff>1232953</xdr:colOff>
      <xdr:row>0</xdr:row>
      <xdr:rowOff>680195</xdr:rowOff>
    </xdr:to>
    <xdr:pic>
      <xdr:nvPicPr>
        <xdr:cNvPr id="6" name="9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37029" y="89645"/>
          <a:ext cx="795924"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0</xdr:col>
      <xdr:colOff>0</xdr:colOff>
      <xdr:row>15</xdr:row>
      <xdr:rowOff>190498</xdr:rowOff>
    </xdr:from>
    <xdr:to>
      <xdr:col>15</xdr:col>
      <xdr:colOff>588819</xdr:colOff>
      <xdr:row>45</xdr:row>
      <xdr:rowOff>277090</xdr:rowOff>
    </xdr:to>
    <xdr:graphicFrame macro="">
      <xdr:nvGraphicFramePr>
        <xdr:cNvPr id="7" name="6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727362</xdr:colOff>
      <xdr:row>1</xdr:row>
      <xdr:rowOff>17318</xdr:rowOff>
    </xdr:to>
    <xdr:sp macro="" textlink="">
      <xdr:nvSpPr>
        <xdr:cNvPr id="4" name="3 Rectángulo redondeado"/>
        <xdr:cNvSpPr/>
      </xdr:nvSpPr>
      <xdr:spPr>
        <a:xfrm>
          <a:off x="0" y="0"/>
          <a:ext cx="20504726" cy="13508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eaLnBrk="1" fontAlgn="auto" latinLnBrk="0" hangingPunct="1"/>
          <a:r>
            <a:rPr lang="es-DO" sz="2400" b="1">
              <a:solidFill>
                <a:schemeClr val="lt1"/>
              </a:solidFill>
              <a:effectLst/>
              <a:latin typeface="+mn-lt"/>
              <a:ea typeface="+mn-ea"/>
              <a:cs typeface="+mn-cs"/>
            </a:rPr>
            <a:t>Seguro Familiar de Salud  del Sistema Dominicano</a:t>
          </a:r>
          <a:r>
            <a:rPr lang="es-DO" sz="2400" b="1" baseline="0">
              <a:solidFill>
                <a:schemeClr val="lt1"/>
              </a:solidFill>
              <a:effectLst/>
              <a:latin typeface="+mn-lt"/>
              <a:ea typeface="+mn-ea"/>
              <a:cs typeface="+mn-cs"/>
            </a:rPr>
            <a:t> de Seguridad Social</a:t>
          </a:r>
          <a:endParaRPr lang="es-DO" sz="2400" b="1">
            <a:solidFill>
              <a:schemeClr val="lt1"/>
            </a:solidFill>
            <a:effectLst/>
            <a:latin typeface="+mn-lt"/>
            <a:ea typeface="+mn-ea"/>
            <a:cs typeface="+mn-cs"/>
          </a:endParaRPr>
        </a:p>
        <a:p>
          <a:pPr algn="ctr" eaLnBrk="1" fontAlgn="auto" latinLnBrk="0" hangingPunct="1"/>
          <a:r>
            <a:rPr lang="es-DO" sz="2400" b="1">
              <a:solidFill>
                <a:schemeClr val="lt1"/>
              </a:solidFill>
              <a:effectLst/>
              <a:latin typeface="+mn-lt"/>
              <a:ea typeface="+mn-ea"/>
              <a:cs typeface="+mn-cs"/>
            </a:rPr>
            <a:t>Afiliación</a:t>
          </a:r>
          <a:r>
            <a:rPr lang="es-DO" sz="2400" b="1" baseline="0">
              <a:solidFill>
                <a:schemeClr val="lt1"/>
              </a:solidFill>
              <a:effectLst/>
              <a:latin typeface="+mn-lt"/>
              <a:ea typeface="+mn-ea"/>
              <a:cs typeface="+mn-cs"/>
            </a:rPr>
            <a:t> </a:t>
          </a:r>
          <a:r>
            <a:rPr lang="es-DO" sz="2400" b="1">
              <a:solidFill>
                <a:schemeClr val="lt1"/>
              </a:solidFill>
              <a:effectLst/>
              <a:latin typeface="+mn-lt"/>
              <a:ea typeface="+mn-ea"/>
              <a:cs typeface="+mn-cs"/>
            </a:rPr>
            <a:t>del SFS a la Población Nacional</a:t>
          </a:r>
        </a:p>
        <a:p>
          <a:pPr algn="ctr" eaLnBrk="1" fontAlgn="auto" latinLnBrk="0" hangingPunct="1"/>
          <a:r>
            <a:rPr lang="es-DO" sz="2400" b="1">
              <a:solidFill>
                <a:schemeClr val="lt1"/>
              </a:solidFill>
              <a:effectLst/>
              <a:latin typeface="+mn-lt"/>
              <a:ea typeface="+mn-ea"/>
              <a:cs typeface="+mn-cs"/>
            </a:rPr>
            <a:t>Periodo: 2005 -</a:t>
          </a:r>
          <a:r>
            <a:rPr lang="es-DO" sz="2400" b="1" baseline="0">
              <a:solidFill>
                <a:schemeClr val="lt1"/>
              </a:solidFill>
              <a:effectLst/>
              <a:latin typeface="+mn-lt"/>
              <a:ea typeface="+mn-ea"/>
              <a:cs typeface="+mn-cs"/>
            </a:rPr>
            <a:t> Noviembre 2015</a:t>
          </a:r>
          <a:endParaRPr lang="es-DO" sz="2400">
            <a:effectLst/>
          </a:endParaRPr>
        </a:p>
      </xdr:txBody>
    </xdr:sp>
    <xdr:clientData/>
  </xdr:twoCellAnchor>
  <xdr:twoCellAnchor editAs="oneCell">
    <xdr:from>
      <xdr:col>0</xdr:col>
      <xdr:colOff>796637</xdr:colOff>
      <xdr:row>0</xdr:row>
      <xdr:rowOff>190501</xdr:rowOff>
    </xdr:from>
    <xdr:to>
      <xdr:col>1</xdr:col>
      <xdr:colOff>138546</xdr:colOff>
      <xdr:row>0</xdr:row>
      <xdr:rowOff>895598</xdr:rowOff>
    </xdr:to>
    <xdr:pic>
      <xdr:nvPicPr>
        <xdr:cNvPr id="5" name="2 Imagen" descr="logo_2x4.bmp">
          <a:hlinkClick xmlns:r="http://schemas.openxmlformats.org/officeDocument/2006/relationships" r:id="rId2"/>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796637" y="190501"/>
          <a:ext cx="987136" cy="7050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0.xml><?xml version="1.0" encoding="utf-8"?>
<c:userShapes xmlns:c="http://schemas.openxmlformats.org/drawingml/2006/chart">
  <cdr:relSizeAnchor xmlns:cdr="http://schemas.openxmlformats.org/drawingml/2006/chartDrawing">
    <cdr:from>
      <cdr:x>0.27795</cdr:x>
      <cdr:y>0.11205</cdr:y>
    </cdr:from>
    <cdr:to>
      <cdr:x>0.32226</cdr:x>
      <cdr:y>0.16279</cdr:y>
    </cdr:to>
    <cdr:sp macro="" textlink="">
      <cdr:nvSpPr>
        <cdr:cNvPr id="2" name="1 CuadroTexto"/>
        <cdr:cNvSpPr txBox="1"/>
      </cdr:nvSpPr>
      <cdr:spPr>
        <a:xfrm xmlns:a="http://schemas.openxmlformats.org/drawingml/2006/main">
          <a:off x="2628900" y="504826"/>
          <a:ext cx="419100" cy="2286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dr:relSizeAnchor xmlns:cdr="http://schemas.openxmlformats.org/drawingml/2006/chartDrawing">
    <cdr:from>
      <cdr:x>0.43303</cdr:x>
      <cdr:y>0.08457</cdr:y>
    </cdr:from>
    <cdr:to>
      <cdr:x>0.50856</cdr:x>
      <cdr:y>0.12474</cdr:y>
    </cdr:to>
    <cdr:sp macro="" textlink="">
      <cdr:nvSpPr>
        <cdr:cNvPr id="5" name="4 CuadroTexto"/>
        <cdr:cNvSpPr txBox="1"/>
      </cdr:nvSpPr>
      <cdr:spPr>
        <a:xfrm xmlns:a="http://schemas.openxmlformats.org/drawingml/2006/main">
          <a:off x="4095750" y="381000"/>
          <a:ext cx="714375" cy="1809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dr:relSizeAnchor xmlns:cdr="http://schemas.openxmlformats.org/drawingml/2006/chartDrawing">
    <cdr:from>
      <cdr:x>0.51662</cdr:x>
      <cdr:y>0.08457</cdr:y>
    </cdr:from>
    <cdr:to>
      <cdr:x>0.6002</cdr:x>
      <cdr:y>0.14165</cdr:y>
    </cdr:to>
    <cdr:sp macro="" textlink="">
      <cdr:nvSpPr>
        <cdr:cNvPr id="7" name="6 CuadroTexto"/>
        <cdr:cNvSpPr txBox="1"/>
      </cdr:nvSpPr>
      <cdr:spPr>
        <a:xfrm xmlns:a="http://schemas.openxmlformats.org/drawingml/2006/main">
          <a:off x="4886325" y="381000"/>
          <a:ext cx="790575" cy="2571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dr:relSizeAnchor xmlns:cdr="http://schemas.openxmlformats.org/drawingml/2006/chartDrawing">
    <cdr:from>
      <cdr:x>0.04411</cdr:x>
      <cdr:y>0.93939</cdr:y>
    </cdr:from>
    <cdr:to>
      <cdr:x>0.58316</cdr:x>
      <cdr:y>0.99576</cdr:y>
    </cdr:to>
    <cdr:sp macro="" textlink="">
      <cdr:nvSpPr>
        <cdr:cNvPr id="14" name="13 CuadroTexto"/>
        <cdr:cNvSpPr txBox="1"/>
      </cdr:nvSpPr>
      <cdr:spPr>
        <a:xfrm xmlns:a="http://schemas.openxmlformats.org/drawingml/2006/main">
          <a:off x="479756" y="5210731"/>
          <a:ext cx="5862940" cy="3126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000" b="1"/>
            <a:t>Fuente: </a:t>
          </a:r>
          <a:r>
            <a:rPr lang="es-ES" sz="1000" b="0"/>
            <a:t>Banco Central de la República</a:t>
          </a:r>
          <a:r>
            <a:rPr lang="es-ES" sz="1000" b="0" baseline="0"/>
            <a:t>  Dominicana (BCRD)</a:t>
          </a:r>
        </a:p>
        <a:p xmlns:a="http://schemas.openxmlformats.org/drawingml/2006/main">
          <a:r>
            <a:rPr lang="es-ES" sz="1000" b="0" baseline="0">
              <a:latin typeface="+mn-lt"/>
              <a:ea typeface="+mn-ea"/>
              <a:cs typeface="+mn-cs"/>
            </a:rPr>
            <a:t>               </a:t>
          </a:r>
          <a:endParaRPr lang="es-ES" sz="1400" b="1"/>
        </a:p>
      </cdr:txBody>
    </cdr:sp>
  </cdr:relSizeAnchor>
</c:userShapes>
</file>

<file path=xl/drawings/drawing211.xml><?xml version="1.0" encoding="utf-8"?>
<xdr:wsDr xmlns:xdr="http://schemas.openxmlformats.org/drawingml/2006/spreadsheetDrawing" xmlns:a="http://schemas.openxmlformats.org/drawingml/2006/main">
  <xdr:twoCellAnchor>
    <xdr:from>
      <xdr:col>0</xdr:col>
      <xdr:colOff>0</xdr:colOff>
      <xdr:row>18</xdr:row>
      <xdr:rowOff>78442</xdr:rowOff>
    </xdr:from>
    <xdr:to>
      <xdr:col>11</xdr:col>
      <xdr:colOff>302559</xdr:colOff>
      <xdr:row>51</xdr:row>
      <xdr:rowOff>89647</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414617</xdr:colOff>
      <xdr:row>0</xdr:row>
      <xdr:rowOff>941294</xdr:rowOff>
    </xdr:to>
    <xdr:sp macro="" textlink="">
      <xdr:nvSpPr>
        <xdr:cNvPr id="4" name="6 Rectángulo redondeado"/>
        <xdr:cNvSpPr/>
      </xdr:nvSpPr>
      <xdr:spPr>
        <a:xfrm>
          <a:off x="0" y="0"/>
          <a:ext cx="11900646" cy="94129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Estadísticas De Mercado De Trabajo</a:t>
          </a:r>
        </a:p>
        <a:p>
          <a:pPr algn="ctr" eaLnBrk="1" fontAlgn="auto" latinLnBrk="0" hangingPunct="1"/>
          <a:r>
            <a:rPr lang="es-DO" sz="1600" b="1">
              <a:solidFill>
                <a:schemeClr val="lt1"/>
              </a:solidFill>
              <a:effectLst/>
              <a:latin typeface="+mn-lt"/>
              <a:ea typeface="+mn-ea"/>
              <a:cs typeface="+mn-cs"/>
            </a:rPr>
            <a:t>Población Total Republica Dominicana y por Tipo de Ocupación</a:t>
          </a:r>
        </a:p>
        <a:p>
          <a:pPr algn="ctr" eaLnBrk="1" fontAlgn="auto" latinLnBrk="0" hangingPunct="1"/>
          <a:r>
            <a:rPr lang="es-DO" sz="1600" b="1">
              <a:solidFill>
                <a:schemeClr val="lt1"/>
              </a:solidFill>
              <a:effectLst/>
              <a:latin typeface="+mn-lt"/>
              <a:ea typeface="+mn-ea"/>
              <a:cs typeface="+mn-cs"/>
            </a:rPr>
            <a:t>Período: 2005 - 2015</a:t>
          </a:r>
          <a:endParaRPr lang="es-DO" sz="2400">
            <a:effectLst/>
          </a:endParaRPr>
        </a:p>
      </xdr:txBody>
    </xdr:sp>
    <xdr:clientData/>
  </xdr:twoCellAnchor>
  <xdr:twoCellAnchor editAs="oneCell">
    <xdr:from>
      <xdr:col>0</xdr:col>
      <xdr:colOff>549088</xdr:colOff>
      <xdr:row>0</xdr:row>
      <xdr:rowOff>179294</xdr:rowOff>
    </xdr:from>
    <xdr:to>
      <xdr:col>1</xdr:col>
      <xdr:colOff>515470</xdr:colOff>
      <xdr:row>0</xdr:row>
      <xdr:rowOff>662547</xdr:rowOff>
    </xdr:to>
    <xdr:pic>
      <xdr:nvPicPr>
        <xdr:cNvPr id="5" name="4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49088" y="179294"/>
          <a:ext cx="728382" cy="4832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2.xml><?xml version="1.0" encoding="utf-8"?>
<c:userShapes xmlns:c="http://schemas.openxmlformats.org/drawingml/2006/chart">
  <cdr:relSizeAnchor xmlns:cdr="http://schemas.openxmlformats.org/drawingml/2006/chartDrawing">
    <cdr:from>
      <cdr:x>0.03802</cdr:x>
      <cdr:y>0.85036</cdr:y>
    </cdr:from>
    <cdr:to>
      <cdr:x>0.97433</cdr:x>
      <cdr:y>0.97263</cdr:y>
    </cdr:to>
    <cdr:sp macro="" textlink="">
      <cdr:nvSpPr>
        <cdr:cNvPr id="2" name="1 CuadroTexto"/>
        <cdr:cNvSpPr txBox="1"/>
      </cdr:nvSpPr>
      <cdr:spPr>
        <a:xfrm xmlns:a="http://schemas.openxmlformats.org/drawingml/2006/main">
          <a:off x="448234" y="5221939"/>
          <a:ext cx="11037795" cy="75079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050" b="1"/>
            <a:t>Fuente</a:t>
          </a:r>
          <a:r>
            <a:rPr lang="en-US" sz="1100" b="1"/>
            <a:t>: </a:t>
          </a:r>
          <a:r>
            <a:rPr lang="en-US" sz="1100" b="0"/>
            <a:t>Banco Central de la República Dominicana  (Encuesta de Fuerza de Trabajo. 2015) </a:t>
          </a:r>
        </a:p>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s-ES" sz="1100" b="1">
              <a:effectLst/>
              <a:latin typeface="+mn-lt"/>
              <a:ea typeface="+mn-ea"/>
              <a:cs typeface="+mn-cs"/>
            </a:rPr>
            <a:t>Notas: </a:t>
          </a:r>
          <a:r>
            <a:rPr lang="es-ES" sz="1100">
              <a:effectLst/>
              <a:latin typeface="+mn-lt"/>
              <a:ea typeface="+mn-ea"/>
              <a:cs typeface="+mn-cs"/>
            </a:rPr>
            <a:t>La Población total según el censo del año 2010 es de 9,445,281 personas.  Los datos de población presentados en este informe, han sido proyectados por </a:t>
          </a:r>
          <a:r>
            <a:rPr lang="es-DO" sz="1100">
              <a:effectLst/>
              <a:latin typeface="+mn-lt"/>
              <a:ea typeface="+mn-ea"/>
              <a:cs typeface="+mn-cs"/>
            </a:rPr>
            <a:t>la Gerencia de Planificación &amp; Desarrollo del CNSS.  </a:t>
          </a:r>
          <a:r>
            <a:rPr lang="es-ES" sz="1100">
              <a:effectLst/>
              <a:latin typeface="+mn-lt"/>
              <a:ea typeface="+mn-ea"/>
              <a:cs typeface="+mn-cs"/>
            </a:rPr>
            <a:t>Estos datos serán actualizados una vez que la Oficina Nacional de Estadísticas (ONE) actualice sus proyecciones en base  al censo del 2010. </a:t>
          </a:r>
          <a:endParaRPr lang="en-US">
            <a:effectLst/>
          </a:endParaRPr>
        </a:p>
        <a:p xmlns:a="http://schemas.openxmlformats.org/drawingml/2006/main">
          <a:r>
            <a:rPr lang="en-US" sz="1100" b="0"/>
            <a:t>                                </a:t>
          </a:r>
        </a:p>
      </cdr:txBody>
    </cdr:sp>
  </cdr:relSizeAnchor>
</c:userShapes>
</file>

<file path=xl/drawings/drawing213.xml><?xml version="1.0" encoding="utf-8"?>
<xdr:wsDr xmlns:xdr="http://schemas.openxmlformats.org/drawingml/2006/spreadsheetDrawing" xmlns:a="http://schemas.openxmlformats.org/drawingml/2006/main">
  <xdr:twoCellAnchor>
    <xdr:from>
      <xdr:col>28</xdr:col>
      <xdr:colOff>762000</xdr:colOff>
      <xdr:row>6</xdr:row>
      <xdr:rowOff>266700</xdr:rowOff>
    </xdr:from>
    <xdr:to>
      <xdr:col>40</xdr:col>
      <xdr:colOff>142875</xdr:colOff>
      <xdr:row>37</xdr:row>
      <xdr:rowOff>76200</xdr:rowOff>
    </xdr:to>
    <xdr:graphicFrame macro="">
      <xdr:nvGraphicFramePr>
        <xdr:cNvPr id="3354"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29</xdr:col>
      <xdr:colOff>457200</xdr:colOff>
      <xdr:row>1</xdr:row>
      <xdr:rowOff>0</xdr:rowOff>
    </xdr:from>
    <xdr:to>
      <xdr:col>40</xdr:col>
      <xdr:colOff>742950</xdr:colOff>
      <xdr:row>8</xdr:row>
      <xdr:rowOff>123825</xdr:rowOff>
    </xdr:to>
    <xdr:graphicFrame macro="">
      <xdr:nvGraphicFramePr>
        <xdr:cNvPr id="3355"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30</xdr:col>
      <xdr:colOff>590550</xdr:colOff>
      <xdr:row>7</xdr:row>
      <xdr:rowOff>66675</xdr:rowOff>
    </xdr:from>
    <xdr:to>
      <xdr:col>43</xdr:col>
      <xdr:colOff>142875</xdr:colOff>
      <xdr:row>23</xdr:row>
      <xdr:rowOff>66675</xdr:rowOff>
    </xdr:to>
    <xdr:graphicFrame macro="">
      <xdr:nvGraphicFramePr>
        <xdr:cNvPr id="3356"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762000</xdr:colOff>
      <xdr:row>39</xdr:row>
      <xdr:rowOff>841375</xdr:rowOff>
    </xdr:from>
    <xdr:to>
      <xdr:col>6</xdr:col>
      <xdr:colOff>807719</xdr:colOff>
      <xdr:row>40</xdr:row>
      <xdr:rowOff>79375</xdr:rowOff>
    </xdr:to>
    <xdr:sp macro="" textlink="">
      <xdr:nvSpPr>
        <xdr:cNvPr id="6" name="5 CuadroTexto"/>
        <xdr:cNvSpPr txBox="1"/>
      </xdr:nvSpPr>
      <xdr:spPr>
        <a:xfrm>
          <a:off x="8096250" y="29454475"/>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0</xdr:rowOff>
    </xdr:from>
    <xdr:to>
      <xdr:col>15</xdr:col>
      <xdr:colOff>2770909</xdr:colOff>
      <xdr:row>0</xdr:row>
      <xdr:rowOff>1056408</xdr:rowOff>
    </xdr:to>
    <xdr:sp macro="" textlink="">
      <xdr:nvSpPr>
        <xdr:cNvPr id="7" name="6 Rectángulo redondeado"/>
        <xdr:cNvSpPr/>
      </xdr:nvSpPr>
      <xdr:spPr>
        <a:xfrm>
          <a:off x="0" y="0"/>
          <a:ext cx="20920364" cy="105640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Informe Sistema Dominicano de Seguridad Social (SDSS)</a:t>
          </a:r>
          <a:endParaRPr lang="es-DO" sz="4000">
            <a:effectLst/>
          </a:endParaRPr>
        </a:p>
      </xdr:txBody>
    </xdr:sp>
    <xdr:clientData/>
  </xdr:twoCellAnchor>
  <xdr:twoCellAnchor editAs="oneCell">
    <xdr:from>
      <xdr:col>0</xdr:col>
      <xdr:colOff>900545</xdr:colOff>
      <xdr:row>0</xdr:row>
      <xdr:rowOff>190500</xdr:rowOff>
    </xdr:from>
    <xdr:to>
      <xdr:col>1</xdr:col>
      <xdr:colOff>502227</xdr:colOff>
      <xdr:row>0</xdr:row>
      <xdr:rowOff>790803</xdr:rowOff>
    </xdr:to>
    <xdr:pic>
      <xdr:nvPicPr>
        <xdr:cNvPr id="8" name="1 Imagen" descr="logo_2x4.bmp">
          <a:hlinkClick xmlns:r="http://schemas.openxmlformats.org/officeDocument/2006/relationships" r:id="rId4"/>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00545" y="190500"/>
          <a:ext cx="831273" cy="6003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4.xml><?xml version="1.0" encoding="utf-8"?>
<c:userShapes xmlns:c="http://schemas.openxmlformats.org/drawingml/2006/chart">
  <cdr:relSizeAnchor xmlns:cdr="http://schemas.openxmlformats.org/drawingml/2006/chartDrawing">
    <cdr:from>
      <cdr:x>0.16162</cdr:x>
      <cdr:y>0.83002</cdr:y>
    </cdr:from>
    <cdr:to>
      <cdr:x>0.26061</cdr:x>
      <cdr:y>0.85605</cdr:y>
    </cdr:to>
    <cdr:sp macro="" textlink="">
      <cdr:nvSpPr>
        <cdr:cNvPr id="2" name="1 CuadroTexto"/>
        <cdr:cNvSpPr txBox="1"/>
      </cdr:nvSpPr>
      <cdr:spPr>
        <a:xfrm xmlns:a="http://schemas.openxmlformats.org/drawingml/2006/main">
          <a:off x="1269999" y="8604251"/>
          <a:ext cx="777875" cy="2698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200"/>
            <a:t>65,017</a:t>
          </a:r>
        </a:p>
      </cdr:txBody>
    </cdr:sp>
  </cdr:relSizeAnchor>
  <cdr:relSizeAnchor xmlns:cdr="http://schemas.openxmlformats.org/drawingml/2006/chartDrawing">
    <cdr:from>
      <cdr:x>0.25253</cdr:x>
      <cdr:y>0.81164</cdr:y>
    </cdr:from>
    <cdr:to>
      <cdr:x>0.34141</cdr:x>
      <cdr:y>0.84074</cdr:y>
    </cdr:to>
    <cdr:sp macro="" textlink="">
      <cdr:nvSpPr>
        <cdr:cNvPr id="3" name="2 CuadroTexto"/>
        <cdr:cNvSpPr txBox="1"/>
      </cdr:nvSpPr>
      <cdr:spPr>
        <a:xfrm xmlns:a="http://schemas.openxmlformats.org/drawingml/2006/main">
          <a:off x="1984374" y="8413751"/>
          <a:ext cx="698500" cy="3016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200"/>
            <a:t>266,531</a:t>
          </a:r>
        </a:p>
      </cdr:txBody>
    </cdr:sp>
  </cdr:relSizeAnchor>
  <cdr:relSizeAnchor xmlns:cdr="http://schemas.openxmlformats.org/drawingml/2006/chartDrawing">
    <cdr:from>
      <cdr:x>0.35556</cdr:x>
      <cdr:y>0.78867</cdr:y>
    </cdr:from>
    <cdr:to>
      <cdr:x>0.4505</cdr:x>
      <cdr:y>0.81011</cdr:y>
    </cdr:to>
    <cdr:sp macro="" textlink="">
      <cdr:nvSpPr>
        <cdr:cNvPr id="4" name="3 CuadroTexto"/>
        <cdr:cNvSpPr txBox="1"/>
      </cdr:nvSpPr>
      <cdr:spPr>
        <a:xfrm xmlns:a="http://schemas.openxmlformats.org/drawingml/2006/main">
          <a:off x="2793999" y="8175626"/>
          <a:ext cx="746125" cy="2222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t>513,416</a:t>
          </a:r>
        </a:p>
      </cdr:txBody>
    </cdr:sp>
  </cdr:relSizeAnchor>
  <cdr:relSizeAnchor xmlns:cdr="http://schemas.openxmlformats.org/drawingml/2006/chartDrawing">
    <cdr:from>
      <cdr:x>0.62222</cdr:x>
      <cdr:y>0.43032</cdr:y>
    </cdr:from>
    <cdr:to>
      <cdr:x>0.75152</cdr:x>
      <cdr:y>0.46095</cdr:y>
    </cdr:to>
    <cdr:sp macro="" textlink="">
      <cdr:nvSpPr>
        <cdr:cNvPr id="5" name="4 CuadroTexto"/>
        <cdr:cNvSpPr txBox="1"/>
      </cdr:nvSpPr>
      <cdr:spPr>
        <a:xfrm xmlns:a="http://schemas.openxmlformats.org/drawingml/2006/main">
          <a:off x="4889499" y="4460877"/>
          <a:ext cx="1016000" cy="317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dr:relSizeAnchor xmlns:cdr="http://schemas.openxmlformats.org/drawingml/2006/chartDrawing">
    <cdr:from>
      <cdr:x>0.6202</cdr:x>
      <cdr:y>0.43645</cdr:y>
    </cdr:from>
    <cdr:to>
      <cdr:x>0.74949</cdr:x>
      <cdr:y>0.46248</cdr:y>
    </cdr:to>
    <cdr:sp macro="" textlink="">
      <cdr:nvSpPr>
        <cdr:cNvPr id="6" name="5 CuadroTexto"/>
        <cdr:cNvSpPr txBox="1"/>
      </cdr:nvSpPr>
      <cdr:spPr>
        <a:xfrm xmlns:a="http://schemas.openxmlformats.org/drawingml/2006/main">
          <a:off x="4873624" y="4524376"/>
          <a:ext cx="1016000" cy="2698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200"/>
            <a:t>3,563,843</a:t>
          </a:r>
        </a:p>
      </cdr:txBody>
    </cdr:sp>
  </cdr:relSizeAnchor>
  <cdr:relSizeAnchor xmlns:cdr="http://schemas.openxmlformats.org/drawingml/2006/chartDrawing">
    <cdr:from>
      <cdr:x>0.72121</cdr:x>
      <cdr:y>0.35528</cdr:y>
    </cdr:from>
    <cdr:to>
      <cdr:x>0.83838</cdr:x>
      <cdr:y>0.38285</cdr:y>
    </cdr:to>
    <cdr:sp macro="" textlink="">
      <cdr:nvSpPr>
        <cdr:cNvPr id="7" name="6 CuadroTexto"/>
        <cdr:cNvSpPr txBox="1"/>
      </cdr:nvSpPr>
      <cdr:spPr>
        <a:xfrm xmlns:a="http://schemas.openxmlformats.org/drawingml/2006/main">
          <a:off x="5667374" y="3683001"/>
          <a:ext cx="920750" cy="2857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200"/>
            <a:t>4,293,179</a:t>
          </a:r>
        </a:p>
      </cdr:txBody>
    </cdr:sp>
  </cdr:relSizeAnchor>
  <cdr:relSizeAnchor xmlns:cdr="http://schemas.openxmlformats.org/drawingml/2006/chartDrawing">
    <cdr:from>
      <cdr:x>0.83838</cdr:x>
      <cdr:y>0.317</cdr:y>
    </cdr:from>
    <cdr:to>
      <cdr:x>0.96566</cdr:x>
      <cdr:y>0.35222</cdr:y>
    </cdr:to>
    <cdr:sp macro="" textlink="">
      <cdr:nvSpPr>
        <cdr:cNvPr id="8" name="7 CuadroTexto"/>
        <cdr:cNvSpPr txBox="1"/>
      </cdr:nvSpPr>
      <cdr:spPr>
        <a:xfrm xmlns:a="http://schemas.openxmlformats.org/drawingml/2006/main">
          <a:off x="6588124" y="3286126"/>
          <a:ext cx="1000125" cy="3651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200"/>
            <a:t>4,563,337</a:t>
          </a:r>
        </a:p>
      </cdr:txBody>
    </cdr:sp>
  </cdr:relSizeAnchor>
  <cdr:relSizeAnchor xmlns:cdr="http://schemas.openxmlformats.org/drawingml/2006/chartDrawing">
    <cdr:from>
      <cdr:x>0.00741</cdr:x>
      <cdr:y>0.94314</cdr:y>
    </cdr:from>
    <cdr:to>
      <cdr:x>0.36111</cdr:x>
      <cdr:y>0.98662</cdr:y>
    </cdr:to>
    <cdr:sp macro="" textlink="">
      <cdr:nvSpPr>
        <cdr:cNvPr id="9" name="14 CuadroTexto"/>
        <cdr:cNvSpPr txBox="1"/>
      </cdr:nvSpPr>
      <cdr:spPr>
        <a:xfrm xmlns:a="http://schemas.openxmlformats.org/drawingml/2006/main">
          <a:off x="63500" y="8953500"/>
          <a:ext cx="3032125" cy="412750"/>
        </a:xfrm>
        <a:prstGeom xmlns:a="http://schemas.openxmlformats.org/drawingml/2006/main" prst="rect">
          <a:avLst/>
        </a:prstGeom>
        <a:solidFill xmlns:a="http://schemas.openxmlformats.org/drawingml/2006/main">
          <a:sysClr val="window" lastClr="FFFFFF"/>
        </a:solidFill>
        <a:ln xmlns:a="http://schemas.openxmlformats.org/drawingml/2006/main" w="9525" cmpd="sng">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r>
            <a:rPr lang="en-US" sz="1200" b="1"/>
            <a:t>Fuente: Informe</a:t>
          </a:r>
          <a:r>
            <a:rPr lang="en-US" sz="1200" b="1" baseline="0"/>
            <a:t> Mensual de TSS</a:t>
          </a:r>
          <a:endParaRPr lang="en-US" sz="1200" b="1"/>
        </a:p>
      </cdr:txBody>
    </cdr:sp>
  </cdr:relSizeAnchor>
</c:userShapes>
</file>

<file path=xl/drawings/drawing215.xml><?xml version="1.0" encoding="utf-8"?>
<xdr:wsDr xmlns:xdr="http://schemas.openxmlformats.org/drawingml/2006/spreadsheetDrawing" xmlns:a="http://schemas.openxmlformats.org/drawingml/2006/main">
  <xdr:twoCellAnchor>
    <xdr:from>
      <xdr:col>6</xdr:col>
      <xdr:colOff>762000</xdr:colOff>
      <xdr:row>39</xdr:row>
      <xdr:rowOff>841375</xdr:rowOff>
    </xdr:from>
    <xdr:to>
      <xdr:col>6</xdr:col>
      <xdr:colOff>807719</xdr:colOff>
      <xdr:row>40</xdr:row>
      <xdr:rowOff>79375</xdr:rowOff>
    </xdr:to>
    <xdr:sp macro="" textlink="">
      <xdr:nvSpPr>
        <xdr:cNvPr id="7" name="6 CuadroTexto"/>
        <xdr:cNvSpPr txBox="1"/>
      </xdr:nvSpPr>
      <xdr:spPr>
        <a:xfrm>
          <a:off x="8096250" y="15024100"/>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0</xdr:rowOff>
    </xdr:from>
    <xdr:to>
      <xdr:col>15</xdr:col>
      <xdr:colOff>623454</xdr:colOff>
      <xdr:row>1</xdr:row>
      <xdr:rowOff>86590</xdr:rowOff>
    </xdr:to>
    <xdr:sp macro="" textlink="">
      <xdr:nvSpPr>
        <xdr:cNvPr id="4" name="6 Rectángulo redondeado"/>
        <xdr:cNvSpPr/>
      </xdr:nvSpPr>
      <xdr:spPr>
        <a:xfrm>
          <a:off x="0" y="0"/>
          <a:ext cx="17785772" cy="124690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Informe Sistema Dominicano de Seguridad Social (SDSS)</a:t>
          </a:r>
          <a:endParaRPr lang="es-DO" sz="4000">
            <a:effectLst/>
          </a:endParaRPr>
        </a:p>
      </xdr:txBody>
    </xdr:sp>
    <xdr:clientData/>
  </xdr:twoCellAnchor>
  <xdr:twoCellAnchor editAs="oneCell">
    <xdr:from>
      <xdr:col>0</xdr:col>
      <xdr:colOff>710046</xdr:colOff>
      <xdr:row>0</xdr:row>
      <xdr:rowOff>277091</xdr:rowOff>
    </xdr:from>
    <xdr:to>
      <xdr:col>1</xdr:col>
      <xdr:colOff>381000</xdr:colOff>
      <xdr:row>0</xdr:row>
      <xdr:rowOff>927418</xdr:rowOff>
    </xdr:to>
    <xdr:pic>
      <xdr:nvPicPr>
        <xdr:cNvPr id="5"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10046" y="277091"/>
          <a:ext cx="900545" cy="6503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6.xml><?xml version="1.0" encoding="utf-8"?>
<xdr:wsDr xmlns:xdr="http://schemas.openxmlformats.org/drawingml/2006/spreadsheetDrawing" xmlns:a="http://schemas.openxmlformats.org/drawingml/2006/main">
  <xdr:twoCellAnchor>
    <xdr:from>
      <xdr:col>6</xdr:col>
      <xdr:colOff>762000</xdr:colOff>
      <xdr:row>39</xdr:row>
      <xdr:rowOff>841375</xdr:rowOff>
    </xdr:from>
    <xdr:to>
      <xdr:col>6</xdr:col>
      <xdr:colOff>807719</xdr:colOff>
      <xdr:row>40</xdr:row>
      <xdr:rowOff>79375</xdr:rowOff>
    </xdr:to>
    <xdr:sp macro="" textlink="">
      <xdr:nvSpPr>
        <xdr:cNvPr id="6" name="5 CuadroTexto"/>
        <xdr:cNvSpPr txBox="1"/>
      </xdr:nvSpPr>
      <xdr:spPr>
        <a:xfrm>
          <a:off x="8096250" y="29740225"/>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0</xdr:rowOff>
    </xdr:from>
    <xdr:to>
      <xdr:col>15</xdr:col>
      <xdr:colOff>1904999</xdr:colOff>
      <xdr:row>1</xdr:row>
      <xdr:rowOff>0</xdr:rowOff>
    </xdr:to>
    <xdr:sp macro="" textlink="">
      <xdr:nvSpPr>
        <xdr:cNvPr id="8" name="6 Rectángulo redondeado"/>
        <xdr:cNvSpPr/>
      </xdr:nvSpPr>
      <xdr:spPr>
        <a:xfrm>
          <a:off x="0" y="0"/>
          <a:ext cx="20050124" cy="13335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Informe Sistema Dominicano de Seguridad Social (SDSS)</a:t>
          </a:r>
          <a:endParaRPr lang="es-DO" sz="4000">
            <a:effectLst/>
          </a:endParaRPr>
        </a:p>
      </xdr:txBody>
    </xdr:sp>
    <xdr:clientData/>
  </xdr:twoCellAnchor>
  <xdr:twoCellAnchor editAs="oneCell">
    <xdr:from>
      <xdr:col>0</xdr:col>
      <xdr:colOff>571500</xdr:colOff>
      <xdr:row>0</xdr:row>
      <xdr:rowOff>357188</xdr:rowOff>
    </xdr:from>
    <xdr:to>
      <xdr:col>1</xdr:col>
      <xdr:colOff>362238</xdr:colOff>
      <xdr:row>0</xdr:row>
      <xdr:rowOff>1095375</xdr:rowOff>
    </xdr:to>
    <xdr:pic>
      <xdr:nvPicPr>
        <xdr:cNvPr id="9"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1500" y="357188"/>
          <a:ext cx="1028988" cy="7381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7.xml><?xml version="1.0" encoding="utf-8"?>
<xdr:wsDr xmlns:xdr="http://schemas.openxmlformats.org/drawingml/2006/spreadsheetDrawing" xmlns:a="http://schemas.openxmlformats.org/drawingml/2006/main">
  <xdr:twoCellAnchor>
    <xdr:from>
      <xdr:col>28</xdr:col>
      <xdr:colOff>762000</xdr:colOff>
      <xdr:row>6</xdr:row>
      <xdr:rowOff>266700</xdr:rowOff>
    </xdr:from>
    <xdr:to>
      <xdr:col>40</xdr:col>
      <xdr:colOff>142875</xdr:colOff>
      <xdr:row>37</xdr:row>
      <xdr:rowOff>76200</xdr:rowOff>
    </xdr:to>
    <xdr:graphicFrame macro="">
      <xdr:nvGraphicFramePr>
        <xdr:cNvPr id="540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29</xdr:col>
      <xdr:colOff>457200</xdr:colOff>
      <xdr:row>1</xdr:row>
      <xdr:rowOff>0</xdr:rowOff>
    </xdr:from>
    <xdr:to>
      <xdr:col>40</xdr:col>
      <xdr:colOff>742950</xdr:colOff>
      <xdr:row>8</xdr:row>
      <xdr:rowOff>123825</xdr:rowOff>
    </xdr:to>
    <xdr:graphicFrame macro="">
      <xdr:nvGraphicFramePr>
        <xdr:cNvPr id="5403"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30</xdr:col>
      <xdr:colOff>590550</xdr:colOff>
      <xdr:row>7</xdr:row>
      <xdr:rowOff>66675</xdr:rowOff>
    </xdr:from>
    <xdr:to>
      <xdr:col>43</xdr:col>
      <xdr:colOff>142875</xdr:colOff>
      <xdr:row>23</xdr:row>
      <xdr:rowOff>66675</xdr:rowOff>
    </xdr:to>
    <xdr:graphicFrame macro="">
      <xdr:nvGraphicFramePr>
        <xdr:cNvPr id="5404"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762000</xdr:colOff>
      <xdr:row>39</xdr:row>
      <xdr:rowOff>841375</xdr:rowOff>
    </xdr:from>
    <xdr:to>
      <xdr:col>6</xdr:col>
      <xdr:colOff>807719</xdr:colOff>
      <xdr:row>40</xdr:row>
      <xdr:rowOff>79375</xdr:rowOff>
    </xdr:to>
    <xdr:sp macro="" textlink="">
      <xdr:nvSpPr>
        <xdr:cNvPr id="6" name="5 CuadroTexto"/>
        <xdr:cNvSpPr txBox="1"/>
      </xdr:nvSpPr>
      <xdr:spPr>
        <a:xfrm>
          <a:off x="8096250" y="30873700"/>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1</xdr:rowOff>
    </xdr:from>
    <xdr:to>
      <xdr:col>15</xdr:col>
      <xdr:colOff>1402772</xdr:colOff>
      <xdr:row>0</xdr:row>
      <xdr:rowOff>1108365</xdr:rowOff>
    </xdr:to>
    <xdr:sp macro="" textlink="">
      <xdr:nvSpPr>
        <xdr:cNvPr id="8" name="6 Rectángulo redondeado"/>
        <xdr:cNvSpPr/>
      </xdr:nvSpPr>
      <xdr:spPr>
        <a:xfrm>
          <a:off x="0" y="1"/>
          <a:ext cx="19552227" cy="110836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Informe Sistema Dominicano de Seguridad Social (SDSS)</a:t>
          </a:r>
          <a:endParaRPr lang="es-DO" sz="4000">
            <a:effectLst/>
          </a:endParaRPr>
        </a:p>
      </xdr:txBody>
    </xdr:sp>
    <xdr:clientData/>
  </xdr:twoCellAnchor>
  <xdr:twoCellAnchor editAs="oneCell">
    <xdr:from>
      <xdr:col>0</xdr:col>
      <xdr:colOff>813955</xdr:colOff>
      <xdr:row>0</xdr:row>
      <xdr:rowOff>259774</xdr:rowOff>
    </xdr:from>
    <xdr:to>
      <xdr:col>1</xdr:col>
      <xdr:colOff>543622</xdr:colOff>
      <xdr:row>0</xdr:row>
      <xdr:rowOff>952500</xdr:rowOff>
    </xdr:to>
    <xdr:pic>
      <xdr:nvPicPr>
        <xdr:cNvPr id="9" name="1 Imagen" descr="logo_2x4.bmp">
          <a:hlinkClick xmlns:r="http://schemas.openxmlformats.org/officeDocument/2006/relationships" r:id="rId4"/>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13955" y="259774"/>
          <a:ext cx="959258" cy="6927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8.xml><?xml version="1.0" encoding="utf-8"?>
<c:userShapes xmlns:c="http://schemas.openxmlformats.org/drawingml/2006/chart">
  <cdr:relSizeAnchor xmlns:cdr="http://schemas.openxmlformats.org/drawingml/2006/chartDrawing">
    <cdr:from>
      <cdr:x>0.16162</cdr:x>
      <cdr:y>0.83002</cdr:y>
    </cdr:from>
    <cdr:to>
      <cdr:x>0.26061</cdr:x>
      <cdr:y>0.85605</cdr:y>
    </cdr:to>
    <cdr:sp macro="" textlink="">
      <cdr:nvSpPr>
        <cdr:cNvPr id="2" name="1 CuadroTexto"/>
        <cdr:cNvSpPr txBox="1"/>
      </cdr:nvSpPr>
      <cdr:spPr>
        <a:xfrm xmlns:a="http://schemas.openxmlformats.org/drawingml/2006/main">
          <a:off x="1269999" y="8604251"/>
          <a:ext cx="777875" cy="2698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200"/>
            <a:t>65,017</a:t>
          </a:r>
        </a:p>
      </cdr:txBody>
    </cdr:sp>
  </cdr:relSizeAnchor>
  <cdr:relSizeAnchor xmlns:cdr="http://schemas.openxmlformats.org/drawingml/2006/chartDrawing">
    <cdr:from>
      <cdr:x>0.25253</cdr:x>
      <cdr:y>0.81164</cdr:y>
    </cdr:from>
    <cdr:to>
      <cdr:x>0.34141</cdr:x>
      <cdr:y>0.84074</cdr:y>
    </cdr:to>
    <cdr:sp macro="" textlink="">
      <cdr:nvSpPr>
        <cdr:cNvPr id="3" name="2 CuadroTexto"/>
        <cdr:cNvSpPr txBox="1"/>
      </cdr:nvSpPr>
      <cdr:spPr>
        <a:xfrm xmlns:a="http://schemas.openxmlformats.org/drawingml/2006/main">
          <a:off x="1984374" y="8413751"/>
          <a:ext cx="698500" cy="3016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200"/>
            <a:t>266,531</a:t>
          </a:r>
        </a:p>
      </cdr:txBody>
    </cdr:sp>
  </cdr:relSizeAnchor>
  <cdr:relSizeAnchor xmlns:cdr="http://schemas.openxmlformats.org/drawingml/2006/chartDrawing">
    <cdr:from>
      <cdr:x>0.35556</cdr:x>
      <cdr:y>0.78867</cdr:y>
    </cdr:from>
    <cdr:to>
      <cdr:x>0.4505</cdr:x>
      <cdr:y>0.81011</cdr:y>
    </cdr:to>
    <cdr:sp macro="" textlink="">
      <cdr:nvSpPr>
        <cdr:cNvPr id="4" name="3 CuadroTexto"/>
        <cdr:cNvSpPr txBox="1"/>
      </cdr:nvSpPr>
      <cdr:spPr>
        <a:xfrm xmlns:a="http://schemas.openxmlformats.org/drawingml/2006/main">
          <a:off x="2793999" y="8175626"/>
          <a:ext cx="746125" cy="2222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t>513,416</a:t>
          </a:r>
        </a:p>
      </cdr:txBody>
    </cdr:sp>
  </cdr:relSizeAnchor>
  <cdr:relSizeAnchor xmlns:cdr="http://schemas.openxmlformats.org/drawingml/2006/chartDrawing">
    <cdr:from>
      <cdr:x>0.62222</cdr:x>
      <cdr:y>0.43032</cdr:y>
    </cdr:from>
    <cdr:to>
      <cdr:x>0.75152</cdr:x>
      <cdr:y>0.46095</cdr:y>
    </cdr:to>
    <cdr:sp macro="" textlink="">
      <cdr:nvSpPr>
        <cdr:cNvPr id="5" name="4 CuadroTexto"/>
        <cdr:cNvSpPr txBox="1"/>
      </cdr:nvSpPr>
      <cdr:spPr>
        <a:xfrm xmlns:a="http://schemas.openxmlformats.org/drawingml/2006/main">
          <a:off x="4889499" y="4460877"/>
          <a:ext cx="1016000" cy="317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dr:relSizeAnchor xmlns:cdr="http://schemas.openxmlformats.org/drawingml/2006/chartDrawing">
    <cdr:from>
      <cdr:x>0.6202</cdr:x>
      <cdr:y>0.43645</cdr:y>
    </cdr:from>
    <cdr:to>
      <cdr:x>0.74949</cdr:x>
      <cdr:y>0.46248</cdr:y>
    </cdr:to>
    <cdr:sp macro="" textlink="">
      <cdr:nvSpPr>
        <cdr:cNvPr id="6" name="5 CuadroTexto"/>
        <cdr:cNvSpPr txBox="1"/>
      </cdr:nvSpPr>
      <cdr:spPr>
        <a:xfrm xmlns:a="http://schemas.openxmlformats.org/drawingml/2006/main">
          <a:off x="4873624" y="4524376"/>
          <a:ext cx="1016000" cy="2698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200"/>
            <a:t>3,563,843</a:t>
          </a:r>
        </a:p>
      </cdr:txBody>
    </cdr:sp>
  </cdr:relSizeAnchor>
  <cdr:relSizeAnchor xmlns:cdr="http://schemas.openxmlformats.org/drawingml/2006/chartDrawing">
    <cdr:from>
      <cdr:x>0.72121</cdr:x>
      <cdr:y>0.35528</cdr:y>
    </cdr:from>
    <cdr:to>
      <cdr:x>0.83838</cdr:x>
      <cdr:y>0.38285</cdr:y>
    </cdr:to>
    <cdr:sp macro="" textlink="">
      <cdr:nvSpPr>
        <cdr:cNvPr id="7" name="6 CuadroTexto"/>
        <cdr:cNvSpPr txBox="1"/>
      </cdr:nvSpPr>
      <cdr:spPr>
        <a:xfrm xmlns:a="http://schemas.openxmlformats.org/drawingml/2006/main">
          <a:off x="5667374" y="3683001"/>
          <a:ext cx="920750" cy="2857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200"/>
            <a:t>4,293,179</a:t>
          </a:r>
        </a:p>
      </cdr:txBody>
    </cdr:sp>
  </cdr:relSizeAnchor>
  <cdr:relSizeAnchor xmlns:cdr="http://schemas.openxmlformats.org/drawingml/2006/chartDrawing">
    <cdr:from>
      <cdr:x>0.83838</cdr:x>
      <cdr:y>0.317</cdr:y>
    </cdr:from>
    <cdr:to>
      <cdr:x>0.96566</cdr:x>
      <cdr:y>0.35222</cdr:y>
    </cdr:to>
    <cdr:sp macro="" textlink="">
      <cdr:nvSpPr>
        <cdr:cNvPr id="8" name="7 CuadroTexto"/>
        <cdr:cNvSpPr txBox="1"/>
      </cdr:nvSpPr>
      <cdr:spPr>
        <a:xfrm xmlns:a="http://schemas.openxmlformats.org/drawingml/2006/main">
          <a:off x="6588124" y="3286126"/>
          <a:ext cx="1000125" cy="3651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200"/>
            <a:t>4,563,337</a:t>
          </a:r>
        </a:p>
      </cdr:txBody>
    </cdr:sp>
  </cdr:relSizeAnchor>
  <cdr:relSizeAnchor xmlns:cdr="http://schemas.openxmlformats.org/drawingml/2006/chartDrawing">
    <cdr:from>
      <cdr:x>0.00741</cdr:x>
      <cdr:y>0.94314</cdr:y>
    </cdr:from>
    <cdr:to>
      <cdr:x>0.36111</cdr:x>
      <cdr:y>0.98662</cdr:y>
    </cdr:to>
    <cdr:sp macro="" textlink="">
      <cdr:nvSpPr>
        <cdr:cNvPr id="9" name="14 CuadroTexto"/>
        <cdr:cNvSpPr txBox="1"/>
      </cdr:nvSpPr>
      <cdr:spPr>
        <a:xfrm xmlns:a="http://schemas.openxmlformats.org/drawingml/2006/main">
          <a:off x="63500" y="8953500"/>
          <a:ext cx="3032125" cy="412750"/>
        </a:xfrm>
        <a:prstGeom xmlns:a="http://schemas.openxmlformats.org/drawingml/2006/main" prst="rect">
          <a:avLst/>
        </a:prstGeom>
        <a:solidFill xmlns:a="http://schemas.openxmlformats.org/drawingml/2006/main">
          <a:sysClr val="window" lastClr="FFFFFF"/>
        </a:solidFill>
        <a:ln xmlns:a="http://schemas.openxmlformats.org/drawingml/2006/main" w="9525" cmpd="sng">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r>
            <a:rPr lang="en-US" sz="1200" b="1"/>
            <a:t>Fuente: Informe</a:t>
          </a:r>
          <a:r>
            <a:rPr lang="en-US" sz="1200" b="1" baseline="0"/>
            <a:t> Mensual de TSS</a:t>
          </a:r>
          <a:endParaRPr lang="en-US" sz="1200" b="1"/>
        </a:p>
      </cdr:txBody>
    </cdr:sp>
  </cdr:relSizeAnchor>
</c:userShapes>
</file>

<file path=xl/drawings/drawing219.xml><?xml version="1.0" encoding="utf-8"?>
<xdr:wsDr xmlns:xdr="http://schemas.openxmlformats.org/drawingml/2006/spreadsheetDrawing" xmlns:a="http://schemas.openxmlformats.org/drawingml/2006/main">
  <xdr:twoCellAnchor>
    <xdr:from>
      <xdr:col>0</xdr:col>
      <xdr:colOff>1</xdr:colOff>
      <xdr:row>0</xdr:row>
      <xdr:rowOff>0</xdr:rowOff>
    </xdr:from>
    <xdr:to>
      <xdr:col>12</xdr:col>
      <xdr:colOff>705970</xdr:colOff>
      <xdr:row>44</xdr:row>
      <xdr:rowOff>156882</xdr:rowOff>
    </xdr:to>
    <xdr:sp macro="" textlink="">
      <xdr:nvSpPr>
        <xdr:cNvPr id="2" name="1 CuadroTexto"/>
        <xdr:cNvSpPr txBox="1"/>
      </xdr:nvSpPr>
      <xdr:spPr>
        <a:xfrm>
          <a:off x="1" y="0"/>
          <a:ext cx="10264587" cy="8538882"/>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600" b="0">
            <a:solidFill>
              <a:schemeClr val="accent3">
                <a:lumMod val="50000"/>
              </a:schemeClr>
            </a:solidFill>
          </a:endParaRPr>
        </a:p>
        <a:p>
          <a:r>
            <a:rPr lang="es-DO" sz="1200">
              <a:solidFill>
                <a:schemeClr val="dk1"/>
              </a:solidFill>
              <a:effectLst/>
              <a:latin typeface="+mn-lt"/>
              <a:ea typeface="+mn-ea"/>
              <a:cs typeface="+mn-cs"/>
            </a:rPr>
            <a:t>Con la promulgación de la Ley 87 01 el 9 de mayo del 2001, se crea el Sistema Dominicano de Seguridad Social (SDSS). catorce años después de su creación, están constituidas y operando las instituciones públicas del sistema y un conjunto de instituciones privadas y mixtas (Prestadoras de Servicios de Salud, Administradoras de Riesgos de Salud y de Fondos de Pensiones), para garantizarle a la población las prestaciones que ofrece la Seguridad Social. </a:t>
          </a:r>
        </a:p>
        <a:p>
          <a:endParaRPr lang="en-US" sz="1200">
            <a:solidFill>
              <a:schemeClr val="dk1"/>
            </a:solidFill>
            <a:effectLst/>
            <a:latin typeface="+mn-lt"/>
            <a:ea typeface="+mn-ea"/>
            <a:cs typeface="+mn-cs"/>
          </a:endParaRPr>
        </a:p>
        <a:p>
          <a:r>
            <a:rPr lang="es-DO" sz="1200">
              <a:solidFill>
                <a:schemeClr val="dk1"/>
              </a:solidFill>
              <a:effectLst/>
              <a:latin typeface="+mn-lt"/>
              <a:ea typeface="+mn-ea"/>
              <a:cs typeface="+mn-cs"/>
            </a:rPr>
            <a:t>Entre 2001 y 2014 el SDSS, tuvo avances y realizaciones, se  han aprobados y publicacados los principales reglamentos y normativas, se han emitidos resoluciones e importantes decisiones para la aplicación del Seguro de Vejez, Discapacidad y Sobrevivencia (el Seguro de pensiones), del Seguro Familiar de Salud y el Seguro de Riesgos Laborales, se han realizados  numerosos estudios e investigaciones para la aplicación de las prestaciones contempladas en la ley. </a:t>
          </a:r>
        </a:p>
        <a:p>
          <a:endParaRPr lang="en-US" sz="1200">
            <a:solidFill>
              <a:schemeClr val="dk1"/>
            </a:solidFill>
            <a:effectLst/>
            <a:latin typeface="+mn-lt"/>
            <a:ea typeface="+mn-ea"/>
            <a:cs typeface="+mn-cs"/>
          </a:endParaRPr>
        </a:p>
        <a:p>
          <a:r>
            <a:rPr lang="es-DO" sz="1200">
              <a:solidFill>
                <a:schemeClr val="dk1"/>
              </a:solidFill>
              <a:effectLst/>
              <a:latin typeface="+mn-lt"/>
              <a:ea typeface="+mn-ea"/>
              <a:cs typeface="+mn-cs"/>
            </a:rPr>
            <a:t>El diseño y la aplicación del Sistema </a:t>
          </a:r>
          <a:r>
            <a:rPr lang="en-US" sz="1200">
              <a:solidFill>
                <a:schemeClr val="dk1"/>
              </a:solidFill>
              <a:effectLst/>
              <a:latin typeface="+mn-lt"/>
              <a:ea typeface="+mn-ea"/>
              <a:cs typeface="+mn-cs"/>
            </a:rPr>
            <a:t>Ú</a:t>
          </a:r>
          <a:r>
            <a:rPr lang="es-DO" sz="1200">
              <a:solidFill>
                <a:schemeClr val="dk1"/>
              </a:solidFill>
              <a:effectLst/>
              <a:latin typeface="+mn-lt"/>
              <a:ea typeface="+mn-ea"/>
              <a:cs typeface="+mn-cs"/>
            </a:rPr>
            <a:t>nico de Información y Recaudo  (SUIR) del SDSS, basado en el uso de softwares para la afiliación, el recaudo y distribución de los recursos; es un mecanismo informático novedoso para cualquier sistema de seguridad social, el cual, a través de sus diversos módulos, garantiza  un acceso rápido y efectivo a las instancias aseguradoras, reguladoras y fiscalizadoras de la seguridad social y una gestión transparente en la aplicación del sistema.  En el año 2014 para la elaboración del Plan Estratégico</a:t>
          </a:r>
          <a:r>
            <a:rPr lang="es-DO" sz="1200" baseline="0">
              <a:solidFill>
                <a:schemeClr val="dk1"/>
              </a:solidFill>
              <a:effectLst/>
              <a:latin typeface="+mn-lt"/>
              <a:ea typeface="+mn-ea"/>
              <a:cs typeface="+mn-cs"/>
            </a:rPr>
            <a:t>  quinquenal del SDSS, </a:t>
          </a:r>
          <a:r>
            <a:rPr lang="es-DO" sz="1200">
              <a:solidFill>
                <a:schemeClr val="dk1"/>
              </a:solidFill>
              <a:effectLst/>
              <a:latin typeface="+mn-lt"/>
              <a:ea typeface="+mn-ea"/>
              <a:cs typeface="+mn-cs"/>
            </a:rPr>
            <a:t>se</a:t>
          </a:r>
          <a:r>
            <a:rPr lang="es-DO" sz="1200" baseline="0">
              <a:solidFill>
                <a:schemeClr val="dk1"/>
              </a:solidFill>
              <a:effectLst/>
              <a:latin typeface="+mn-lt"/>
              <a:ea typeface="+mn-ea"/>
              <a:cs typeface="+mn-cs"/>
            </a:rPr>
            <a:t> conformó una Comisión  Especial conformada por representantes de los sectores gubernamental, empleador, laboral,  profesionales,  personas con discapacidad e indigentes y la participación activa de los funcionarios y técnicos de la s entidades del sistema  y el acompañamiento de la firma KPMG , la cual ganó una licitación  pública realizada por el CNSS en cumplimiento de la Ley 340-06de Compras y Contrataciones del Estado. Dicho plan  fue aprobado por el CNSS mediante la Resolución No. 334-03 en fecha 30 de enero de 2014</a:t>
          </a:r>
        </a:p>
        <a:p>
          <a:endParaRPr lang="es-DO" sz="1200" b="0">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200">
              <a:solidFill>
                <a:schemeClr val="dk1"/>
              </a:solidFill>
              <a:effectLst/>
              <a:latin typeface="+mn-lt"/>
              <a:ea typeface="+mn-ea"/>
              <a:cs typeface="+mn-cs"/>
            </a:rPr>
            <a:t>En loscatorce años transcurridos, las instituciones del SDSS han fortalecidos sus estructuras técnicas y gerenciales y sus sistemas de información y de servicios a los afiliados. Se han ejecutados  amplios programas de promoción, divulgación y capacitación integrando a cientos de organizaciones de la sociedad civil en la difusión de la ley 87- 01. Se han realizados múltiples publicaciones educativas sobre la seguridad social (libros, manuales, boletines, folletos y brochures) , para instruir a la población en deberes y derechos, acceso a los servicios, beneficios y reclamaciones, entre otras. </a:t>
          </a:r>
        </a:p>
        <a:p>
          <a:pPr marL="0" marR="0" indent="0" algn="l" defTabSz="914400" eaLnBrk="1" fontAlgn="auto" latinLnBrk="0" hangingPunct="1">
            <a:lnSpc>
              <a:spcPct val="100000"/>
            </a:lnSpc>
            <a:spcBef>
              <a:spcPts val="0"/>
            </a:spcBef>
            <a:spcAft>
              <a:spcPts val="0"/>
            </a:spcAft>
            <a:buClrTx/>
            <a:buSzTx/>
            <a:buFontTx/>
            <a:buNone/>
            <a:tabLst/>
            <a:defRPr/>
          </a:pPr>
          <a:endParaRPr lang="es-DO" sz="1200">
            <a:solidFill>
              <a:schemeClr val="dk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200">
              <a:solidFill>
                <a:schemeClr val="dk1"/>
              </a:solidFill>
              <a:effectLst/>
              <a:latin typeface="+mn-lt"/>
              <a:ea typeface="+mn-ea"/>
              <a:cs typeface="+mn-cs"/>
            </a:rPr>
            <a:t>Además, se crearon</a:t>
          </a:r>
          <a:r>
            <a:rPr lang="es-DO" sz="1200" baseline="0">
              <a:solidFill>
                <a:schemeClr val="dk1"/>
              </a:solidFill>
              <a:effectLst/>
              <a:latin typeface="+mn-lt"/>
              <a:ea typeface="+mn-ea"/>
              <a:cs typeface="+mn-cs"/>
            </a:rPr>
            <a:t> </a:t>
          </a:r>
          <a:r>
            <a:rPr lang="es-DO" sz="1200">
              <a:solidFill>
                <a:schemeClr val="dk1"/>
              </a:solidFill>
              <a:effectLst/>
              <a:latin typeface="+mn-lt"/>
              <a:ea typeface="+mn-ea"/>
              <a:cs typeface="+mn-cs"/>
            </a:rPr>
            <a:t> las instituciones públicas y privadas de servicios y se estableció  la reorganización institucional, definiendo la estructura funcional y operativa para adecuarse a la seguridad social. En la SESPAS se han tomados medidas administrativas para la reorganización de la Red de servicios públicos y la aprobación de Reglamentos, cuya aplicación permite avances significativos en la calidad y eficientización de los servicios de salud, pilares de las reformas de salud y de la seguridad social. Asimismo, el Instituto Dominicano de Seguros Sociales (IDSS) ha avanzado en la reestructuración de sus instituciones para la entrega de los servicios de estancias infantiles, de salud y riesgos laborales; asimismo, se creó el Seguro Nacional de Salud (SeNaSa), que a la fecha cuenta con una significativa cartera de afiliados y lleva a cabo la ejecución de novedosos contratos de gestión con proveedores de servicios de salud, basados en modelos de gestión clínica que promueven la reorganización de las redes de servicios y la conformación de Proveedoras Públicas Regionales, para garantizar servicios de salud a la población con calidad y oportunidad.</a:t>
          </a:r>
        </a:p>
        <a:p>
          <a:pPr marL="0" marR="0" indent="0" algn="l" defTabSz="914400" eaLnBrk="1" fontAlgn="auto" latinLnBrk="0" hangingPunct="1">
            <a:lnSpc>
              <a:spcPct val="100000"/>
            </a:lnSpc>
            <a:spcBef>
              <a:spcPts val="0"/>
            </a:spcBef>
            <a:spcAft>
              <a:spcPts val="0"/>
            </a:spcAft>
            <a:buClrTx/>
            <a:buSzTx/>
            <a:buFontTx/>
            <a:buNone/>
            <a:tabLst/>
            <a:defRPr/>
          </a:pPr>
          <a:endParaRPr lang="es-DO" sz="1200">
            <a:solidFill>
              <a:schemeClr val="dk1"/>
            </a:solidFill>
            <a:effectLst/>
            <a:latin typeface="+mn-lt"/>
            <a:ea typeface="+mn-ea"/>
            <a:cs typeface="+mn-cs"/>
          </a:endParaRPr>
        </a:p>
        <a:p>
          <a:r>
            <a:rPr lang="es-DO" sz="1100">
              <a:solidFill>
                <a:schemeClr val="dk1"/>
              </a:solidFill>
              <a:effectLst/>
              <a:latin typeface="+mn-lt"/>
              <a:ea typeface="+mn-ea"/>
              <a:cs typeface="+mn-cs"/>
            </a:rPr>
            <a:t> </a:t>
          </a:r>
          <a:r>
            <a:rPr lang="es-DO" sz="1200">
              <a:solidFill>
                <a:schemeClr val="dk1"/>
              </a:solidFill>
              <a:effectLst/>
              <a:latin typeface="+mn-lt"/>
              <a:ea typeface="+mn-ea"/>
              <a:cs typeface="+mn-cs"/>
            </a:rPr>
            <a:t>Desde el inicio del Sistema Dominicano de Seguridad Social, los aportes del Gobierno Dominicano han permitido sentar las bases de operación, su fortalecimiento institucional y la aplicación de los servicios que contempla la ley de seguridad social. Una inversión de RD$ 5.0 millones sirvieron para dar inicio a la creación y operaciones de las instituciones del SDSS en los meses de agosto diciembre del 2001. En el año 2002 este aporte aumentó a RD$ 71.0 millones, lo que permitió el desarrollo de las instituciones creadas por la seguridad social e iniciar a la protección a los primeros afiliados del Seguro Familiar de Salud del Régimen Subsidiado.</a:t>
          </a:r>
          <a:endParaRPr lang="en-US" sz="1200">
            <a:solidFill>
              <a:schemeClr val="dk1"/>
            </a:solidFill>
            <a:effectLst/>
            <a:latin typeface="+mn-lt"/>
            <a:ea typeface="+mn-ea"/>
            <a:cs typeface="+mn-cs"/>
          </a:endParaRPr>
        </a:p>
        <a:p>
          <a:r>
            <a:rPr lang="es-DO" sz="1200">
              <a:solidFill>
                <a:schemeClr val="dk1"/>
              </a:solidFill>
              <a:effectLst/>
              <a:latin typeface="+mn-lt"/>
              <a:ea typeface="+mn-ea"/>
              <a:cs typeface="+mn-cs"/>
            </a:rPr>
            <a:t>Para el 2003 la inversión del Estado ascendió a RD$285.0 millones, de los cuales RD$133.00 millones se utilizaron en la compra de dos edificaciones para albergar  las oficinas de las instituciones del Sistema. </a:t>
          </a:r>
          <a:r>
            <a:rPr lang="es-DO" sz="1200">
              <a:solidFill>
                <a:sysClr val="windowText" lastClr="000000"/>
              </a:solidFill>
              <a:effectLst/>
              <a:latin typeface="+mn-lt"/>
              <a:ea typeface="+mn-ea"/>
              <a:cs typeface="+mn-cs"/>
            </a:rPr>
            <a:t>En el año 2004 el Gobierno Dominicano consignó RD$280.0 millones en el presupuesto nacional para gastos operativos de las instituciones del sistema.  Hasta el 31 de diciembre de 2014, el Gobierno Dominicano ha aportado RD$</a:t>
          </a:r>
          <a:r>
            <a:rPr lang="en-US" sz="1200" b="0" i="0" u="none" strike="noStrike">
              <a:solidFill>
                <a:sysClr val="windowText" lastClr="000000"/>
              </a:solidFill>
              <a:effectLst/>
              <a:latin typeface="+mn-lt"/>
              <a:ea typeface="+mn-ea"/>
              <a:cs typeface="+mn-cs"/>
            </a:rPr>
            <a:t>33,013.77 </a:t>
          </a:r>
          <a:r>
            <a:rPr lang="es-DO" sz="1200">
              <a:solidFill>
                <a:sysClr val="windowText" lastClr="000000"/>
              </a:solidFill>
              <a:effectLst/>
              <a:latin typeface="+mn-lt"/>
              <a:ea typeface="+mn-ea"/>
              <a:cs typeface="+mn-cs"/>
            </a:rPr>
            <a:t>millones para los servicios de atención a la salud de los afiliados al  Seguro Familiar de Salud  del Régimen Subsidiado en el Sistema Dominicano de Seguridad Social (SDSS). </a:t>
          </a:r>
          <a:endParaRPr lang="en-US" sz="120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0">
            <a:solidFill>
              <a:sysClr val="windowText" lastClr="000000"/>
            </a:solidFill>
          </a:endParaRPr>
        </a:p>
      </xdr:txBody>
    </xdr:sp>
    <xdr:clientData/>
  </xdr:twoCellAnchor>
  <xdr:twoCellAnchor>
    <xdr:from>
      <xdr:col>0</xdr:col>
      <xdr:colOff>0</xdr:colOff>
      <xdr:row>0</xdr:row>
      <xdr:rowOff>11206</xdr:rowOff>
    </xdr:from>
    <xdr:to>
      <xdr:col>12</xdr:col>
      <xdr:colOff>761999</xdr:colOff>
      <xdr:row>4</xdr:row>
      <xdr:rowOff>56030</xdr:rowOff>
    </xdr:to>
    <xdr:sp macro="" textlink="">
      <xdr:nvSpPr>
        <xdr:cNvPr id="4" name="6 Rectángulo redondeado"/>
        <xdr:cNvSpPr/>
      </xdr:nvSpPr>
      <xdr:spPr>
        <a:xfrm>
          <a:off x="0" y="11206"/>
          <a:ext cx="10320617" cy="80682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Logros del Sistema Dominicano de Seguridad Social</a:t>
          </a:r>
          <a:endParaRPr lang="es-DO" sz="4400">
            <a:effectLst/>
          </a:endParaRPr>
        </a:p>
      </xdr:txBody>
    </xdr:sp>
    <xdr:clientData/>
  </xdr:twoCellAnchor>
  <xdr:twoCellAnchor editAs="oneCell">
    <xdr:from>
      <xdr:col>0</xdr:col>
      <xdr:colOff>291353</xdr:colOff>
      <xdr:row>0</xdr:row>
      <xdr:rowOff>112059</xdr:rowOff>
    </xdr:from>
    <xdr:to>
      <xdr:col>1</xdr:col>
      <xdr:colOff>353555</xdr:colOff>
      <xdr:row>3</xdr:row>
      <xdr:rowOff>89647</xdr:rowOff>
    </xdr:to>
    <xdr:pic>
      <xdr:nvPicPr>
        <xdr:cNvPr id="5" name="1 Imagen" descr="Logo_2x4.bmp"/>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063" t="10325" r="3969" b="15109"/>
        <a:stretch/>
      </xdr:blipFill>
      <xdr:spPr bwMode="auto">
        <a:xfrm>
          <a:off x="291353" y="112059"/>
          <a:ext cx="824202" cy="5490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c:userShapes xmlns:c="http://schemas.openxmlformats.org/drawingml/2006/chart">
  <cdr:relSizeAnchor xmlns:cdr="http://schemas.openxmlformats.org/drawingml/2006/chartDrawing">
    <cdr:from>
      <cdr:x>0.04094</cdr:x>
      <cdr:y>0.86832</cdr:y>
    </cdr:from>
    <cdr:to>
      <cdr:x>0.94432</cdr:x>
      <cdr:y>0.98225</cdr:y>
    </cdr:to>
    <cdr:sp macro="" textlink="">
      <cdr:nvSpPr>
        <cdr:cNvPr id="2" name="2 CuadroTexto"/>
        <cdr:cNvSpPr txBox="1"/>
      </cdr:nvSpPr>
      <cdr:spPr>
        <a:xfrm xmlns:a="http://schemas.openxmlformats.org/drawingml/2006/main">
          <a:off x="854383" y="7624143"/>
          <a:ext cx="18852104" cy="1000314"/>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800" b="1"/>
            <a:t>Fuente</a:t>
          </a:r>
          <a:r>
            <a:rPr lang="es-DO" sz="1800"/>
            <a:t>: Estimaciones y Proyecciones de población por la Oficina Nacional de Estadísticas (ONE),</a:t>
          </a:r>
          <a:r>
            <a:rPr lang="es-DO" sz="1800" baseline="0"/>
            <a:t> </a:t>
          </a:r>
          <a:r>
            <a:rPr lang="es-DO" sz="1800"/>
            <a:t>2000-2030.</a:t>
          </a:r>
        </a:p>
        <a:p xmlns:a="http://schemas.openxmlformats.org/drawingml/2006/main">
          <a:r>
            <a:rPr lang="es-DO" sz="1800"/>
            <a:t>               Superintendencia de Salud y Riesgos Laborables</a:t>
          </a:r>
          <a:r>
            <a:rPr lang="es-DO" sz="1800" baseline="0"/>
            <a:t> (SISALRIL).</a:t>
          </a:r>
          <a:endParaRPr lang="es-DO" sz="1800"/>
        </a:p>
      </cdr:txBody>
    </cdr:sp>
  </cdr:relSizeAnchor>
</c:userShapes>
</file>

<file path=xl/drawings/drawing220.xml><?xml version="1.0" encoding="utf-8"?>
<xdr:wsDr xmlns:xdr="http://schemas.openxmlformats.org/drawingml/2006/spreadsheetDrawing" xmlns:a="http://schemas.openxmlformats.org/drawingml/2006/main">
  <xdr:twoCellAnchor>
    <xdr:from>
      <xdr:col>0</xdr:col>
      <xdr:colOff>1</xdr:colOff>
      <xdr:row>0</xdr:row>
      <xdr:rowOff>0</xdr:rowOff>
    </xdr:from>
    <xdr:to>
      <xdr:col>12</xdr:col>
      <xdr:colOff>728381</xdr:colOff>
      <xdr:row>44</xdr:row>
      <xdr:rowOff>179294</xdr:rowOff>
    </xdr:to>
    <xdr:sp macro="" textlink="">
      <xdr:nvSpPr>
        <xdr:cNvPr id="2" name="1 CuadroTexto"/>
        <xdr:cNvSpPr txBox="1"/>
      </xdr:nvSpPr>
      <xdr:spPr>
        <a:xfrm>
          <a:off x="1" y="0"/>
          <a:ext cx="10005730" cy="8561294"/>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defTabSz="914400" eaLnBrk="1" fontAlgn="auto" latinLnBrk="0" hangingPunct="1">
            <a:lnSpc>
              <a:spcPct val="100000"/>
            </a:lnSpc>
            <a:spcBef>
              <a:spcPts val="0"/>
            </a:spcBef>
            <a:spcAft>
              <a:spcPts val="0"/>
            </a:spcAft>
            <a:buClrTx/>
            <a:buSzTx/>
            <a:buFontTx/>
            <a:buNone/>
            <a:tabLst/>
            <a:defRPr/>
          </a:pPr>
          <a:r>
            <a:rPr lang="es-DO" sz="1400" baseline="0">
              <a:solidFill>
                <a:schemeClr val="dk1"/>
              </a:solidFill>
              <a:effectLst/>
              <a:latin typeface="+mn-lt"/>
              <a:ea typeface="+mn-ea"/>
              <a:cs typeface="+mn-cs"/>
            </a:rPr>
            <a:t>Las operaciones del Sistema Dominicano de Seguridad Social se iniciaron con lel Seguro Familiar de Salud  del Régimen Subsidiado, con la entrega de los servicios del Plan Básico de Salud a las personas más pobres y necesitadasen la Región Sanitaria IV  (provincias de Barahona y Bahoruco),el 1ro. de noviembre del 2002 , cumpliendo con el mandato de la Ley 87 01, que en el art. 8  establece  que "el Consejo Nacional de Seguridad Social (CNSS) someteráal Poder  Ejecutivoun calendario de ejecución gradual y progresiva  de la cobertura de los Regímenes Subsidiado y Contributivo Subsidiado en lo que concierne al  Seguro Familiar de Salud y al Seguro de Vejez, Discapacidad  y Sobrevivencia, priorizando la protección de los grupos  con mayores carencias de las provincias de mayor indice de pobreza", luego se fueron incorporando gradualmente, las demás provincias del país hasta extenderlo a todo el territorio . Al 31 de enero de 2015 están afiliadas  3,015,646 personas a nivel nacional.</a:t>
          </a:r>
        </a:p>
        <a:p>
          <a:pPr marL="0" marR="0" indent="0" defTabSz="914400" eaLnBrk="1" fontAlgn="auto" latinLnBrk="0" hangingPunct="1">
            <a:lnSpc>
              <a:spcPct val="100000"/>
            </a:lnSpc>
            <a:spcBef>
              <a:spcPts val="0"/>
            </a:spcBef>
            <a:spcAft>
              <a:spcPts val="0"/>
            </a:spcAft>
            <a:buClrTx/>
            <a:buSzTx/>
            <a:buFontTx/>
            <a:buNone/>
            <a:tabLst/>
            <a:defRPr/>
          </a:pPr>
          <a:endParaRPr lang="es-DO" sz="140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aseline="0">
              <a:solidFill>
                <a:schemeClr val="dk1"/>
              </a:solidFill>
              <a:effectLst/>
              <a:latin typeface="+mn-lt"/>
              <a:ea typeface="+mn-ea"/>
              <a:cs typeface="+mn-cs"/>
            </a:rPr>
            <a:t>El 1ro. de febrero del 2003 se puso en marcha  la afiliación al  Seguro de Vejez, Discapacidad y Sobrevivencia del Régimen Contributivo del SDSS ,logrando cerrar el 2003 con 986,538 trabajadores y trabajadoras asalariados y empleadores tanto del sector público como privado.  al 31 de diciembre de 2003 un 84.3% estaba afiliado en cuenta de capitalización individual y el resto en el sistema de reparto; en la actualidad este número de afiliados se ha incrementado a </a:t>
          </a:r>
          <a:r>
            <a:rPr lang="en-US" sz="1400" baseline="0">
              <a:solidFill>
                <a:schemeClr val="dk1"/>
              </a:solidFill>
              <a:effectLst/>
              <a:latin typeface="+mn-lt"/>
              <a:ea typeface="+mn-ea"/>
              <a:cs typeface="+mn-cs"/>
            </a:rPr>
            <a:t>3,082,709, de los cuales  solo el 46.2% estaba cotizando activamente.                                                                                                                                                                                                             </a:t>
          </a:r>
          <a:r>
            <a:rPr lang="es-DO" sz="1400" baseline="0">
              <a:solidFill>
                <a:schemeClr val="dk1"/>
              </a:solidFill>
              <a:effectLst/>
              <a:latin typeface="+mn-lt"/>
              <a:ea typeface="+mn-ea"/>
              <a:cs typeface="+mn-cs"/>
            </a:rPr>
            <a:t>Al 31 de enero del 2015, el patrimonio de los fondos de pensiones  de los trabajadores afiliados ascendía a RD$310,482.23millones ,representando alrededor de un 11.1% del Producto Interno Bruto nacional.</a:t>
          </a:r>
        </a:p>
        <a:p>
          <a:pPr marL="0" marR="0" indent="0" defTabSz="914400" eaLnBrk="1" fontAlgn="auto" latinLnBrk="0" hangingPunct="1">
            <a:lnSpc>
              <a:spcPct val="100000"/>
            </a:lnSpc>
            <a:spcBef>
              <a:spcPts val="0"/>
            </a:spcBef>
            <a:spcAft>
              <a:spcPts val="0"/>
            </a:spcAft>
            <a:buClrTx/>
            <a:buSzTx/>
            <a:buFontTx/>
            <a:buNone/>
            <a:tabLst/>
            <a:defRPr/>
          </a:pPr>
          <a:endParaRPr lang="es-DO" sz="140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aseline="0">
              <a:solidFill>
                <a:schemeClr val="dk1"/>
              </a:solidFill>
              <a:effectLst/>
              <a:latin typeface="+mn-lt"/>
              <a:ea typeface="+mn-ea"/>
              <a:cs typeface="+mn-cs"/>
            </a:rPr>
            <a:t>El 1ero de febrero de 2004 inició el Seguro de Riegos Laborales , desde esa fecha y hasta el 31 de enero de 2015 la Administradora de Riesgos Laborales  ha recibido 172,126 solicitude de evaluación de las cuales 110,969 corresponden a accidente de trabajo y 1,889 a enfermedades profesionales.</a:t>
          </a:r>
          <a:endParaRPr lang="en-US" sz="140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endParaRPr lang="en-US" sz="140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400" baseline="0">
              <a:solidFill>
                <a:schemeClr val="dk1"/>
              </a:solidFill>
              <a:effectLst/>
              <a:latin typeface="+mn-lt"/>
              <a:ea typeface="+mn-ea"/>
              <a:cs typeface="+mn-cs"/>
            </a:rPr>
            <a:t>El 1ero de septiembre de 2007 entró en vigencia el Plan De Servicios De Salud (PDSS) del Seguro Familiar de Salud del Régimen Contributivo. Al cierre del mes de enero de 2015 contaba con una nómina de afiliados de  3,155,369 personas de los cuales  1,426,011 son titulares y  1,729,358 dependientes, para una relación de dependencia de 1.21 o sea 121 dependientes por cada 100 afiliados</a:t>
          </a:r>
        </a:p>
        <a:p>
          <a:pPr marL="0" marR="0" indent="0" defTabSz="914400" eaLnBrk="1" fontAlgn="auto" latinLnBrk="0" hangingPunct="1">
            <a:lnSpc>
              <a:spcPct val="100000"/>
            </a:lnSpc>
            <a:spcBef>
              <a:spcPts val="0"/>
            </a:spcBef>
            <a:spcAft>
              <a:spcPts val="0"/>
            </a:spcAft>
            <a:buClrTx/>
            <a:buSzTx/>
            <a:buFontTx/>
            <a:buNone/>
            <a:tabLst/>
            <a:defRPr/>
          </a:pPr>
          <a:endParaRPr lang="en-US" sz="140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400" baseline="0">
              <a:solidFill>
                <a:schemeClr val="dk1"/>
              </a:solidFill>
              <a:effectLst/>
              <a:latin typeface="+mn-lt"/>
              <a:ea typeface="+mn-ea"/>
              <a:cs typeface="+mn-cs"/>
            </a:rPr>
            <a:t>Otros beneficios que han entrado en vigor son: El Subsidio de Maternidad y Lactancia el 1ero de septiembre de 2008, el servicio de Estancias Infantiles para niñ@s de cuarenticinco días de nacidos hasta los cinco años  en fecha 1ero de junio de 2009 y  el Subsido por discapacidad temporal por enfermedad o accidente común en fecha 1ero de septiembre de 2009.</a:t>
          </a:r>
        </a:p>
      </xdr:txBody>
    </xdr:sp>
    <xdr:clientData/>
  </xdr:twoCellAnchor>
  <xdr:twoCellAnchor>
    <xdr:from>
      <xdr:col>0</xdr:col>
      <xdr:colOff>0</xdr:colOff>
      <xdr:row>0</xdr:row>
      <xdr:rowOff>0</xdr:rowOff>
    </xdr:from>
    <xdr:to>
      <xdr:col>13</xdr:col>
      <xdr:colOff>11206</xdr:colOff>
      <xdr:row>4</xdr:row>
      <xdr:rowOff>11206</xdr:rowOff>
    </xdr:to>
    <xdr:sp macro="" textlink="">
      <xdr:nvSpPr>
        <xdr:cNvPr id="4" name="6 Rectángulo redondeado"/>
        <xdr:cNvSpPr/>
      </xdr:nvSpPr>
      <xdr:spPr>
        <a:xfrm>
          <a:off x="0" y="0"/>
          <a:ext cx="10443882" cy="77320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Logros del Sistema Dominicano de Seguridad Social</a:t>
          </a:r>
          <a:endParaRPr lang="es-ES" sz="4800">
            <a:effectLst/>
          </a:endParaRPr>
        </a:p>
      </xdr:txBody>
    </xdr:sp>
    <xdr:clientData/>
  </xdr:twoCellAnchor>
  <xdr:twoCellAnchor editAs="oneCell">
    <xdr:from>
      <xdr:col>0</xdr:col>
      <xdr:colOff>324972</xdr:colOff>
      <xdr:row>0</xdr:row>
      <xdr:rowOff>100854</xdr:rowOff>
    </xdr:from>
    <xdr:to>
      <xdr:col>1</xdr:col>
      <xdr:colOff>387174</xdr:colOff>
      <xdr:row>3</xdr:row>
      <xdr:rowOff>78442</xdr:rowOff>
    </xdr:to>
    <xdr:pic>
      <xdr:nvPicPr>
        <xdr:cNvPr id="5" name="1 Imagen" descr="Logo_2x4.bmp"/>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063" t="10325" r="3969" b="15109"/>
        <a:stretch/>
      </xdr:blipFill>
      <xdr:spPr bwMode="auto">
        <a:xfrm>
          <a:off x="324972" y="100854"/>
          <a:ext cx="824202" cy="5490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0</xdr:col>
      <xdr:colOff>0</xdr:colOff>
      <xdr:row>15</xdr:row>
      <xdr:rowOff>121227</xdr:rowOff>
    </xdr:from>
    <xdr:to>
      <xdr:col>16</xdr:col>
      <xdr:colOff>865908</xdr:colOff>
      <xdr:row>42</xdr:row>
      <xdr:rowOff>848591</xdr:rowOff>
    </xdr:to>
    <xdr:graphicFrame macro="">
      <xdr:nvGraphicFramePr>
        <xdr:cNvPr id="5" name="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16</xdr:col>
      <xdr:colOff>969817</xdr:colOff>
      <xdr:row>0</xdr:row>
      <xdr:rowOff>1333500</xdr:rowOff>
    </xdr:to>
    <xdr:sp macro="" textlink="">
      <xdr:nvSpPr>
        <xdr:cNvPr id="4" name="3 Rectángulo redondeado"/>
        <xdr:cNvSpPr/>
      </xdr:nvSpPr>
      <xdr:spPr>
        <a:xfrm>
          <a:off x="0" y="0"/>
          <a:ext cx="20954999" cy="13335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2000" b="1">
              <a:solidFill>
                <a:schemeClr val="lt1"/>
              </a:solidFill>
              <a:effectLst/>
              <a:latin typeface="+mn-lt"/>
              <a:ea typeface="+mn-ea"/>
              <a:cs typeface="+mn-cs"/>
            </a:rPr>
            <a:t>Seguro</a:t>
          </a:r>
          <a:r>
            <a:rPr lang="es-DO" sz="1050" b="1">
              <a:solidFill>
                <a:schemeClr val="lt1"/>
              </a:solidFill>
              <a:effectLst/>
              <a:latin typeface="+mn-lt"/>
              <a:ea typeface="+mn-ea"/>
              <a:cs typeface="+mn-cs"/>
            </a:rPr>
            <a:t> </a:t>
          </a:r>
          <a:r>
            <a:rPr lang="es-DO" sz="2000" b="1">
              <a:solidFill>
                <a:schemeClr val="lt1"/>
              </a:solidFill>
              <a:effectLst/>
              <a:latin typeface="+mn-lt"/>
              <a:ea typeface="+mn-ea"/>
              <a:cs typeface="+mn-cs"/>
            </a:rPr>
            <a:t>Familiar de Salud del Sistema Dominicano</a:t>
          </a:r>
          <a:r>
            <a:rPr lang="es-DO" sz="2000" b="1" baseline="0">
              <a:solidFill>
                <a:schemeClr val="lt1"/>
              </a:solidFill>
              <a:effectLst/>
              <a:latin typeface="+mn-lt"/>
              <a:ea typeface="+mn-ea"/>
              <a:cs typeface="+mn-cs"/>
            </a:rPr>
            <a:t> de Seguridad Social</a:t>
          </a:r>
          <a:r>
            <a:rPr lang="es-DO" sz="2000" b="1">
              <a:solidFill>
                <a:schemeClr val="lt1"/>
              </a:solidFill>
              <a:effectLst/>
              <a:latin typeface="+mn-lt"/>
              <a:ea typeface="+mn-ea"/>
              <a:cs typeface="+mn-cs"/>
            </a:rPr>
            <a:t>   </a:t>
          </a:r>
          <a:br>
            <a:rPr lang="es-DO" sz="2000" b="1">
              <a:solidFill>
                <a:schemeClr val="lt1"/>
              </a:solidFill>
              <a:effectLst/>
              <a:latin typeface="+mn-lt"/>
              <a:ea typeface="+mn-ea"/>
              <a:cs typeface="+mn-cs"/>
            </a:rPr>
          </a:br>
          <a:r>
            <a:rPr lang="es-DO" sz="2000" b="1">
              <a:solidFill>
                <a:schemeClr val="lt1"/>
              </a:solidFill>
              <a:effectLst/>
              <a:latin typeface="+mn-lt"/>
              <a:ea typeface="+mn-ea"/>
              <a:cs typeface="+mn-cs"/>
            </a:rPr>
            <a:t>Afiliación  al Seguro Familiar de Salud por Regímenes de Financiamiento: </a:t>
          </a:r>
          <a:br>
            <a:rPr lang="es-DO" sz="2000" b="1">
              <a:solidFill>
                <a:schemeClr val="lt1"/>
              </a:solidFill>
              <a:effectLst/>
              <a:latin typeface="+mn-lt"/>
              <a:ea typeface="+mn-ea"/>
              <a:cs typeface="+mn-cs"/>
            </a:rPr>
          </a:br>
          <a:r>
            <a:rPr lang="es-DO" sz="2000" b="1">
              <a:solidFill>
                <a:schemeClr val="lt1"/>
              </a:solidFill>
              <a:effectLst/>
              <a:latin typeface="+mn-lt"/>
              <a:ea typeface="+mn-ea"/>
              <a:cs typeface="+mn-cs"/>
            </a:rPr>
            <a:t>Contributivo (RC) 51.7% / Subsidiado (RS) 47.9% / Especial (RET) 0.5%</a:t>
          </a:r>
          <a:endParaRPr lang="es-DO" sz="4400">
            <a:effectLst/>
          </a:endParaRPr>
        </a:p>
      </xdr:txBody>
    </xdr:sp>
    <xdr:clientData/>
  </xdr:twoCellAnchor>
  <xdr:twoCellAnchor>
    <xdr:from>
      <xdr:col>0</xdr:col>
      <xdr:colOff>762001</xdr:colOff>
      <xdr:row>42</xdr:row>
      <xdr:rowOff>415638</xdr:rowOff>
    </xdr:from>
    <xdr:to>
      <xdr:col>5</xdr:col>
      <xdr:colOff>952500</xdr:colOff>
      <xdr:row>42</xdr:row>
      <xdr:rowOff>796636</xdr:rowOff>
    </xdr:to>
    <xdr:sp macro="" textlink="">
      <xdr:nvSpPr>
        <xdr:cNvPr id="7" name="6 CuadroTexto"/>
        <xdr:cNvSpPr txBox="1"/>
      </xdr:nvSpPr>
      <xdr:spPr>
        <a:xfrm>
          <a:off x="762001" y="15205365"/>
          <a:ext cx="6650181" cy="38099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800" b="1"/>
            <a:t>Fuente: </a:t>
          </a:r>
          <a:r>
            <a:rPr lang="es-DO" sz="1800"/>
            <a:t>SISALRIL</a:t>
          </a:r>
        </a:p>
      </xdr:txBody>
    </xdr:sp>
    <xdr:clientData/>
  </xdr:twoCellAnchor>
  <xdr:twoCellAnchor editAs="oneCell">
    <xdr:from>
      <xdr:col>0</xdr:col>
      <xdr:colOff>865908</xdr:colOff>
      <xdr:row>0</xdr:row>
      <xdr:rowOff>225137</xdr:rowOff>
    </xdr:from>
    <xdr:to>
      <xdr:col>1</xdr:col>
      <xdr:colOff>813954</xdr:colOff>
      <xdr:row>0</xdr:row>
      <xdr:rowOff>1066306</xdr:rowOff>
    </xdr:to>
    <xdr:pic>
      <xdr:nvPicPr>
        <xdr:cNvPr id="8" name="2 Imagen" descr="logo_2x4.bmp">
          <a:hlinkClick xmlns:r="http://schemas.openxmlformats.org/officeDocument/2006/relationships" r:id="rId2"/>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865908" y="225137"/>
          <a:ext cx="1177637" cy="841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15</xdr:row>
      <xdr:rowOff>121226</xdr:rowOff>
    </xdr:from>
    <xdr:to>
      <xdr:col>16</xdr:col>
      <xdr:colOff>710045</xdr:colOff>
      <xdr:row>42</xdr:row>
      <xdr:rowOff>762000</xdr:rowOff>
    </xdr:to>
    <xdr:graphicFrame macro="">
      <xdr:nvGraphicFramePr>
        <xdr:cNvPr id="3"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1</xdr:rowOff>
    </xdr:from>
    <xdr:to>
      <xdr:col>17</xdr:col>
      <xdr:colOff>0</xdr:colOff>
      <xdr:row>1</xdr:row>
      <xdr:rowOff>138545</xdr:rowOff>
    </xdr:to>
    <xdr:sp macro="" textlink="">
      <xdr:nvSpPr>
        <xdr:cNvPr id="4" name="3 Rectángulo redondeado"/>
        <xdr:cNvSpPr/>
      </xdr:nvSpPr>
      <xdr:spPr>
        <a:xfrm>
          <a:off x="0" y="1"/>
          <a:ext cx="21509182" cy="124690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2000" b="1">
              <a:solidFill>
                <a:schemeClr val="lt1"/>
              </a:solidFill>
              <a:effectLst/>
              <a:latin typeface="+mn-lt"/>
              <a:ea typeface="+mn-ea"/>
              <a:cs typeface="+mn-cs"/>
            </a:rPr>
            <a:t>         Seguro Familiar de Salud  del Sistema Dominicano</a:t>
          </a:r>
          <a:r>
            <a:rPr lang="es-DO" sz="2000" b="1" baseline="0">
              <a:solidFill>
                <a:schemeClr val="lt1"/>
              </a:solidFill>
              <a:effectLst/>
              <a:latin typeface="+mn-lt"/>
              <a:ea typeface="+mn-ea"/>
              <a:cs typeface="+mn-cs"/>
            </a:rPr>
            <a:t> de Seguridad Social</a:t>
          </a:r>
          <a:endParaRPr lang="es-ES" sz="2000">
            <a:effectLst/>
          </a:endParaRPr>
        </a:p>
        <a:p>
          <a:pPr algn="ctr" eaLnBrk="1" fontAlgn="auto" latinLnBrk="0" hangingPunct="1"/>
          <a:r>
            <a:rPr lang="es-DO" sz="2000" b="1">
              <a:solidFill>
                <a:schemeClr val="lt1"/>
              </a:solidFill>
              <a:effectLst/>
              <a:latin typeface="+mn-lt"/>
              <a:ea typeface="+mn-ea"/>
              <a:cs typeface="+mn-cs"/>
            </a:rPr>
            <a:t>Cobertura de  Afiliación  (cápitas</a:t>
          </a:r>
          <a:r>
            <a:rPr lang="es-DO" sz="2000" b="1" baseline="0">
              <a:solidFill>
                <a:schemeClr val="lt1"/>
              </a:solidFill>
              <a:effectLst/>
              <a:latin typeface="+mn-lt"/>
              <a:ea typeface="+mn-ea"/>
              <a:cs typeface="+mn-cs"/>
            </a:rPr>
            <a:t> pagadas)</a:t>
          </a:r>
          <a:r>
            <a:rPr lang="es-DO" sz="2000" b="1">
              <a:solidFill>
                <a:schemeClr val="lt1"/>
              </a:solidFill>
              <a:effectLst/>
              <a:latin typeface="+mn-lt"/>
              <a:ea typeface="+mn-ea"/>
              <a:cs typeface="+mn-cs"/>
            </a:rPr>
            <a:t> en el Seguro Familiar de Salud por Regímenes de Financiamiento:                                                                                                                                                                                                                               Contributivo (RC) 52.40% / Subsidiado (RS) 47.13% / Especial (RET) 0.47%</a:t>
          </a:r>
          <a:endParaRPr lang="es-DO" sz="4400">
            <a:effectLst/>
          </a:endParaRPr>
        </a:p>
      </xdr:txBody>
    </xdr:sp>
    <xdr:clientData/>
  </xdr:twoCellAnchor>
  <xdr:twoCellAnchor>
    <xdr:from>
      <xdr:col>0</xdr:col>
      <xdr:colOff>917863</xdr:colOff>
      <xdr:row>42</xdr:row>
      <xdr:rowOff>294410</xdr:rowOff>
    </xdr:from>
    <xdr:to>
      <xdr:col>7</xdr:col>
      <xdr:colOff>242454</xdr:colOff>
      <xdr:row>42</xdr:row>
      <xdr:rowOff>744682</xdr:rowOff>
    </xdr:to>
    <xdr:sp macro="" textlink="">
      <xdr:nvSpPr>
        <xdr:cNvPr id="7" name="6 CuadroTexto"/>
        <xdr:cNvSpPr txBox="1"/>
      </xdr:nvSpPr>
      <xdr:spPr>
        <a:xfrm>
          <a:off x="917863" y="15014865"/>
          <a:ext cx="9126682" cy="45027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2000" b="1"/>
            <a:t>Fuente: </a:t>
          </a:r>
          <a:r>
            <a:rPr lang="es-DO" sz="2000" b="0"/>
            <a:t>Tesorería </a:t>
          </a:r>
          <a:r>
            <a:rPr lang="es-DO" sz="2000" b="0" baseline="0"/>
            <a:t>de Seguridad Social (</a:t>
          </a:r>
          <a:r>
            <a:rPr lang="es-DO" sz="2000" b="0"/>
            <a:t>TSS)</a:t>
          </a:r>
        </a:p>
      </xdr:txBody>
    </xdr:sp>
    <xdr:clientData/>
  </xdr:twoCellAnchor>
  <xdr:twoCellAnchor editAs="oneCell">
    <xdr:from>
      <xdr:col>0</xdr:col>
      <xdr:colOff>796638</xdr:colOff>
      <xdr:row>0</xdr:row>
      <xdr:rowOff>207818</xdr:rowOff>
    </xdr:from>
    <xdr:to>
      <xdr:col>1</xdr:col>
      <xdr:colOff>682337</xdr:colOff>
      <xdr:row>0</xdr:row>
      <xdr:rowOff>1004454</xdr:rowOff>
    </xdr:to>
    <xdr:pic>
      <xdr:nvPicPr>
        <xdr:cNvPr id="6" name="2 Imagen" descr="logo_2x4.bmp">
          <a:hlinkClick xmlns:r="http://schemas.openxmlformats.org/officeDocument/2006/relationships" r:id="rId2"/>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796638" y="207818"/>
          <a:ext cx="1115290" cy="7966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987136</xdr:colOff>
      <xdr:row>1</xdr:row>
      <xdr:rowOff>190500</xdr:rowOff>
    </xdr:to>
    <xdr:sp macro="" textlink="">
      <xdr:nvSpPr>
        <xdr:cNvPr id="3" name="2 Rectángulo redondeado"/>
        <xdr:cNvSpPr/>
      </xdr:nvSpPr>
      <xdr:spPr>
        <a:xfrm>
          <a:off x="0" y="0"/>
          <a:ext cx="20868409" cy="129886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2000" b="1">
              <a:solidFill>
                <a:schemeClr val="lt1"/>
              </a:solidFill>
              <a:effectLst/>
              <a:latin typeface="+mn-lt"/>
              <a:ea typeface="+mn-ea"/>
              <a:cs typeface="+mn-cs"/>
            </a:rPr>
            <a:t>Seguro Familiar de Salud  del Sistema Dominicano</a:t>
          </a:r>
          <a:r>
            <a:rPr lang="es-DO" sz="2000" b="1" baseline="0">
              <a:solidFill>
                <a:schemeClr val="lt1"/>
              </a:solidFill>
              <a:effectLst/>
              <a:latin typeface="+mn-lt"/>
              <a:ea typeface="+mn-ea"/>
              <a:cs typeface="+mn-cs"/>
            </a:rPr>
            <a:t> de Seguridad Social</a:t>
          </a:r>
          <a:endParaRPr lang="es-ES" sz="2000">
            <a:effectLst/>
          </a:endParaRPr>
        </a:p>
        <a:p>
          <a:pPr algn="ctr" eaLnBrk="1" fontAlgn="auto" latinLnBrk="0" hangingPunct="1"/>
          <a:r>
            <a:rPr lang="es-DO" sz="2000" b="1">
              <a:solidFill>
                <a:schemeClr val="lt1"/>
              </a:solidFill>
              <a:effectLst/>
              <a:latin typeface="+mn-lt"/>
              <a:ea typeface="+mn-ea"/>
              <a:cs typeface="+mn-cs"/>
            </a:rPr>
            <a:t>Afiliación al Seguro Familiar de Salud por Sexo </a:t>
          </a:r>
        </a:p>
        <a:p>
          <a:pPr algn="ctr" eaLnBrk="1" fontAlgn="auto" latinLnBrk="0" hangingPunct="1"/>
          <a:r>
            <a:rPr lang="es-DO" sz="2000" b="1">
              <a:solidFill>
                <a:schemeClr val="lt1"/>
              </a:solidFill>
              <a:effectLst/>
              <a:latin typeface="+mn-lt"/>
              <a:ea typeface="+mn-ea"/>
              <a:cs typeface="+mn-cs"/>
            </a:rPr>
            <a:t>Hombres 48.6% / Mujeres 51.4% </a:t>
          </a:r>
          <a:endParaRPr lang="es-DO" sz="4400">
            <a:effectLst/>
          </a:endParaRPr>
        </a:p>
      </xdr:txBody>
    </xdr:sp>
    <xdr:clientData/>
  </xdr:twoCellAnchor>
  <xdr:oneCellAnchor>
    <xdr:from>
      <xdr:col>0</xdr:col>
      <xdr:colOff>969820</xdr:colOff>
      <xdr:row>0</xdr:row>
      <xdr:rowOff>190500</xdr:rowOff>
    </xdr:from>
    <xdr:ext cx="1141268" cy="818052"/>
    <xdr:pic>
      <xdr:nvPicPr>
        <xdr:cNvPr id="4" name="3 Imagen" descr="logo_2x4.bmp"/>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9820" y="190500"/>
          <a:ext cx="1141268" cy="8180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952500</xdr:colOff>
      <xdr:row>41</xdr:row>
      <xdr:rowOff>34637</xdr:rowOff>
    </xdr:from>
    <xdr:to>
      <xdr:col>11</xdr:col>
      <xdr:colOff>277091</xdr:colOff>
      <xdr:row>41</xdr:row>
      <xdr:rowOff>484909</xdr:rowOff>
    </xdr:to>
    <xdr:sp macro="" textlink="">
      <xdr:nvSpPr>
        <xdr:cNvPr id="5" name="4 CuadroTexto"/>
        <xdr:cNvSpPr txBox="1"/>
      </xdr:nvSpPr>
      <xdr:spPr>
        <a:xfrm>
          <a:off x="952500" y="14760287"/>
          <a:ext cx="7744691" cy="45027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2000" b="1"/>
            <a:t>Fuente: </a:t>
          </a:r>
          <a:r>
            <a:rPr lang="es-DO" sz="2000"/>
            <a:t>TSS</a:t>
          </a:r>
        </a:p>
      </xdr:txBody>
    </xdr:sp>
    <xdr:clientData/>
  </xdr:twoCellAnchor>
  <xdr:twoCellAnchor>
    <xdr:from>
      <xdr:col>0</xdr:col>
      <xdr:colOff>1</xdr:colOff>
      <xdr:row>14</xdr:row>
      <xdr:rowOff>17319</xdr:rowOff>
    </xdr:from>
    <xdr:to>
      <xdr:col>15</xdr:col>
      <xdr:colOff>588818</xdr:colOff>
      <xdr:row>41</xdr:row>
      <xdr:rowOff>848591</xdr:rowOff>
    </xdr:to>
    <xdr:graphicFrame macro="">
      <xdr:nvGraphicFramePr>
        <xdr:cNvPr id="9" name="8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969819</xdr:colOff>
      <xdr:row>0</xdr:row>
      <xdr:rowOff>190500</xdr:rowOff>
    </xdr:from>
    <xdr:to>
      <xdr:col>1</xdr:col>
      <xdr:colOff>571499</xdr:colOff>
      <xdr:row>0</xdr:row>
      <xdr:rowOff>957446</xdr:rowOff>
    </xdr:to>
    <xdr:pic>
      <xdr:nvPicPr>
        <xdr:cNvPr id="6" name="2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267" t="8001" r="4194" b="15499"/>
        <a:stretch/>
      </xdr:blipFill>
      <xdr:spPr bwMode="auto">
        <a:xfrm>
          <a:off x="969819" y="190500"/>
          <a:ext cx="1073725" cy="7669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6.xml><?xml version="1.0" encoding="utf-8"?>
<c:userShapes xmlns:c="http://schemas.openxmlformats.org/drawingml/2006/chart">
  <cdr:relSizeAnchor xmlns:cdr="http://schemas.openxmlformats.org/drawingml/2006/chartDrawing">
    <cdr:from>
      <cdr:x>0.05477</cdr:x>
      <cdr:y>0.90705</cdr:y>
    </cdr:from>
    <cdr:to>
      <cdr:x>0.96789</cdr:x>
      <cdr:y>0.98747</cdr:y>
    </cdr:to>
    <cdr:sp macro="" textlink="">
      <cdr:nvSpPr>
        <cdr:cNvPr id="2" name="1 CuadroTexto"/>
        <cdr:cNvSpPr txBox="1"/>
      </cdr:nvSpPr>
      <cdr:spPr>
        <a:xfrm xmlns:a="http://schemas.openxmlformats.org/drawingml/2006/main">
          <a:off x="1004455" y="8399319"/>
          <a:ext cx="16746681" cy="74468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0.02822</cdr:x>
      <cdr:y>0.88323</cdr:y>
    </cdr:from>
    <cdr:to>
      <cdr:x>0.45244</cdr:x>
      <cdr:y>0.95563</cdr:y>
    </cdr:to>
    <cdr:sp macro="" textlink="">
      <cdr:nvSpPr>
        <cdr:cNvPr id="3" name="2 CuadroTexto"/>
        <cdr:cNvSpPr txBox="1"/>
      </cdr:nvSpPr>
      <cdr:spPr>
        <a:xfrm xmlns:a="http://schemas.openxmlformats.org/drawingml/2006/main">
          <a:off x="583578" y="8963441"/>
          <a:ext cx="8771983" cy="73474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600"/>
            <a:t>Incluye SFS,</a:t>
          </a:r>
          <a:r>
            <a:rPr lang="en-US" sz="1600" baseline="0"/>
            <a:t> </a:t>
          </a:r>
          <a:r>
            <a:rPr lang="en-US" sz="1600"/>
            <a:t>RC y RS</a:t>
          </a:r>
        </a:p>
        <a:p xmlns:a="http://schemas.openxmlformats.org/drawingml/2006/main">
          <a:r>
            <a:rPr lang="en-US" sz="1600" b="1"/>
            <a:t>Fuente: </a:t>
          </a:r>
          <a:r>
            <a:rPr lang="en-US" sz="1600"/>
            <a:t>Superintendencia de Salud y Riesgos Laborales (SISALRIL)</a:t>
          </a:r>
        </a:p>
      </cdr:txBody>
    </cdr:sp>
  </cdr:relSizeAnchor>
</c:userShapes>
</file>

<file path=xl/drawings/drawing27.xml><?xml version="1.0" encoding="utf-8"?>
<xdr:wsDr xmlns:xdr="http://schemas.openxmlformats.org/drawingml/2006/spreadsheetDrawing" xmlns:a="http://schemas.openxmlformats.org/drawingml/2006/main">
  <xdr:twoCellAnchor editAs="oneCell">
    <xdr:from>
      <xdr:col>2</xdr:col>
      <xdr:colOff>789214</xdr:colOff>
      <xdr:row>0</xdr:row>
      <xdr:rowOff>81642</xdr:rowOff>
    </xdr:from>
    <xdr:to>
      <xdr:col>3</xdr:col>
      <xdr:colOff>187442</xdr:colOff>
      <xdr:row>0</xdr:row>
      <xdr:rowOff>238283</xdr:rowOff>
    </xdr:to>
    <xdr:pic>
      <xdr:nvPicPr>
        <xdr:cNvPr id="2"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3427639" y="81642"/>
          <a:ext cx="1195856" cy="156641"/>
        </a:xfrm>
        <a:prstGeom prst="rect">
          <a:avLst/>
        </a:prstGeom>
        <a:ln>
          <a:noFill/>
        </a:ln>
        <a:effectLst>
          <a:softEdge rad="112500"/>
        </a:effectLst>
      </xdr:spPr>
    </xdr:pic>
    <xdr:clientData/>
  </xdr:twoCellAnchor>
  <xdr:twoCellAnchor editAs="oneCell">
    <xdr:from>
      <xdr:col>2</xdr:col>
      <xdr:colOff>789214</xdr:colOff>
      <xdr:row>0</xdr:row>
      <xdr:rowOff>81642</xdr:rowOff>
    </xdr:from>
    <xdr:to>
      <xdr:col>3</xdr:col>
      <xdr:colOff>187442</xdr:colOff>
      <xdr:row>0</xdr:row>
      <xdr:rowOff>238283</xdr:rowOff>
    </xdr:to>
    <xdr:pic>
      <xdr:nvPicPr>
        <xdr:cNvPr id="3"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3427639" y="81642"/>
          <a:ext cx="1195856" cy="156641"/>
        </a:xfrm>
        <a:prstGeom prst="rect">
          <a:avLst/>
        </a:prstGeom>
        <a:ln>
          <a:noFill/>
        </a:ln>
        <a:effectLst>
          <a:softEdge rad="112500"/>
        </a:effectLst>
      </xdr:spPr>
    </xdr:pic>
    <xdr:clientData/>
  </xdr:twoCellAnchor>
  <xdr:twoCellAnchor editAs="oneCell">
    <xdr:from>
      <xdr:col>0</xdr:col>
      <xdr:colOff>342900</xdr:colOff>
      <xdr:row>0</xdr:row>
      <xdr:rowOff>304800</xdr:rowOff>
    </xdr:from>
    <xdr:to>
      <xdr:col>0</xdr:col>
      <xdr:colOff>1389784</xdr:colOff>
      <xdr:row>0</xdr:row>
      <xdr:rowOff>304800</xdr:rowOff>
    </xdr:to>
    <xdr:pic>
      <xdr:nvPicPr>
        <xdr:cNvPr id="4" name="9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2900" y="304800"/>
          <a:ext cx="1047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1</xdr:rowOff>
    </xdr:from>
    <xdr:to>
      <xdr:col>16</xdr:col>
      <xdr:colOff>-1</xdr:colOff>
      <xdr:row>0</xdr:row>
      <xdr:rowOff>1489365</xdr:rowOff>
    </xdr:to>
    <xdr:sp macro="" textlink="">
      <xdr:nvSpPr>
        <xdr:cNvPr id="9" name="8 Rectángulo redondeado"/>
        <xdr:cNvSpPr/>
      </xdr:nvSpPr>
      <xdr:spPr>
        <a:xfrm>
          <a:off x="0" y="1"/>
          <a:ext cx="18911454" cy="148936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eaLnBrk="1" fontAlgn="auto" latinLnBrk="0" hangingPunct="1"/>
          <a:r>
            <a:rPr lang="es-DO" sz="2000" b="1">
              <a:solidFill>
                <a:schemeClr val="lt1"/>
              </a:solidFill>
              <a:effectLst/>
              <a:latin typeface="+mn-lt"/>
              <a:ea typeface="+mn-ea"/>
              <a:cs typeface="+mn-cs"/>
            </a:rPr>
            <a:t>         Datos Generales del Sistema Dominicano de la Seguridad Social (SDSS)</a:t>
          </a:r>
        </a:p>
        <a:p>
          <a:pPr algn="ctr" eaLnBrk="1" fontAlgn="auto" latinLnBrk="0" hangingPunct="1"/>
          <a:r>
            <a:rPr lang="es-DO" sz="2000" b="1">
              <a:solidFill>
                <a:schemeClr val="lt1"/>
              </a:solidFill>
              <a:effectLst/>
              <a:latin typeface="+mn-lt"/>
              <a:ea typeface="+mn-ea"/>
              <a:cs typeface="+mn-cs"/>
            </a:rPr>
            <a:t>Comportamiento Real y Proyectado de la Cobertura del SFS a la Población Total</a:t>
          </a:r>
        </a:p>
        <a:p>
          <a:pPr algn="ctr" eaLnBrk="1" fontAlgn="auto" latinLnBrk="0" hangingPunct="1"/>
          <a:r>
            <a:rPr lang="es-DO" sz="2000" b="1">
              <a:solidFill>
                <a:schemeClr val="lt1"/>
              </a:solidFill>
              <a:effectLst/>
              <a:latin typeface="+mn-lt"/>
              <a:ea typeface="+mn-ea"/>
              <a:cs typeface="+mn-cs"/>
            </a:rPr>
            <a:t> Proyección de Crecimiento de la Afiliación en Función de la Tendencia Actual</a:t>
          </a:r>
        </a:p>
        <a:p>
          <a:pPr algn="ctr" eaLnBrk="1" fontAlgn="auto" latinLnBrk="0" hangingPunct="1"/>
          <a:r>
            <a:rPr lang="es-DO" sz="2000" b="1">
              <a:solidFill>
                <a:schemeClr val="lt1"/>
              </a:solidFill>
              <a:effectLst/>
              <a:latin typeface="+mn-lt"/>
              <a:ea typeface="+mn-ea"/>
              <a:cs typeface="+mn-cs"/>
            </a:rPr>
            <a:t>Período: 2005 - 2021</a:t>
          </a:r>
          <a:endParaRPr lang="es-DO" sz="4400">
            <a:effectLst/>
          </a:endParaRPr>
        </a:p>
      </xdr:txBody>
    </xdr:sp>
    <xdr:clientData/>
  </xdr:twoCellAnchor>
  <xdr:twoCellAnchor editAs="oneCell">
    <xdr:from>
      <xdr:col>0</xdr:col>
      <xdr:colOff>744681</xdr:colOff>
      <xdr:row>0</xdr:row>
      <xdr:rowOff>190500</xdr:rowOff>
    </xdr:from>
    <xdr:to>
      <xdr:col>1</xdr:col>
      <xdr:colOff>612197</xdr:colOff>
      <xdr:row>0</xdr:row>
      <xdr:rowOff>1096033</xdr:rowOff>
    </xdr:to>
    <xdr:pic>
      <xdr:nvPicPr>
        <xdr:cNvPr id="10" name="7 Imagen" descr="logo_2x4.bmp"/>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4681" y="190500"/>
          <a:ext cx="1356880" cy="905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34636</xdr:colOff>
      <xdr:row>22</xdr:row>
      <xdr:rowOff>103908</xdr:rowOff>
    </xdr:from>
    <xdr:to>
      <xdr:col>15</xdr:col>
      <xdr:colOff>1039091</xdr:colOff>
      <xdr:row>74</xdr:row>
      <xdr:rowOff>34636</xdr:rowOff>
    </xdr:to>
    <xdr:graphicFrame macro="">
      <xdr:nvGraphicFramePr>
        <xdr:cNvPr id="6" name="5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744680</xdr:colOff>
      <xdr:row>0</xdr:row>
      <xdr:rowOff>155862</xdr:rowOff>
    </xdr:from>
    <xdr:to>
      <xdr:col>1</xdr:col>
      <xdr:colOff>588817</xdr:colOff>
      <xdr:row>0</xdr:row>
      <xdr:rowOff>1108363</xdr:rowOff>
    </xdr:to>
    <xdr:pic>
      <xdr:nvPicPr>
        <xdr:cNvPr id="11" name="2 Imagen" descr="logo_2x4.bmp">
          <a:hlinkClick xmlns:r="http://schemas.openxmlformats.org/officeDocument/2006/relationships" r:id="rId4"/>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267" t="8001" r="4194" b="15499"/>
        <a:stretch/>
      </xdr:blipFill>
      <xdr:spPr bwMode="auto">
        <a:xfrm>
          <a:off x="744680" y="155862"/>
          <a:ext cx="1333501" cy="9525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8.xml><?xml version="1.0" encoding="utf-8"?>
<c:userShapes xmlns:c="http://schemas.openxmlformats.org/drawingml/2006/chart">
  <cdr:relSizeAnchor xmlns:cdr="http://schemas.openxmlformats.org/drawingml/2006/chartDrawing">
    <cdr:from>
      <cdr:x>0.03766</cdr:x>
      <cdr:y>0.93186</cdr:y>
    </cdr:from>
    <cdr:to>
      <cdr:x>0.42616</cdr:x>
      <cdr:y>0.96763</cdr:y>
    </cdr:to>
    <cdr:sp macro="" textlink="">
      <cdr:nvSpPr>
        <cdr:cNvPr id="2" name="2 CuadroTexto"/>
        <cdr:cNvSpPr txBox="1"/>
      </cdr:nvSpPr>
      <cdr:spPr>
        <a:xfrm xmlns:a="http://schemas.openxmlformats.org/drawingml/2006/main">
          <a:off x="743528" y="9473046"/>
          <a:ext cx="7669974" cy="36368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b="1"/>
            <a:t>Fuente: </a:t>
          </a:r>
          <a:r>
            <a:rPr lang="en-US" sz="1600"/>
            <a:t>Superintendencia de Salud y Riesgos Laborales (SISALRIL), TSS y ONE.</a:t>
          </a:r>
        </a:p>
      </cdr:txBody>
    </cdr:sp>
  </cdr:relSizeAnchor>
</c:userShapes>
</file>

<file path=xl/drawings/drawing29.xml><?xml version="1.0" encoding="utf-8"?>
<xdr:wsDr xmlns:xdr="http://schemas.openxmlformats.org/drawingml/2006/spreadsheetDrawing" xmlns:a="http://schemas.openxmlformats.org/drawingml/2006/main">
  <xdr:twoCellAnchor editAs="oneCell">
    <xdr:from>
      <xdr:col>3</xdr:col>
      <xdr:colOff>333616</xdr:colOff>
      <xdr:row>9</xdr:row>
      <xdr:rowOff>41620</xdr:rowOff>
    </xdr:from>
    <xdr:to>
      <xdr:col>7</xdr:col>
      <xdr:colOff>394607</xdr:colOff>
      <xdr:row>36</xdr:row>
      <xdr:rowOff>68035</xdr:rowOff>
    </xdr:to>
    <xdr:pic>
      <xdr:nvPicPr>
        <xdr:cNvPr id="5" name="4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619616" y="1756120"/>
          <a:ext cx="4728241" cy="5169915"/>
        </a:xfrm>
        <a:prstGeom prst="rect">
          <a:avLst/>
        </a:prstGeom>
        <a:noFill/>
        <a:ln>
          <a:noFill/>
        </a:ln>
      </xdr:spPr>
    </xdr:pic>
    <xdr:clientData/>
  </xdr:twoCellAnchor>
  <xdr:twoCellAnchor>
    <xdr:from>
      <xdr:col>0</xdr:col>
      <xdr:colOff>361788</xdr:colOff>
      <xdr:row>14</xdr:row>
      <xdr:rowOff>187298</xdr:rowOff>
    </xdr:from>
    <xdr:to>
      <xdr:col>10</xdr:col>
      <xdr:colOff>608318</xdr:colOff>
      <xdr:row>28</xdr:row>
      <xdr:rowOff>41622</xdr:rowOff>
    </xdr:to>
    <xdr:sp macro="" textlink="">
      <xdr:nvSpPr>
        <xdr:cNvPr id="3" name="2 CuadroTexto"/>
        <xdr:cNvSpPr txBox="1"/>
      </xdr:nvSpPr>
      <xdr:spPr>
        <a:xfrm>
          <a:off x="361788" y="2854298"/>
          <a:ext cx="9485780" cy="25213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0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chemeClr val="accent3">
                  <a:lumMod val="50000"/>
                </a:schemeClr>
              </a:solidFill>
              <a:effectLst/>
              <a:latin typeface="+mn-lt"/>
              <a:ea typeface="+mn-ea"/>
              <a:cs typeface="+mn-cs"/>
            </a:rPr>
            <a:t>Afiliación SFS Régimen Contributivo (RC)</a:t>
          </a:r>
          <a:endParaRPr lang="es-DO" sz="2400" b="1">
            <a:solidFill>
              <a:schemeClr val="accent3">
                <a:lumMod val="50000"/>
              </a:schemeClr>
            </a:solidFill>
          </a:endParaRPr>
        </a:p>
      </xdr:txBody>
    </xdr:sp>
    <xdr:clientData/>
  </xdr:twoCellAnchor>
  <xdr:twoCellAnchor editAs="oneCell">
    <xdr:from>
      <xdr:col>0</xdr:col>
      <xdr:colOff>393806</xdr:colOff>
      <xdr:row>3</xdr:row>
      <xdr:rowOff>27215</xdr:rowOff>
    </xdr:from>
    <xdr:to>
      <xdr:col>1</xdr:col>
      <xdr:colOff>672032</xdr:colOff>
      <xdr:row>7</xdr:row>
      <xdr:rowOff>40822</xdr:rowOff>
    </xdr:to>
    <xdr:pic>
      <xdr:nvPicPr>
        <xdr:cNvPr id="4" name="3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22051" t="11988" r="19500" b="24910"/>
        <a:stretch/>
      </xdr:blipFill>
      <xdr:spPr bwMode="auto">
        <a:xfrm>
          <a:off x="393806" y="598715"/>
          <a:ext cx="1040226" cy="7756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299357</xdr:colOff>
      <xdr:row>6</xdr:row>
      <xdr:rowOff>312964</xdr:rowOff>
    </xdr:from>
    <xdr:to>
      <xdr:col>11</xdr:col>
      <xdr:colOff>95250</xdr:colOff>
      <xdr:row>47</xdr:row>
      <xdr:rowOff>173181</xdr:rowOff>
    </xdr:to>
    <xdr:pic>
      <xdr:nvPicPr>
        <xdr:cNvPr id="40" name="39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1823357" y="1455964"/>
          <a:ext cx="8586107" cy="8187788"/>
        </a:xfrm>
        <a:prstGeom prst="rect">
          <a:avLst/>
        </a:prstGeom>
        <a:noFill/>
        <a:ln>
          <a:noFill/>
        </a:ln>
      </xdr:spPr>
    </xdr:pic>
    <xdr:clientData/>
  </xdr:twoCellAnchor>
  <xdr:twoCellAnchor>
    <xdr:from>
      <xdr:col>0</xdr:col>
      <xdr:colOff>0</xdr:colOff>
      <xdr:row>0</xdr:row>
      <xdr:rowOff>27615</xdr:rowOff>
    </xdr:from>
    <xdr:to>
      <xdr:col>13</xdr:col>
      <xdr:colOff>0</xdr:colOff>
      <xdr:row>5</xdr:row>
      <xdr:rowOff>65635</xdr:rowOff>
    </xdr:to>
    <xdr:sp macro="" textlink="">
      <xdr:nvSpPr>
        <xdr:cNvPr id="143" name="142 Rectángulo redondeado"/>
        <xdr:cNvSpPr/>
      </xdr:nvSpPr>
      <xdr:spPr>
        <a:xfrm>
          <a:off x="0" y="27615"/>
          <a:ext cx="12326471" cy="99052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3600" b="1"/>
            <a:t>Ley 87-01</a:t>
          </a:r>
        </a:p>
        <a:p>
          <a:pPr algn="ctr"/>
          <a:r>
            <a:rPr lang="en-US" sz="1400" b="1"/>
            <a:t>Crea el Sistema Dominicano de Seguridad Social</a:t>
          </a:r>
        </a:p>
      </xdr:txBody>
    </xdr:sp>
    <xdr:clientData/>
  </xdr:twoCellAnchor>
  <xdr:twoCellAnchor>
    <xdr:from>
      <xdr:col>0</xdr:col>
      <xdr:colOff>0</xdr:colOff>
      <xdr:row>5</xdr:row>
      <xdr:rowOff>174492</xdr:rowOff>
    </xdr:from>
    <xdr:to>
      <xdr:col>12</xdr:col>
      <xdr:colOff>814245</xdr:colOff>
      <xdr:row>46</xdr:row>
      <xdr:rowOff>149678</xdr:rowOff>
    </xdr:to>
    <xdr:grpSp>
      <xdr:nvGrpSpPr>
        <xdr:cNvPr id="379" name="378 Grupo"/>
        <xdr:cNvGrpSpPr/>
      </xdr:nvGrpSpPr>
      <xdr:grpSpPr>
        <a:xfrm>
          <a:off x="0" y="1079078"/>
          <a:ext cx="12993256" cy="7944437"/>
          <a:chOff x="-1" y="1115787"/>
          <a:chExt cx="12360532" cy="5687645"/>
        </a:xfrm>
      </xdr:grpSpPr>
      <xdr:sp macro="" textlink="">
        <xdr:nvSpPr>
          <xdr:cNvPr id="115" name="114 Rectángulo redondeado"/>
          <xdr:cNvSpPr/>
        </xdr:nvSpPr>
        <xdr:spPr>
          <a:xfrm>
            <a:off x="7347857" y="5926828"/>
            <a:ext cx="5001025" cy="430423"/>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01-Jun-2009</a:t>
            </a:r>
          </a:p>
        </xdr:txBody>
      </xdr:sp>
      <xdr:sp macro="" textlink="">
        <xdr:nvSpPr>
          <xdr:cNvPr id="117" name="116 Rectángulo redondeado"/>
          <xdr:cNvSpPr/>
        </xdr:nvSpPr>
        <xdr:spPr>
          <a:xfrm>
            <a:off x="7387207" y="6358862"/>
            <a:ext cx="4973324" cy="390687"/>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01-Sep-2009</a:t>
            </a:r>
          </a:p>
        </xdr:txBody>
      </xdr:sp>
      <xdr:sp macro="" textlink="">
        <xdr:nvSpPr>
          <xdr:cNvPr id="121" name="120 Rectángulo redondeado"/>
          <xdr:cNvSpPr/>
        </xdr:nvSpPr>
        <xdr:spPr>
          <a:xfrm>
            <a:off x="7293430" y="1129553"/>
            <a:ext cx="4880162" cy="503304"/>
          </a:xfrm>
          <a:prstGeom prst="roundRect">
            <a:avLst/>
          </a:prstGeom>
          <a:solidFill>
            <a:schemeClr val="accent3">
              <a:lumMod val="75000"/>
            </a:schemeClr>
          </a:solidFill>
          <a:ln/>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n-US" sz="2800" b="1"/>
              <a:t>Fechas</a:t>
            </a:r>
          </a:p>
        </xdr:txBody>
      </xdr:sp>
      <xdr:sp macro="" textlink="">
        <xdr:nvSpPr>
          <xdr:cNvPr id="151" name="150 Rectángulo redondeado"/>
          <xdr:cNvSpPr/>
        </xdr:nvSpPr>
        <xdr:spPr>
          <a:xfrm>
            <a:off x="-1" y="1115787"/>
            <a:ext cx="6599463" cy="488496"/>
          </a:xfrm>
          <a:prstGeom prst="roundRect">
            <a:avLst/>
          </a:prstGeom>
          <a:solidFill>
            <a:srgbClr val="0070C0"/>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800" b="1"/>
              <a:t>Acontecimientos</a:t>
            </a:r>
            <a:r>
              <a:rPr lang="en-US" sz="2800"/>
              <a:t> </a:t>
            </a:r>
          </a:p>
        </xdr:txBody>
      </xdr:sp>
      <xdr:sp macro="" textlink="">
        <xdr:nvSpPr>
          <xdr:cNvPr id="333" name="332 Rectángulo redondeado"/>
          <xdr:cNvSpPr/>
        </xdr:nvSpPr>
        <xdr:spPr>
          <a:xfrm>
            <a:off x="7364475" y="5524515"/>
            <a:ext cx="4964450" cy="397563"/>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01-Sep-2008</a:t>
            </a:r>
          </a:p>
        </xdr:txBody>
      </xdr:sp>
      <xdr:sp macro="" textlink="">
        <xdr:nvSpPr>
          <xdr:cNvPr id="338" name="337 Rectángulo redondeado"/>
          <xdr:cNvSpPr/>
        </xdr:nvSpPr>
        <xdr:spPr>
          <a:xfrm>
            <a:off x="7362074" y="4666107"/>
            <a:ext cx="4959489" cy="411578"/>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 Mar 2004</a:t>
            </a:r>
          </a:p>
        </xdr:txBody>
      </xdr:sp>
      <xdr:sp macro="" textlink="">
        <xdr:nvSpPr>
          <xdr:cNvPr id="339" name="338 Rectángulo redondeado"/>
          <xdr:cNvSpPr/>
        </xdr:nvSpPr>
        <xdr:spPr>
          <a:xfrm>
            <a:off x="7348414" y="5078854"/>
            <a:ext cx="4966851" cy="445944"/>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01-Sep-2007</a:t>
            </a:r>
          </a:p>
        </xdr:txBody>
      </xdr:sp>
      <xdr:sp macro="" textlink="">
        <xdr:nvSpPr>
          <xdr:cNvPr id="351" name="350 Flecha derecha"/>
          <xdr:cNvSpPr/>
        </xdr:nvSpPr>
        <xdr:spPr>
          <a:xfrm>
            <a:off x="6773515" y="2156190"/>
            <a:ext cx="443595" cy="106529"/>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2" name="351 Flecha derecha"/>
          <xdr:cNvSpPr/>
        </xdr:nvSpPr>
        <xdr:spPr>
          <a:xfrm>
            <a:off x="6747421" y="2639139"/>
            <a:ext cx="443595" cy="102831"/>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3" name="352 Flecha derecha"/>
          <xdr:cNvSpPr/>
        </xdr:nvSpPr>
        <xdr:spPr>
          <a:xfrm>
            <a:off x="6753910" y="2994516"/>
            <a:ext cx="443595" cy="127144"/>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4" name="353 Flecha derecha"/>
          <xdr:cNvSpPr/>
        </xdr:nvSpPr>
        <xdr:spPr>
          <a:xfrm>
            <a:off x="6770476" y="3468353"/>
            <a:ext cx="443595" cy="100220"/>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5" name="354 Flecha derecha"/>
          <xdr:cNvSpPr/>
        </xdr:nvSpPr>
        <xdr:spPr>
          <a:xfrm>
            <a:off x="6746574" y="4725842"/>
            <a:ext cx="443595" cy="116486"/>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6" name="355 Flecha derecha"/>
          <xdr:cNvSpPr/>
        </xdr:nvSpPr>
        <xdr:spPr>
          <a:xfrm>
            <a:off x="6786360" y="5190566"/>
            <a:ext cx="443595" cy="114931"/>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7" name="356 Flecha derecha"/>
          <xdr:cNvSpPr/>
        </xdr:nvSpPr>
        <xdr:spPr>
          <a:xfrm>
            <a:off x="6749545" y="5637066"/>
            <a:ext cx="443595" cy="122695"/>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8" name="357 Flecha derecha"/>
          <xdr:cNvSpPr/>
        </xdr:nvSpPr>
        <xdr:spPr>
          <a:xfrm>
            <a:off x="6760585" y="6028892"/>
            <a:ext cx="443595" cy="113163"/>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9" name="358 Flecha derecha"/>
          <xdr:cNvSpPr/>
        </xdr:nvSpPr>
        <xdr:spPr>
          <a:xfrm>
            <a:off x="6776392" y="6530066"/>
            <a:ext cx="443595" cy="97051"/>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60" name="359 Flecha derecha"/>
          <xdr:cNvSpPr/>
        </xdr:nvSpPr>
        <xdr:spPr>
          <a:xfrm>
            <a:off x="6763710" y="3832842"/>
            <a:ext cx="443595" cy="110696"/>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61" name="360 Flecha derecha"/>
          <xdr:cNvSpPr/>
        </xdr:nvSpPr>
        <xdr:spPr>
          <a:xfrm>
            <a:off x="6788878" y="4270230"/>
            <a:ext cx="443595" cy="111040"/>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62" name="361 Rectángulo redondeado"/>
          <xdr:cNvSpPr/>
        </xdr:nvSpPr>
        <xdr:spPr>
          <a:xfrm>
            <a:off x="7323045" y="2480660"/>
            <a:ext cx="4992220" cy="417173"/>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24-Abr-2001</a:t>
            </a:r>
          </a:p>
        </xdr:txBody>
      </xdr:sp>
      <xdr:sp macro="" textlink="">
        <xdr:nvSpPr>
          <xdr:cNvPr id="363" name="362 Rectángulo redondeado"/>
          <xdr:cNvSpPr/>
        </xdr:nvSpPr>
        <xdr:spPr>
          <a:xfrm>
            <a:off x="7314727" y="2035164"/>
            <a:ext cx="5011744" cy="438869"/>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16-Ago-1996 / 09/Sep/1998</a:t>
            </a:r>
          </a:p>
        </xdr:txBody>
      </xdr:sp>
      <xdr:sp macro="" textlink="">
        <xdr:nvSpPr>
          <xdr:cNvPr id="364" name="363 Rectángulo redondeado"/>
          <xdr:cNvSpPr/>
        </xdr:nvSpPr>
        <xdr:spPr>
          <a:xfrm>
            <a:off x="7339853" y="2897048"/>
            <a:ext cx="4975412" cy="428174"/>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09-May-2001</a:t>
            </a:r>
          </a:p>
        </xdr:txBody>
      </xdr:sp>
      <xdr:sp macro="" textlink="">
        <xdr:nvSpPr>
          <xdr:cNvPr id="365" name="364 Rectángulo redondeado"/>
          <xdr:cNvSpPr/>
        </xdr:nvSpPr>
        <xdr:spPr>
          <a:xfrm>
            <a:off x="7334773" y="3334889"/>
            <a:ext cx="4980491" cy="425415"/>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a:t>
            </a:r>
            <a:r>
              <a:rPr lang="en-US" sz="1800" b="1" baseline="0"/>
              <a:t> Nov-2002</a:t>
            </a:r>
            <a:endParaRPr lang="en-US" sz="1800" b="1"/>
          </a:p>
        </xdr:txBody>
      </xdr:sp>
      <xdr:sp macro="" textlink="">
        <xdr:nvSpPr>
          <xdr:cNvPr id="366" name="365 Rectángulo redondeado"/>
          <xdr:cNvSpPr/>
        </xdr:nvSpPr>
        <xdr:spPr>
          <a:xfrm>
            <a:off x="7345457" y="3769690"/>
            <a:ext cx="4969808" cy="434120"/>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01-Feb-2003</a:t>
            </a:r>
          </a:p>
        </xdr:txBody>
      </xdr:sp>
      <xdr:sp macro="" textlink="">
        <xdr:nvSpPr>
          <xdr:cNvPr id="367" name="366 Rectángulo redondeado"/>
          <xdr:cNvSpPr/>
        </xdr:nvSpPr>
        <xdr:spPr>
          <a:xfrm>
            <a:off x="7362543" y="4202206"/>
            <a:ext cx="4963927" cy="459447"/>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01-Jul-2003</a:t>
            </a:r>
          </a:p>
        </xdr:txBody>
      </xdr:sp>
      <xdr:sp macro="" textlink="">
        <xdr:nvSpPr>
          <xdr:cNvPr id="368" name="367 Rectángulo redondeado"/>
          <xdr:cNvSpPr/>
        </xdr:nvSpPr>
        <xdr:spPr>
          <a:xfrm>
            <a:off x="0" y="6383833"/>
            <a:ext cx="6626087" cy="419599"/>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Subsidio por Enfermedad Común</a:t>
            </a:r>
          </a:p>
        </xdr:txBody>
      </xdr:sp>
      <xdr:sp macro="" textlink="">
        <xdr:nvSpPr>
          <xdr:cNvPr id="369" name="368 Rectángulo redondeado"/>
          <xdr:cNvSpPr/>
        </xdr:nvSpPr>
        <xdr:spPr>
          <a:xfrm>
            <a:off x="0" y="3290286"/>
            <a:ext cx="6626599" cy="436399"/>
          </a:xfrm>
          <a:prstGeom prst="roundRect">
            <a:avLst/>
          </a:prstGeom>
          <a:solidFill>
            <a:srgbClr val="0070C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PBS Seguro Familiar de Salud del Régimen Subsidiado</a:t>
            </a:r>
          </a:p>
        </xdr:txBody>
      </xdr:sp>
      <xdr:sp macro="" textlink="">
        <xdr:nvSpPr>
          <xdr:cNvPr id="370" name="369 Rectángulo redondeado"/>
          <xdr:cNvSpPr/>
        </xdr:nvSpPr>
        <xdr:spPr>
          <a:xfrm>
            <a:off x="0" y="2881927"/>
            <a:ext cx="6610350" cy="414698"/>
          </a:xfrm>
          <a:prstGeom prst="roundRect">
            <a:avLst/>
          </a:prstGeom>
          <a:solidFill>
            <a:srgbClr val="0070C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•Promulgación de la Ley Poder Ejecutivo </a:t>
            </a:r>
          </a:p>
        </xdr:txBody>
      </xdr:sp>
      <xdr:sp macro="" textlink="">
        <xdr:nvSpPr>
          <xdr:cNvPr id="371" name="370 Rectángulo redondeado"/>
          <xdr:cNvSpPr/>
        </xdr:nvSpPr>
        <xdr:spPr>
          <a:xfrm>
            <a:off x="0" y="3733959"/>
            <a:ext cx="6608267" cy="433653"/>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600" b="1"/>
              <a:t>•</a:t>
            </a:r>
            <a:r>
              <a:rPr lang="en-US" sz="1800" b="1"/>
              <a:t>Inicio Proceso Afiliación  Pensiones del Régimen Contributivo</a:t>
            </a:r>
          </a:p>
        </xdr:txBody>
      </xdr:sp>
      <xdr:sp macro="" textlink="">
        <xdr:nvSpPr>
          <xdr:cNvPr id="372" name="371 Rectángulo redondeado"/>
          <xdr:cNvSpPr/>
        </xdr:nvSpPr>
        <xdr:spPr>
          <a:xfrm>
            <a:off x="22411" y="4161385"/>
            <a:ext cx="6600264" cy="430103"/>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Proceso  Recaudo Pensiones del Régimen Contributivo</a:t>
            </a:r>
          </a:p>
        </xdr:txBody>
      </xdr:sp>
      <xdr:sp macro="" textlink="">
        <xdr:nvSpPr>
          <xdr:cNvPr id="373" name="372 Rectángulo redondeado"/>
          <xdr:cNvSpPr/>
        </xdr:nvSpPr>
        <xdr:spPr>
          <a:xfrm>
            <a:off x="0" y="4597584"/>
            <a:ext cx="6618292" cy="439361"/>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Proceso</a:t>
            </a:r>
            <a:r>
              <a:rPr lang="en-US" sz="1800" b="1" baseline="0"/>
              <a:t>  Recaudo Seguro Riesgos Laborales</a:t>
            </a:r>
            <a:endParaRPr lang="en-US" sz="1100" b="1"/>
          </a:p>
        </xdr:txBody>
      </xdr:sp>
      <xdr:sp macro="" textlink="">
        <xdr:nvSpPr>
          <xdr:cNvPr id="374" name="373 Rectángulo redondeado"/>
          <xdr:cNvSpPr/>
        </xdr:nvSpPr>
        <xdr:spPr>
          <a:xfrm>
            <a:off x="0" y="5036656"/>
            <a:ext cx="6633882" cy="455688"/>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r>
              <a:rPr lang="en-US" sz="1800" b="1">
                <a:solidFill>
                  <a:schemeClr val="lt1"/>
                </a:solidFill>
                <a:effectLst/>
                <a:latin typeface="+mn-lt"/>
                <a:ea typeface="+mn-ea"/>
                <a:cs typeface="+mn-cs"/>
              </a:rPr>
              <a:t>•Inicio PDSS del Seguro Familiar de Salud del Régimen Contributivo</a:t>
            </a:r>
            <a:endParaRPr lang="en-US" sz="1800">
              <a:effectLst/>
            </a:endParaRPr>
          </a:p>
        </xdr:txBody>
      </xdr:sp>
      <xdr:sp macro="" textlink="">
        <xdr:nvSpPr>
          <xdr:cNvPr id="375" name="374 Rectángulo redondeado"/>
          <xdr:cNvSpPr/>
        </xdr:nvSpPr>
        <xdr:spPr>
          <a:xfrm>
            <a:off x="0" y="5489057"/>
            <a:ext cx="6622676" cy="449572"/>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Subsidio Maternidad y Lactancia</a:t>
            </a:r>
          </a:p>
        </xdr:txBody>
      </xdr:sp>
      <xdr:sp macro="" textlink="">
        <xdr:nvSpPr>
          <xdr:cNvPr id="376" name="375 Rectángulo redondeado"/>
          <xdr:cNvSpPr/>
        </xdr:nvSpPr>
        <xdr:spPr>
          <a:xfrm>
            <a:off x="0" y="5948469"/>
            <a:ext cx="6633882" cy="433524"/>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Servicio Estancias Infantiles</a:t>
            </a:r>
          </a:p>
        </xdr:txBody>
      </xdr:sp>
      <xdr:sp macro="" textlink="">
        <xdr:nvSpPr>
          <xdr:cNvPr id="377" name="376 Rectángulo redondeado"/>
          <xdr:cNvSpPr/>
        </xdr:nvSpPr>
        <xdr:spPr>
          <a:xfrm>
            <a:off x="0" y="2018657"/>
            <a:ext cx="6638925" cy="437379"/>
          </a:xfrm>
          <a:prstGeom prst="roundRect">
            <a:avLst/>
          </a:prstGeom>
          <a:solidFill>
            <a:srgbClr val="0070C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600"/>
              <a:t>•</a:t>
            </a:r>
            <a:r>
              <a:rPr lang="en-US" sz="1800" b="1"/>
              <a:t>Introducción de  la Ley al Congreso</a:t>
            </a:r>
            <a:r>
              <a:rPr lang="en-US" sz="1800" b="1" baseline="0"/>
              <a:t> Nacional</a:t>
            </a:r>
            <a:endParaRPr lang="en-US" sz="1800" b="1"/>
          </a:p>
        </xdr:txBody>
      </xdr:sp>
      <xdr:sp macro="" textlink="">
        <xdr:nvSpPr>
          <xdr:cNvPr id="378" name="377 Rectángulo redondeado"/>
          <xdr:cNvSpPr/>
        </xdr:nvSpPr>
        <xdr:spPr>
          <a:xfrm>
            <a:off x="0" y="2465774"/>
            <a:ext cx="6610349" cy="413163"/>
          </a:xfrm>
          <a:prstGeom prst="roundRect">
            <a:avLst/>
          </a:prstGeom>
          <a:solidFill>
            <a:srgbClr val="0070C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600" b="1"/>
              <a:t>•</a:t>
            </a:r>
            <a:r>
              <a:rPr lang="en-US" sz="1800" b="1"/>
              <a:t>Aprobación de la Ley Poder Legislativo</a:t>
            </a:r>
          </a:p>
        </xdr:txBody>
      </xdr:sp>
    </xdr:grpSp>
    <xdr:clientData/>
  </xdr:twoCellAnchor>
  <xdr:twoCellAnchor editAs="oneCell">
    <xdr:from>
      <xdr:col>0</xdr:col>
      <xdr:colOff>585107</xdr:colOff>
      <xdr:row>0</xdr:row>
      <xdr:rowOff>149677</xdr:rowOff>
    </xdr:from>
    <xdr:to>
      <xdr:col>2</xdr:col>
      <xdr:colOff>41838</xdr:colOff>
      <xdr:row>4</xdr:row>
      <xdr:rowOff>81642</xdr:rowOff>
    </xdr:to>
    <xdr:pic>
      <xdr:nvPicPr>
        <xdr:cNvPr id="41" name="40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585107" y="149677"/>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0.xml><?xml version="1.0" encoding="utf-8"?>
<xdr:wsDr xmlns:xdr="http://schemas.openxmlformats.org/drawingml/2006/spreadsheetDrawing" xmlns:a="http://schemas.openxmlformats.org/drawingml/2006/main">
  <xdr:twoCellAnchor>
    <xdr:from>
      <xdr:col>0</xdr:col>
      <xdr:colOff>112059</xdr:colOff>
      <xdr:row>5</xdr:row>
      <xdr:rowOff>22412</xdr:rowOff>
    </xdr:from>
    <xdr:to>
      <xdr:col>11</xdr:col>
      <xdr:colOff>1546412</xdr:colOff>
      <xdr:row>49</xdr:row>
      <xdr:rowOff>168088</xdr:rowOff>
    </xdr:to>
    <xdr:sp macro="" textlink="">
      <xdr:nvSpPr>
        <xdr:cNvPr id="2" name="1 CuadroTexto"/>
        <xdr:cNvSpPr txBox="1"/>
      </xdr:nvSpPr>
      <xdr:spPr>
        <a:xfrm>
          <a:off x="112059" y="974912"/>
          <a:ext cx="12079941" cy="8550088"/>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n-US" sz="1400">
              <a:solidFill>
                <a:schemeClr val="dk1"/>
              </a:solidFill>
              <a:effectLst/>
              <a:latin typeface="+mn-lt"/>
              <a:ea typeface="+mn-ea"/>
              <a:cs typeface="+mn-cs"/>
            </a:rPr>
            <a:t>El Seguro Familiar de Salud de Régimen Contributivo (SFS-RC) concentra a la población trabajadora registrada en nómina del sector formal privado y del sector público, así como a sus hijos, cónyuges, compañeros o compañeras de vida como dependientes directos y como dependientes adicionales a padres, madres e hijos mayores de 18 años que no estudian ni trabajan y mayores de 21 años que no son económicamente independiente y tampoco  son discapacitados y además no están afiliados a ningún otro régimen.</a:t>
          </a:r>
        </a:p>
        <a:p>
          <a:pPr eaLnBrk="1" fontAlgn="auto" latinLnBrk="0" hangingPunct="1"/>
          <a:endParaRPr lang="en-US" sz="1400">
            <a:solidFill>
              <a:schemeClr val="dk1"/>
            </a:solidFill>
            <a:effectLst/>
            <a:latin typeface="+mn-lt"/>
            <a:ea typeface="+mn-ea"/>
            <a:cs typeface="+mn-cs"/>
          </a:endParaRPr>
        </a:p>
        <a:p>
          <a:pPr eaLnBrk="1" fontAlgn="auto" latinLnBrk="0" hangingPunct="1"/>
          <a:r>
            <a:rPr lang="en-US" sz="1400">
              <a:solidFill>
                <a:schemeClr val="dk1"/>
              </a:solidFill>
              <a:effectLst/>
              <a:latin typeface="+mn-lt"/>
              <a:ea typeface="+mn-ea"/>
              <a:cs typeface="+mn-cs"/>
            </a:rPr>
            <a:t>Los dependientes directos tienen garantizadas su prestaciones de salud dentro de la  cotización que hacen a través de la Tesorería de Seguridad Social el afiliado titular y la entidad para la cual labora, sin que se tengan que realizar contribuciones adicionales; lo cual significa que el sistema paga por cada uno de ellos.  En el caso de los dependientes adicionales, el afiliado cotizante paga una suma igual al monto per-cápita establecido como costo del PDSS, teniendo todos los beneficios de dicho plan, sin ningún tipo de discriminación.</a:t>
          </a:r>
        </a:p>
        <a:p>
          <a:pPr eaLnBrk="1" fontAlgn="auto" latinLnBrk="0" hangingPunct="1"/>
          <a:endParaRPr lang="en-US" sz="1400">
            <a:solidFill>
              <a:schemeClr val="dk1"/>
            </a:solidFill>
            <a:effectLst/>
            <a:latin typeface="+mn-lt"/>
            <a:ea typeface="+mn-ea"/>
            <a:cs typeface="+mn-cs"/>
          </a:endParaRPr>
        </a:p>
        <a:p>
          <a:pPr eaLnBrk="1" fontAlgn="auto" latinLnBrk="0" hangingPunct="1"/>
          <a:r>
            <a:rPr lang="en-US" sz="1400">
              <a:solidFill>
                <a:schemeClr val="dk1"/>
              </a:solidFill>
              <a:effectLst/>
              <a:latin typeface="+mn-lt"/>
              <a:ea typeface="+mn-ea"/>
              <a:cs typeface="+mn-cs"/>
            </a:rPr>
            <a:t>El SFS del RC comenzó a ser implementado el primero de septiembre del año 2007 con un total de 1,208,042 afiliados, de los cuales 786,309 eran titulares;  419,107 dependientes directos y 2,626 dependientes adicionales.   Al cierre del mes de</a:t>
          </a:r>
          <a:r>
            <a:rPr lang="en-US" sz="1400" baseline="0">
              <a:solidFill>
                <a:schemeClr val="dk1"/>
              </a:solidFill>
              <a:effectLst/>
              <a:latin typeface="+mn-lt"/>
              <a:ea typeface="+mn-ea"/>
              <a:cs typeface="+mn-cs"/>
            </a:rPr>
            <a:t> noviembre </a:t>
          </a:r>
          <a:r>
            <a:rPr lang="en-US" sz="1400">
              <a:solidFill>
                <a:schemeClr val="dk1"/>
              </a:solidFill>
              <a:effectLst/>
              <a:latin typeface="+mn-lt"/>
              <a:ea typeface="+mn-ea"/>
              <a:cs typeface="+mn-cs"/>
            </a:rPr>
            <a:t>de 2015 la población total afiliada asciende a  3,352,699 de los cuales 1,516,699 son titulares;  1,659,943 dependientes directos y 175,921 dependientes adicionales.  En ocho (8) años del Seguro Familiar de Salud del Régimen Contributivo (SFS-RC), la población afiliada ha experimentado un incremento progresivo, tanto de titulares como de dependientes directos y adicionales.</a:t>
          </a:r>
        </a:p>
        <a:p>
          <a:pPr eaLnBrk="1" fontAlgn="auto" latinLnBrk="0" hangingPunct="1"/>
          <a:endParaRPr lang="en-US" sz="1400">
            <a:solidFill>
              <a:schemeClr val="dk1"/>
            </a:solidFill>
            <a:effectLst/>
            <a:latin typeface="+mn-lt"/>
            <a:ea typeface="+mn-ea"/>
            <a:cs typeface="+mn-cs"/>
          </a:endParaRPr>
        </a:p>
        <a:p>
          <a:pPr eaLnBrk="1" fontAlgn="auto" latinLnBrk="0" hangingPunct="1"/>
          <a:r>
            <a:rPr lang="en-US" sz="1400" b="0">
              <a:solidFill>
                <a:schemeClr val="dk1"/>
              </a:solidFill>
              <a:effectLst/>
              <a:latin typeface="+mn-lt"/>
              <a:ea typeface="+mn-ea"/>
              <a:cs typeface="+mn-cs"/>
            </a:rPr>
            <a:t>En términos porcentuales  al</a:t>
          </a:r>
          <a:r>
            <a:rPr lang="en-US" sz="1400" b="0" baseline="0">
              <a:solidFill>
                <a:schemeClr val="dk1"/>
              </a:solidFill>
              <a:effectLst/>
              <a:latin typeface="+mn-lt"/>
              <a:ea typeface="+mn-ea"/>
              <a:cs typeface="+mn-cs"/>
            </a:rPr>
            <a:t> mes </a:t>
          </a:r>
          <a:r>
            <a:rPr lang="en-US" sz="1400" b="0">
              <a:solidFill>
                <a:schemeClr val="dk1"/>
              </a:solidFill>
              <a:effectLst/>
              <a:latin typeface="+mn-lt"/>
              <a:ea typeface="+mn-ea"/>
              <a:cs typeface="+mn-cs"/>
            </a:rPr>
            <a:t>de noviembre 2015, los afiliados titulares representan el 45.24% de la población total registrada en el SFS-RC; los</a:t>
          </a:r>
          <a:r>
            <a:rPr lang="en-US" sz="1400" b="0" baseline="0">
              <a:solidFill>
                <a:schemeClr val="dk1"/>
              </a:solidFill>
              <a:effectLst/>
              <a:latin typeface="+mn-lt"/>
              <a:ea typeface="+mn-ea"/>
              <a:cs typeface="+mn-cs"/>
            </a:rPr>
            <a:t> dependientes totales representan el 54.76% (l</a:t>
          </a:r>
          <a:r>
            <a:rPr lang="en-US" sz="1400" b="0">
              <a:solidFill>
                <a:schemeClr val="dk1"/>
              </a:solidFill>
              <a:effectLst/>
              <a:latin typeface="+mn-lt"/>
              <a:ea typeface="+mn-ea"/>
              <a:cs typeface="+mn-cs"/>
            </a:rPr>
            <a:t>os dependientes directos 49.51% y los dependientes adicionales 5.25%);  mientras que para septiembre de 2007, los afiliados titulares constituían el 65.1% del total de la población cubierta por el SFS-RC, los dependientes directos el 34.7% y los dependientes adicionales el 0.2%.  </a:t>
          </a:r>
        </a:p>
        <a:p>
          <a:pPr eaLnBrk="1" fontAlgn="auto" latinLnBrk="0" hangingPunct="1"/>
          <a:endParaRPr lang="en-US" sz="1400" b="0">
            <a:solidFill>
              <a:schemeClr val="dk1"/>
            </a:solidFill>
            <a:effectLst/>
            <a:latin typeface="+mn-lt"/>
            <a:ea typeface="+mn-ea"/>
            <a:cs typeface="+mn-cs"/>
          </a:endParaRPr>
        </a:p>
        <a:p>
          <a:pPr eaLnBrk="1" fontAlgn="auto" latinLnBrk="0" hangingPunct="1"/>
          <a:r>
            <a:rPr lang="en-US" sz="1400" b="0">
              <a:solidFill>
                <a:schemeClr val="dk1"/>
              </a:solidFill>
              <a:effectLst/>
              <a:latin typeface="+mn-lt"/>
              <a:ea typeface="+mn-ea"/>
              <a:cs typeface="+mn-cs"/>
            </a:rPr>
            <a:t>Estos datos expresan claramente la evolución de la afiliación de dependientes directos y adicionales llegando a sobrepasar a los afiliados titulares, para un índice de dependencia total de 1.21 (121 afiliados dependientes por cada 100 afiliados titulares) y de 1.09</a:t>
          </a:r>
          <a:r>
            <a:rPr lang="en-US" sz="1400" b="0" baseline="0">
              <a:solidFill>
                <a:schemeClr val="dk1"/>
              </a:solidFill>
              <a:effectLst/>
              <a:latin typeface="+mn-lt"/>
              <a:ea typeface="+mn-ea"/>
              <a:cs typeface="+mn-cs"/>
            </a:rPr>
            <a:t> </a:t>
          </a:r>
          <a:r>
            <a:rPr lang="en-US" sz="1400" b="0">
              <a:solidFill>
                <a:schemeClr val="dk1"/>
              </a:solidFill>
              <a:effectLst/>
              <a:latin typeface="+mn-lt"/>
              <a:ea typeface="+mn-ea"/>
              <a:cs typeface="+mn-cs"/>
            </a:rPr>
            <a:t>para el índice de dependencia directa (109</a:t>
          </a:r>
          <a:r>
            <a:rPr lang="en-US" sz="1400" b="0" baseline="0">
              <a:solidFill>
                <a:schemeClr val="dk1"/>
              </a:solidFill>
              <a:effectLst/>
              <a:latin typeface="+mn-lt"/>
              <a:ea typeface="+mn-ea"/>
              <a:cs typeface="+mn-cs"/>
            </a:rPr>
            <a:t> </a:t>
          </a:r>
          <a:r>
            <a:rPr lang="en-US" sz="1400" b="0">
              <a:solidFill>
                <a:schemeClr val="dk1"/>
              </a:solidFill>
              <a:effectLst/>
              <a:latin typeface="+mn-lt"/>
              <a:ea typeface="+mn-ea"/>
              <a:cs typeface="+mn-cs"/>
            </a:rPr>
            <a:t>dependientes directos por cada 100 titulares) al</a:t>
          </a:r>
          <a:r>
            <a:rPr lang="en-US" sz="1400" b="0" baseline="0">
              <a:solidFill>
                <a:schemeClr val="dk1"/>
              </a:solidFill>
              <a:effectLst/>
              <a:latin typeface="+mn-lt"/>
              <a:ea typeface="+mn-ea"/>
              <a:cs typeface="+mn-cs"/>
            </a:rPr>
            <a:t> mes de noviembre </a:t>
          </a:r>
          <a:r>
            <a:rPr lang="en-US" sz="1400" b="0">
              <a:solidFill>
                <a:schemeClr val="dk1"/>
              </a:solidFill>
              <a:effectLst/>
              <a:latin typeface="+mn-lt"/>
              <a:ea typeface="+mn-ea"/>
              <a:cs typeface="+mn-cs"/>
            </a:rPr>
            <a:t>2015;  para diciembre 2007 el índice de dependencia total era de 0.61 (61</a:t>
          </a:r>
          <a:r>
            <a:rPr lang="en-US" sz="1400" b="0" baseline="0">
              <a:solidFill>
                <a:schemeClr val="dk1"/>
              </a:solidFill>
              <a:effectLst/>
              <a:latin typeface="+mn-lt"/>
              <a:ea typeface="+mn-ea"/>
              <a:cs typeface="+mn-cs"/>
            </a:rPr>
            <a:t> </a:t>
          </a:r>
          <a:r>
            <a:rPr lang="en-US" sz="1400" b="0">
              <a:solidFill>
                <a:schemeClr val="dk1"/>
              </a:solidFill>
              <a:effectLst/>
              <a:latin typeface="+mn-lt"/>
              <a:ea typeface="+mn-ea"/>
              <a:cs typeface="+mn-cs"/>
            </a:rPr>
            <a:t>afiliados dependientes por cada 100  afiliados titulares).  </a:t>
          </a:r>
        </a:p>
        <a:p>
          <a:pPr eaLnBrk="1" fontAlgn="auto" latinLnBrk="0" hangingPunct="1"/>
          <a:endParaRPr lang="en-US" sz="1400" b="0">
            <a:solidFill>
              <a:schemeClr val="dk1"/>
            </a:solidFill>
            <a:effectLst/>
            <a:latin typeface="+mn-lt"/>
            <a:ea typeface="+mn-ea"/>
            <a:cs typeface="+mn-cs"/>
          </a:endParaRPr>
        </a:p>
        <a:p>
          <a:pPr eaLnBrk="1" fontAlgn="auto" latinLnBrk="0" hangingPunct="1"/>
          <a:r>
            <a:rPr lang="en-US" sz="1400" b="0">
              <a:solidFill>
                <a:schemeClr val="dk1"/>
              </a:solidFill>
              <a:effectLst/>
              <a:latin typeface="+mn-lt"/>
              <a:ea typeface="+mn-ea"/>
              <a:cs typeface="+mn-cs"/>
            </a:rPr>
            <a:t>En las estadísticas de afiliación registradas por sexo y tipo, observamos que la población masculina inscrita al mes de noviembre de 2015 fue de 1,682,222 la femenina y</a:t>
          </a:r>
          <a:r>
            <a:rPr lang="en-US" sz="1400" b="0" baseline="0">
              <a:solidFill>
                <a:schemeClr val="dk1"/>
              </a:solidFill>
              <a:effectLst/>
              <a:latin typeface="+mn-lt"/>
              <a:ea typeface="+mn-ea"/>
              <a:cs typeface="+mn-cs"/>
            </a:rPr>
            <a:t> la masculina de </a:t>
          </a:r>
          <a:r>
            <a:rPr lang="en-US" sz="1400" b="0">
              <a:solidFill>
                <a:schemeClr val="dk1"/>
              </a:solidFill>
              <a:effectLst/>
              <a:latin typeface="+mn-lt"/>
              <a:ea typeface="+mn-ea"/>
              <a:cs typeface="+mn-cs"/>
            </a:rPr>
            <a:t>1,670,477 para una participación de 50.2% y 49.8% respectivamente.   Si desagregamos la participación de ambos grupos por tipo de afiliación tenemos que en el grupo masculino los titulares representa el </a:t>
          </a:r>
          <a:r>
            <a:rPr lang="en-US" sz="1400" b="0" u="none">
              <a:solidFill>
                <a:schemeClr val="dk1"/>
              </a:solidFill>
              <a:effectLst/>
              <a:latin typeface="+mn-lt"/>
              <a:ea typeface="+mn-ea"/>
              <a:cs typeface="+mn-cs"/>
            </a:rPr>
            <a:t>51.65%,</a:t>
          </a:r>
          <a:r>
            <a:rPr lang="en-US" sz="1400" b="0" u="none" baseline="0">
              <a:solidFill>
                <a:schemeClr val="dk1"/>
              </a:solidFill>
              <a:effectLst/>
              <a:latin typeface="+mn-lt"/>
              <a:ea typeface="+mn-ea"/>
              <a:cs typeface="+mn-cs"/>
            </a:rPr>
            <a:t>  </a:t>
          </a:r>
          <a:r>
            <a:rPr lang="en-US" sz="1400" b="0" u="none">
              <a:solidFill>
                <a:schemeClr val="dk1"/>
              </a:solidFill>
              <a:effectLst/>
              <a:latin typeface="+mn-lt"/>
              <a:ea typeface="+mn-ea"/>
              <a:cs typeface="+mn-cs"/>
            </a:rPr>
            <a:t>mientras que para el femenino fue de 38.79%.  </a:t>
          </a:r>
        </a:p>
        <a:p>
          <a:pPr eaLnBrk="1" fontAlgn="auto" latinLnBrk="0" hangingPunct="1"/>
          <a:endParaRPr lang="en-US" sz="1400" b="0" u="none">
            <a:solidFill>
              <a:schemeClr val="dk1"/>
            </a:solidFill>
            <a:effectLst/>
            <a:latin typeface="+mn-lt"/>
            <a:ea typeface="+mn-ea"/>
            <a:cs typeface="+mn-cs"/>
          </a:endParaRPr>
        </a:p>
        <a:p>
          <a:pPr eaLnBrk="1" fontAlgn="auto" latinLnBrk="0" hangingPunct="1"/>
          <a:r>
            <a:rPr lang="en-US" sz="1400" b="0">
              <a:solidFill>
                <a:schemeClr val="dk1"/>
              </a:solidFill>
              <a:effectLst/>
              <a:latin typeface="+mn-lt"/>
              <a:ea typeface="+mn-ea"/>
              <a:cs typeface="+mn-cs"/>
            </a:rPr>
            <a:t>La relación de dependencia en el grupo masculino es de 0.94</a:t>
          </a:r>
          <a:r>
            <a:rPr lang="en-US" sz="1400" b="0" baseline="0">
              <a:solidFill>
                <a:schemeClr val="dk1"/>
              </a:solidFill>
              <a:effectLst/>
              <a:latin typeface="+mn-lt"/>
              <a:ea typeface="+mn-ea"/>
              <a:cs typeface="+mn-cs"/>
            </a:rPr>
            <a:t> </a:t>
          </a:r>
          <a:r>
            <a:rPr lang="en-US" sz="1400" b="0">
              <a:solidFill>
                <a:schemeClr val="dk1"/>
              </a:solidFill>
              <a:effectLst/>
              <a:latin typeface="+mn-lt"/>
              <a:ea typeface="+mn-ea"/>
              <a:cs typeface="+mn-cs"/>
            </a:rPr>
            <a:t>(94</a:t>
          </a:r>
          <a:r>
            <a:rPr lang="en-US" sz="1400" b="0" baseline="0">
              <a:solidFill>
                <a:schemeClr val="dk1"/>
              </a:solidFill>
              <a:effectLst/>
              <a:latin typeface="+mn-lt"/>
              <a:ea typeface="+mn-ea"/>
              <a:cs typeface="+mn-cs"/>
            </a:rPr>
            <a:t> </a:t>
          </a:r>
          <a:r>
            <a:rPr lang="en-US" sz="1400" b="0">
              <a:solidFill>
                <a:schemeClr val="dk1"/>
              </a:solidFill>
              <a:effectLst/>
              <a:latin typeface="+mn-lt"/>
              <a:ea typeface="+mn-ea"/>
              <a:cs typeface="+mn-cs"/>
            </a:rPr>
            <a:t>varones afiliados como dependientes por cada 100 afiliados como titulares);</a:t>
          </a:r>
          <a:r>
            <a:rPr lang="en-US" sz="1400" b="0" baseline="0">
              <a:solidFill>
                <a:schemeClr val="dk1"/>
              </a:solidFill>
              <a:effectLst/>
              <a:latin typeface="+mn-lt"/>
              <a:ea typeface="+mn-ea"/>
              <a:cs typeface="+mn-cs"/>
            </a:rPr>
            <a:t>  </a:t>
          </a:r>
          <a:r>
            <a:rPr lang="en-US" sz="1400" b="0">
              <a:solidFill>
                <a:schemeClr val="dk1"/>
              </a:solidFill>
              <a:effectLst/>
              <a:latin typeface="+mn-lt"/>
              <a:ea typeface="+mn-ea"/>
              <a:cs typeface="+mn-cs"/>
            </a:rPr>
            <a:t>mientras que para el grupo femenino es de 1.58</a:t>
          </a:r>
          <a:r>
            <a:rPr lang="en-US" sz="1400" b="0" baseline="0">
              <a:solidFill>
                <a:schemeClr val="dk1"/>
              </a:solidFill>
              <a:effectLst/>
              <a:latin typeface="+mn-lt"/>
              <a:ea typeface="+mn-ea"/>
              <a:cs typeface="+mn-cs"/>
            </a:rPr>
            <a:t> </a:t>
          </a:r>
          <a:r>
            <a:rPr lang="en-US" sz="1400" b="0">
              <a:solidFill>
                <a:schemeClr val="dk1"/>
              </a:solidFill>
              <a:effectLst/>
              <a:latin typeface="+mn-lt"/>
              <a:ea typeface="+mn-ea"/>
              <a:cs typeface="+mn-cs"/>
            </a:rPr>
            <a:t>(158</a:t>
          </a:r>
          <a:r>
            <a:rPr lang="en-US" sz="1400" b="0" baseline="0">
              <a:solidFill>
                <a:schemeClr val="dk1"/>
              </a:solidFill>
              <a:effectLst/>
              <a:latin typeface="+mn-lt"/>
              <a:ea typeface="+mn-ea"/>
              <a:cs typeface="+mn-cs"/>
            </a:rPr>
            <a:t> </a:t>
          </a:r>
          <a:r>
            <a:rPr lang="en-US" sz="1400" b="0">
              <a:solidFill>
                <a:schemeClr val="dk1"/>
              </a:solidFill>
              <a:effectLst/>
              <a:latin typeface="+mn-lt"/>
              <a:ea typeface="+mn-ea"/>
              <a:cs typeface="+mn-cs"/>
            </a:rPr>
            <a:t>mujeres afiliadas como dependientes por cada 100 afiliadas como titulares).  Esto debido fundamentalmente a la desigualdad de género en el acceso al mercado laboral, aunque es importante aclarar que existe un cantidad de dependientes que son a su vez cotizantes o sea que cuando están afiliados en un mismo núcleo familiar solo uno puede ser titular el otro cónyuge si es también un trabajador asalariado pasa a ser un dependiente que también realiza sus aportaciones al sistema.</a:t>
          </a:r>
        </a:p>
        <a:p>
          <a:pPr eaLnBrk="1" fontAlgn="auto" latinLnBrk="0" hangingPunct="1"/>
          <a:endParaRPr lang="en-US" sz="1400" b="0">
            <a:solidFill>
              <a:schemeClr val="dk1"/>
            </a:solidFill>
            <a:effectLst/>
            <a:latin typeface="+mn-lt"/>
            <a:ea typeface="+mn-ea"/>
            <a:cs typeface="+mn-cs"/>
          </a:endParaRPr>
        </a:p>
        <a:p>
          <a:pPr eaLnBrk="1" fontAlgn="auto" latinLnBrk="0" hangingPunct="1"/>
          <a:r>
            <a:rPr lang="en-US" sz="1400" b="0">
              <a:solidFill>
                <a:schemeClr val="dk1"/>
              </a:solidFill>
              <a:effectLst/>
              <a:latin typeface="+mn-lt"/>
              <a:ea typeface="+mn-ea"/>
              <a:cs typeface="+mn-cs"/>
            </a:rPr>
            <a:t>El índice de masculinidad en la afiliación total del Seguro Familiar de Salud  (SFS) del Régimen Contributivo (RC)</a:t>
          </a:r>
          <a:r>
            <a:rPr lang="en-US" sz="1400" b="0" baseline="0">
              <a:solidFill>
                <a:schemeClr val="dk1"/>
              </a:solidFill>
              <a:effectLst/>
              <a:latin typeface="+mn-lt"/>
              <a:ea typeface="+mn-ea"/>
              <a:cs typeface="+mn-cs"/>
            </a:rPr>
            <a:t> </a:t>
          </a:r>
          <a:r>
            <a:rPr lang="en-US" sz="1400" b="0">
              <a:solidFill>
                <a:schemeClr val="dk1"/>
              </a:solidFill>
              <a:effectLst/>
              <a:latin typeface="+mn-lt"/>
              <a:ea typeface="+mn-ea"/>
              <a:cs typeface="+mn-cs"/>
            </a:rPr>
            <a:t>se ha mantenido en promedio en 1.05 desde diciembre de 2007 a</a:t>
          </a:r>
          <a:r>
            <a:rPr lang="en-US" sz="1400" b="0" baseline="0">
              <a:solidFill>
                <a:schemeClr val="dk1"/>
              </a:solidFill>
              <a:effectLst/>
              <a:latin typeface="+mn-lt"/>
              <a:ea typeface="+mn-ea"/>
              <a:cs typeface="+mn-cs"/>
            </a:rPr>
            <a:t>l mes de noviembre </a:t>
          </a:r>
          <a:r>
            <a:rPr lang="en-US" sz="1400" b="0">
              <a:solidFill>
                <a:schemeClr val="dk1"/>
              </a:solidFill>
              <a:effectLst/>
              <a:latin typeface="+mn-lt"/>
              <a:ea typeface="+mn-ea"/>
              <a:cs typeface="+mn-cs"/>
            </a:rPr>
            <a:t>de 2015. </a:t>
          </a:r>
        </a:p>
        <a:p>
          <a:pPr eaLnBrk="1" fontAlgn="auto" latinLnBrk="0" hangingPunct="1"/>
          <a:r>
            <a:rPr lang="en-US" sz="1400" b="0">
              <a:solidFill>
                <a:schemeClr val="dk1"/>
              </a:solidFill>
              <a:effectLst/>
              <a:latin typeface="+mn-lt"/>
              <a:ea typeface="+mn-ea"/>
              <a:cs typeface="+mn-cs"/>
            </a:rPr>
            <a:t>  </a:t>
          </a:r>
        </a:p>
      </xdr:txBody>
    </xdr:sp>
    <xdr:clientData/>
  </xdr:twoCellAnchor>
  <xdr:twoCellAnchor>
    <xdr:from>
      <xdr:col>0</xdr:col>
      <xdr:colOff>0</xdr:colOff>
      <xdr:row>0</xdr:row>
      <xdr:rowOff>0</xdr:rowOff>
    </xdr:from>
    <xdr:to>
      <xdr:col>12</xdr:col>
      <xdr:colOff>0</xdr:colOff>
      <xdr:row>4</xdr:row>
      <xdr:rowOff>112058</xdr:rowOff>
    </xdr:to>
    <xdr:sp macro="" textlink="">
      <xdr:nvSpPr>
        <xdr:cNvPr id="4" name="3 Rectángulo redondeado"/>
        <xdr:cNvSpPr/>
      </xdr:nvSpPr>
      <xdr:spPr>
        <a:xfrm>
          <a:off x="0" y="0"/>
          <a:ext cx="12472147" cy="87405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2000" b="1" baseline="0">
              <a:solidFill>
                <a:schemeClr val="lt1"/>
              </a:solidFill>
              <a:effectLst/>
              <a:latin typeface="+mn-lt"/>
              <a:ea typeface="+mn-ea"/>
              <a:cs typeface="+mn-cs"/>
            </a:rPr>
            <a:t>Sistema Dominicano de Seguridad Social (SDSS)</a:t>
          </a:r>
          <a:endParaRPr lang="es-ES" sz="4000">
            <a:effectLst/>
          </a:endParaRPr>
        </a:p>
        <a:p>
          <a:pPr algn="ctr" eaLnBrk="1" fontAlgn="auto" latinLnBrk="0" hangingPunct="1"/>
          <a:r>
            <a:rPr lang="es-DO" sz="2000" b="1">
              <a:solidFill>
                <a:schemeClr val="lt1"/>
              </a:solidFill>
              <a:effectLst/>
              <a:latin typeface="+mn-lt"/>
              <a:ea typeface="+mn-ea"/>
              <a:cs typeface="+mn-cs"/>
            </a:rPr>
            <a:t>Afiliación al Seguro</a:t>
          </a:r>
          <a:r>
            <a:rPr lang="es-DO" sz="2000" b="1" baseline="0">
              <a:solidFill>
                <a:schemeClr val="lt1"/>
              </a:solidFill>
              <a:effectLst/>
              <a:latin typeface="+mn-lt"/>
              <a:ea typeface="+mn-ea"/>
              <a:cs typeface="+mn-cs"/>
            </a:rPr>
            <a:t> Familiar de Salud del Régimen Contributivo (RC)</a:t>
          </a:r>
          <a:endParaRPr lang="es-DO" sz="4000">
            <a:effectLst/>
          </a:endParaRPr>
        </a:p>
      </xdr:txBody>
    </xdr:sp>
    <xdr:clientData/>
  </xdr:twoCellAnchor>
  <xdr:twoCellAnchor editAs="oneCell">
    <xdr:from>
      <xdr:col>0</xdr:col>
      <xdr:colOff>347383</xdr:colOff>
      <xdr:row>0</xdr:row>
      <xdr:rowOff>189700</xdr:rowOff>
    </xdr:from>
    <xdr:to>
      <xdr:col>1</xdr:col>
      <xdr:colOff>280148</xdr:colOff>
      <xdr:row>3</xdr:row>
      <xdr:rowOff>89647</xdr:rowOff>
    </xdr:to>
    <xdr:pic>
      <xdr:nvPicPr>
        <xdr:cNvPr id="6" name="1 Imagen" descr="Logo_2x4.bmp">
          <a:hlinkClick xmlns:r="http://schemas.openxmlformats.org/officeDocument/2006/relationships" r:id="rId1"/>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3170" t="10325" r="-4481" b="13293"/>
        <a:stretch/>
      </xdr:blipFill>
      <xdr:spPr bwMode="auto">
        <a:xfrm>
          <a:off x="347383" y="189700"/>
          <a:ext cx="795618" cy="4714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12</xdr:row>
      <xdr:rowOff>1</xdr:rowOff>
    </xdr:from>
    <xdr:to>
      <xdr:col>15</xdr:col>
      <xdr:colOff>640773</xdr:colOff>
      <xdr:row>40</xdr:row>
      <xdr:rowOff>935183</xdr:rowOff>
    </xdr:to>
    <xdr:graphicFrame macro="">
      <xdr:nvGraphicFramePr>
        <xdr:cNvPr id="9" name="8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16</xdr:col>
      <xdr:colOff>0</xdr:colOff>
      <xdr:row>0</xdr:row>
      <xdr:rowOff>1333498</xdr:rowOff>
    </xdr:to>
    <xdr:sp macro="" textlink="">
      <xdr:nvSpPr>
        <xdr:cNvPr id="10" name="9 Rectángulo redondeado"/>
        <xdr:cNvSpPr/>
      </xdr:nvSpPr>
      <xdr:spPr>
        <a:xfrm>
          <a:off x="0" y="0"/>
          <a:ext cx="22201909" cy="133349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Contributivo (RC)  </a:t>
          </a:r>
        </a:p>
        <a:p>
          <a:pPr algn="ctr" eaLnBrk="1" fontAlgn="auto" latinLnBrk="0" hangingPunct="1"/>
          <a:r>
            <a:rPr lang="es-DO" sz="2000" b="1">
              <a:solidFill>
                <a:schemeClr val="lt1"/>
              </a:solidFill>
              <a:effectLst/>
              <a:latin typeface="+mn-lt"/>
              <a:ea typeface="+mn-ea"/>
              <a:cs typeface="+mn-cs"/>
            </a:rPr>
            <a:t>Afiliación  Anual  por Tipo al  SFS del  RC</a:t>
          </a:r>
        </a:p>
        <a:p>
          <a:pPr algn="ctr" eaLnBrk="1" fontAlgn="auto" latinLnBrk="0" hangingPunct="1"/>
          <a:r>
            <a:rPr lang="es-DO" sz="2000" b="1">
              <a:solidFill>
                <a:schemeClr val="lt1"/>
              </a:solidFill>
              <a:effectLst/>
              <a:latin typeface="+mn-lt"/>
              <a:ea typeface="+mn-ea"/>
              <a:cs typeface="+mn-cs"/>
            </a:rPr>
            <a:t>Período:  Diciembre 2007 - Noviembre 2015</a:t>
          </a:r>
          <a:endParaRPr lang="es-DO" sz="4000">
            <a:effectLst/>
          </a:endParaRPr>
        </a:p>
      </xdr:txBody>
    </xdr:sp>
    <xdr:clientData/>
  </xdr:twoCellAnchor>
  <xdr:twoCellAnchor editAs="oneCell">
    <xdr:from>
      <xdr:col>0</xdr:col>
      <xdr:colOff>554181</xdr:colOff>
      <xdr:row>0</xdr:row>
      <xdr:rowOff>226660</xdr:rowOff>
    </xdr:from>
    <xdr:to>
      <xdr:col>1</xdr:col>
      <xdr:colOff>336664</xdr:colOff>
      <xdr:row>0</xdr:row>
      <xdr:rowOff>1021772</xdr:rowOff>
    </xdr:to>
    <xdr:pic>
      <xdr:nvPicPr>
        <xdr:cNvPr id="11" name="10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4181" y="226660"/>
          <a:ext cx="1081347" cy="7951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c:userShapes xmlns:c="http://schemas.openxmlformats.org/drawingml/2006/chart">
  <cdr:relSizeAnchor xmlns:cdr="http://schemas.openxmlformats.org/drawingml/2006/chartDrawing">
    <cdr:from>
      <cdr:x>0.03625</cdr:x>
      <cdr:y>0.82138</cdr:y>
    </cdr:from>
    <cdr:to>
      <cdr:x>0.49305</cdr:x>
      <cdr:y>0.88995</cdr:y>
    </cdr:to>
    <cdr:sp macro="" textlink="">
      <cdr:nvSpPr>
        <cdr:cNvPr id="2" name="CuadroTexto 1"/>
        <cdr:cNvSpPr txBox="1"/>
      </cdr:nvSpPr>
      <cdr:spPr>
        <a:xfrm xmlns:a="http://schemas.openxmlformats.org/drawingml/2006/main">
          <a:off x="796012" y="8202701"/>
          <a:ext cx="10031079" cy="68477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800" b="1"/>
            <a:t>Fuente:</a:t>
          </a:r>
          <a:r>
            <a:rPr lang="es-ES" sz="1800" b="1" baseline="0"/>
            <a:t> </a:t>
          </a:r>
          <a:r>
            <a:rPr lang="es-ES" sz="1800" baseline="0"/>
            <a:t>Portal de la SISALRIL</a:t>
          </a:r>
          <a:endParaRPr lang="es-ES" sz="1800"/>
        </a:p>
      </cdr:txBody>
    </cdr:sp>
  </cdr:relSizeAnchor>
</c:userShapes>
</file>

<file path=xl/drawings/drawing33.xml><?xml version="1.0" encoding="utf-8"?>
<xdr:wsDr xmlns:xdr="http://schemas.openxmlformats.org/drawingml/2006/spreadsheetDrawing" xmlns:a="http://schemas.openxmlformats.org/drawingml/2006/main">
  <xdr:twoCellAnchor>
    <xdr:from>
      <xdr:col>0</xdr:col>
      <xdr:colOff>68036</xdr:colOff>
      <xdr:row>17</xdr:row>
      <xdr:rowOff>81642</xdr:rowOff>
    </xdr:from>
    <xdr:to>
      <xdr:col>17</xdr:col>
      <xdr:colOff>714375</xdr:colOff>
      <xdr:row>44</xdr:row>
      <xdr:rowOff>142874</xdr:rowOff>
    </xdr:to>
    <xdr:graphicFrame macro="">
      <xdr:nvGraphicFramePr>
        <xdr:cNvPr id="3"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17</xdr:col>
      <xdr:colOff>900546</xdr:colOff>
      <xdr:row>1</xdr:row>
      <xdr:rowOff>0</xdr:rowOff>
    </xdr:to>
    <xdr:sp macro="" textlink="">
      <xdr:nvSpPr>
        <xdr:cNvPr id="4" name="9 Rectángulo redondeado"/>
        <xdr:cNvSpPr/>
      </xdr:nvSpPr>
      <xdr:spPr>
        <a:xfrm>
          <a:off x="0" y="0"/>
          <a:ext cx="20366182" cy="117763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Contributivo (RC)  </a:t>
          </a:r>
        </a:p>
        <a:p>
          <a:pPr algn="ctr" eaLnBrk="1" fontAlgn="auto" latinLnBrk="0" hangingPunct="1"/>
          <a:r>
            <a:rPr lang="es-DO" sz="2000" b="1">
              <a:solidFill>
                <a:schemeClr val="lt1"/>
              </a:solidFill>
              <a:effectLst/>
              <a:latin typeface="+mn-lt"/>
              <a:ea typeface="+mn-ea"/>
              <a:cs typeface="+mn-cs"/>
            </a:rPr>
            <a:t>Afiliación Mensual por Tipo</a:t>
          </a:r>
        </a:p>
        <a:p>
          <a:pPr algn="ctr" eaLnBrk="1" fontAlgn="auto" latinLnBrk="0" hangingPunct="1"/>
          <a:r>
            <a:rPr lang="es-DO" sz="2000" b="1">
              <a:solidFill>
                <a:schemeClr val="lt1"/>
              </a:solidFill>
              <a:effectLst/>
              <a:latin typeface="+mn-lt"/>
              <a:ea typeface="+mn-ea"/>
              <a:cs typeface="+mn-cs"/>
            </a:rPr>
            <a:t>Período:</a:t>
          </a:r>
          <a:r>
            <a:rPr lang="es-DO" sz="2000" b="1" baseline="0">
              <a:solidFill>
                <a:schemeClr val="lt1"/>
              </a:solidFill>
              <a:effectLst/>
              <a:latin typeface="+mn-lt"/>
              <a:ea typeface="+mn-ea"/>
              <a:cs typeface="+mn-cs"/>
            </a:rPr>
            <a:t> Noviembre </a:t>
          </a:r>
          <a:r>
            <a:rPr lang="es-DO" sz="2000" b="1">
              <a:solidFill>
                <a:schemeClr val="lt1"/>
              </a:solidFill>
              <a:effectLst/>
              <a:latin typeface="+mn-lt"/>
              <a:ea typeface="+mn-ea"/>
              <a:cs typeface="+mn-cs"/>
            </a:rPr>
            <a:t>2014</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  Noviembre 2015</a:t>
          </a:r>
          <a:endParaRPr lang="es-DO" sz="4000">
            <a:effectLst/>
          </a:endParaRPr>
        </a:p>
      </xdr:txBody>
    </xdr:sp>
    <xdr:clientData/>
  </xdr:twoCellAnchor>
  <xdr:twoCellAnchor editAs="oneCell">
    <xdr:from>
      <xdr:col>0</xdr:col>
      <xdr:colOff>554182</xdr:colOff>
      <xdr:row>0</xdr:row>
      <xdr:rowOff>173182</xdr:rowOff>
    </xdr:from>
    <xdr:to>
      <xdr:col>1</xdr:col>
      <xdr:colOff>606136</xdr:colOff>
      <xdr:row>0</xdr:row>
      <xdr:rowOff>899021</xdr:rowOff>
    </xdr:to>
    <xdr:pic>
      <xdr:nvPicPr>
        <xdr:cNvPr id="5" name="10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4182" y="173182"/>
          <a:ext cx="987136" cy="7258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4.xml><?xml version="1.0" encoding="utf-8"?>
<xdr:wsDr xmlns:xdr="http://schemas.openxmlformats.org/drawingml/2006/spreadsheetDrawing" xmlns:a="http://schemas.openxmlformats.org/drawingml/2006/main">
  <xdr:twoCellAnchor>
    <xdr:from>
      <xdr:col>0</xdr:col>
      <xdr:colOff>0</xdr:colOff>
      <xdr:row>12</xdr:row>
      <xdr:rowOff>69271</xdr:rowOff>
    </xdr:from>
    <xdr:to>
      <xdr:col>17</xdr:col>
      <xdr:colOff>642937</xdr:colOff>
      <xdr:row>39</xdr:row>
      <xdr:rowOff>23812</xdr:rowOff>
    </xdr:to>
    <xdr:graphicFrame macro="">
      <xdr:nvGraphicFramePr>
        <xdr:cNvPr id="9" name="8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18</xdr:col>
      <xdr:colOff>0</xdr:colOff>
      <xdr:row>1</xdr:row>
      <xdr:rowOff>17318</xdr:rowOff>
    </xdr:to>
    <xdr:sp macro="" textlink="">
      <xdr:nvSpPr>
        <xdr:cNvPr id="4" name="3 Rectángulo redondeado"/>
        <xdr:cNvSpPr/>
      </xdr:nvSpPr>
      <xdr:spPr>
        <a:xfrm>
          <a:off x="0" y="0"/>
          <a:ext cx="24851591" cy="1264227"/>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Contributivo (RC)  </a:t>
          </a:r>
        </a:p>
        <a:p>
          <a:pPr algn="ctr" eaLnBrk="1" fontAlgn="auto" latinLnBrk="0" hangingPunct="1"/>
          <a:r>
            <a:rPr lang="es-DO" sz="2000" b="1">
              <a:solidFill>
                <a:schemeClr val="lt1"/>
              </a:solidFill>
              <a:effectLst/>
              <a:latin typeface="+mn-lt"/>
              <a:ea typeface="+mn-ea"/>
              <a:cs typeface="+mn-cs"/>
            </a:rPr>
            <a:t>Cobertura de  Afiliación Anual por Tipo </a:t>
          </a:r>
        </a:p>
        <a:p>
          <a:pPr algn="ctr" eaLnBrk="1" fontAlgn="auto" latinLnBrk="0" hangingPunct="1"/>
          <a:r>
            <a:rPr lang="es-DO" sz="2000" b="1">
              <a:solidFill>
                <a:schemeClr val="lt1"/>
              </a:solidFill>
              <a:effectLst/>
              <a:latin typeface="+mn-lt"/>
              <a:ea typeface="+mn-ea"/>
              <a:cs typeface="+mn-cs"/>
            </a:rPr>
            <a:t>Período:  Diciembre 2007 -  Noviembre 2015</a:t>
          </a:r>
          <a:endParaRPr lang="es-DO" sz="4000">
            <a:effectLst/>
          </a:endParaRPr>
        </a:p>
      </xdr:txBody>
    </xdr:sp>
    <xdr:clientData/>
  </xdr:twoCellAnchor>
  <xdr:twoCellAnchor editAs="oneCell">
    <xdr:from>
      <xdr:col>1</xdr:col>
      <xdr:colOff>121228</xdr:colOff>
      <xdr:row>0</xdr:row>
      <xdr:rowOff>329045</xdr:rowOff>
    </xdr:from>
    <xdr:to>
      <xdr:col>1</xdr:col>
      <xdr:colOff>1177636</xdr:colOff>
      <xdr:row>0</xdr:row>
      <xdr:rowOff>1104438</xdr:rowOff>
    </xdr:to>
    <xdr:pic>
      <xdr:nvPicPr>
        <xdr:cNvPr id="6" name="5 Imagen">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1229592" y="329045"/>
          <a:ext cx="1056408" cy="775393"/>
        </a:xfrm>
        <a:prstGeom prst="rect">
          <a:avLst/>
        </a:prstGeom>
      </xdr:spPr>
    </xdr:pic>
    <xdr:clientData/>
  </xdr:twoCellAnchor>
  <xdr:twoCellAnchor>
    <xdr:from>
      <xdr:col>0</xdr:col>
      <xdr:colOff>939077</xdr:colOff>
      <xdr:row>38</xdr:row>
      <xdr:rowOff>368877</xdr:rowOff>
    </xdr:from>
    <xdr:to>
      <xdr:col>2</xdr:col>
      <xdr:colOff>339869</xdr:colOff>
      <xdr:row>38</xdr:row>
      <xdr:rowOff>779318</xdr:rowOff>
    </xdr:to>
    <xdr:sp macro="" textlink="">
      <xdr:nvSpPr>
        <xdr:cNvPr id="2" name="CuadroTexto 1"/>
        <xdr:cNvSpPr txBox="1"/>
      </xdr:nvSpPr>
      <xdr:spPr>
        <a:xfrm>
          <a:off x="939077" y="13632440"/>
          <a:ext cx="2329730" cy="410441"/>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800" b="1"/>
            <a:t>Fuente</a:t>
          </a:r>
          <a:r>
            <a:rPr lang="es-ES" sz="1800"/>
            <a:t>: TSS</a:t>
          </a:r>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0</xdr:col>
      <xdr:colOff>0</xdr:colOff>
      <xdr:row>16</xdr:row>
      <xdr:rowOff>259772</xdr:rowOff>
    </xdr:from>
    <xdr:to>
      <xdr:col>17</xdr:col>
      <xdr:colOff>658091</xdr:colOff>
      <xdr:row>49</xdr:row>
      <xdr:rowOff>69273</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17</xdr:col>
      <xdr:colOff>900546</xdr:colOff>
      <xdr:row>0</xdr:row>
      <xdr:rowOff>1281545</xdr:rowOff>
    </xdr:to>
    <xdr:sp macro="" textlink="">
      <xdr:nvSpPr>
        <xdr:cNvPr id="5" name="4 Rectángulo redondeado"/>
        <xdr:cNvSpPr/>
      </xdr:nvSpPr>
      <xdr:spPr>
        <a:xfrm>
          <a:off x="0" y="0"/>
          <a:ext cx="20833773" cy="1281545"/>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Contributivo (RC)  </a:t>
          </a:r>
        </a:p>
        <a:p>
          <a:pPr algn="ctr" eaLnBrk="1" fontAlgn="auto" latinLnBrk="0" hangingPunct="1"/>
          <a:r>
            <a:rPr lang="es-DO" sz="2000" b="1">
              <a:solidFill>
                <a:schemeClr val="lt1"/>
              </a:solidFill>
              <a:effectLst/>
              <a:latin typeface="+mn-lt"/>
              <a:ea typeface="+mn-ea"/>
              <a:cs typeface="+mn-cs"/>
            </a:rPr>
            <a:t>Cobertura de Afiliación Mensual por Tipo</a:t>
          </a:r>
        </a:p>
        <a:p>
          <a:pPr algn="ctr" eaLnBrk="1" fontAlgn="auto" latinLnBrk="0" hangingPunct="1"/>
          <a:r>
            <a:rPr lang="es-DO" sz="2000" b="1">
              <a:solidFill>
                <a:schemeClr val="lt1"/>
              </a:solidFill>
              <a:effectLst/>
              <a:latin typeface="+mn-lt"/>
              <a:ea typeface="+mn-ea"/>
              <a:cs typeface="+mn-cs"/>
            </a:rPr>
            <a:t>Período:  Noviembre 2014 -  Noviembre 2015</a:t>
          </a:r>
          <a:endParaRPr lang="es-DO" sz="4000">
            <a:effectLst/>
          </a:endParaRPr>
        </a:p>
      </xdr:txBody>
    </xdr:sp>
    <xdr:clientData/>
  </xdr:twoCellAnchor>
  <xdr:twoCellAnchor editAs="oneCell">
    <xdr:from>
      <xdr:col>0</xdr:col>
      <xdr:colOff>865909</xdr:colOff>
      <xdr:row>0</xdr:row>
      <xdr:rowOff>225136</xdr:rowOff>
    </xdr:from>
    <xdr:to>
      <xdr:col>1</xdr:col>
      <xdr:colOff>973158</xdr:colOff>
      <xdr:row>0</xdr:row>
      <xdr:rowOff>1006186</xdr:rowOff>
    </xdr:to>
    <xdr:pic>
      <xdr:nvPicPr>
        <xdr:cNvPr id="7"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65909" y="225136"/>
          <a:ext cx="1042431"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6.xml><?xml version="1.0" encoding="utf-8"?>
<xdr:wsDr xmlns:xdr="http://schemas.openxmlformats.org/drawingml/2006/spreadsheetDrawing" xmlns:a="http://schemas.openxmlformats.org/drawingml/2006/main">
  <xdr:twoCellAnchor>
    <xdr:from>
      <xdr:col>0</xdr:col>
      <xdr:colOff>0</xdr:colOff>
      <xdr:row>0</xdr:row>
      <xdr:rowOff>0</xdr:rowOff>
    </xdr:from>
    <xdr:to>
      <xdr:col>16</xdr:col>
      <xdr:colOff>0</xdr:colOff>
      <xdr:row>0</xdr:row>
      <xdr:rowOff>1350818</xdr:rowOff>
    </xdr:to>
    <xdr:sp macro="" textlink="">
      <xdr:nvSpPr>
        <xdr:cNvPr id="3" name="2 Rectángulo redondeado"/>
        <xdr:cNvSpPr/>
      </xdr:nvSpPr>
      <xdr:spPr>
        <a:xfrm>
          <a:off x="0" y="0"/>
          <a:ext cx="19050001" cy="135081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Contributivo (RC)  </a:t>
          </a:r>
        </a:p>
        <a:p>
          <a:pPr algn="ctr" eaLnBrk="1" fontAlgn="auto" latinLnBrk="0" hangingPunct="1"/>
          <a:r>
            <a:rPr lang="es-DO" sz="2000" b="1">
              <a:solidFill>
                <a:schemeClr val="lt1"/>
              </a:solidFill>
              <a:effectLst/>
              <a:latin typeface="+mn-lt"/>
              <a:ea typeface="+mn-ea"/>
              <a:cs typeface="+mn-cs"/>
            </a:rPr>
            <a:t>Afiliados al</a:t>
          </a:r>
          <a:r>
            <a:rPr lang="es-DO" sz="2000" b="1" baseline="0">
              <a:solidFill>
                <a:schemeClr val="lt1"/>
              </a:solidFill>
              <a:effectLst/>
              <a:latin typeface="+mn-lt"/>
              <a:ea typeface="+mn-ea"/>
              <a:cs typeface="+mn-cs"/>
            </a:rPr>
            <a:t> Seguro Familiar de  Salud del Régimen Contributivo por Sexo y Tipo de Afiliación</a:t>
          </a:r>
          <a:endParaRPr lang="es-DO" sz="2000" b="1">
            <a:solidFill>
              <a:schemeClr val="lt1"/>
            </a:solidFill>
            <a:effectLst/>
            <a:latin typeface="+mn-lt"/>
            <a:ea typeface="+mn-ea"/>
            <a:cs typeface="+mn-cs"/>
          </a:endParaRPr>
        </a:p>
        <a:p>
          <a:pPr algn="ctr" eaLnBrk="1" fontAlgn="auto" latinLnBrk="0" hangingPunct="1"/>
          <a:r>
            <a:rPr lang="es-DO" sz="2000" b="1">
              <a:solidFill>
                <a:schemeClr val="lt1"/>
              </a:solidFill>
              <a:effectLst/>
              <a:latin typeface="+mn-lt"/>
              <a:ea typeface="+mn-ea"/>
              <a:cs typeface="+mn-cs"/>
            </a:rPr>
            <a:t>Período: Diciembre 2007 - Noviembre 2015</a:t>
          </a:r>
          <a:endParaRPr lang="es-DO" sz="4000">
            <a:effectLst/>
          </a:endParaRPr>
        </a:p>
      </xdr:txBody>
    </xdr:sp>
    <xdr:clientData/>
  </xdr:twoCellAnchor>
  <xdr:twoCellAnchor editAs="oneCell">
    <xdr:from>
      <xdr:col>0</xdr:col>
      <xdr:colOff>606136</xdr:colOff>
      <xdr:row>0</xdr:row>
      <xdr:rowOff>207816</xdr:rowOff>
    </xdr:from>
    <xdr:to>
      <xdr:col>1</xdr:col>
      <xdr:colOff>848590</xdr:colOff>
      <xdr:row>0</xdr:row>
      <xdr:rowOff>1090169</xdr:rowOff>
    </xdr:to>
    <xdr:pic>
      <xdr:nvPicPr>
        <xdr:cNvPr id="4" name="3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06136" y="207816"/>
          <a:ext cx="1177636" cy="8823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51955</xdr:colOff>
      <xdr:row>36</xdr:row>
      <xdr:rowOff>17318</xdr:rowOff>
    </xdr:from>
    <xdr:to>
      <xdr:col>15</xdr:col>
      <xdr:colOff>536864</xdr:colOff>
      <xdr:row>60</xdr:row>
      <xdr:rowOff>34635</xdr:rowOff>
    </xdr:to>
    <xdr:graphicFrame macro="">
      <xdr:nvGraphicFramePr>
        <xdr:cNvPr id="6" name="5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363681</xdr:colOff>
      <xdr:row>57</xdr:row>
      <xdr:rowOff>86591</xdr:rowOff>
    </xdr:from>
    <xdr:to>
      <xdr:col>6</xdr:col>
      <xdr:colOff>34636</xdr:colOff>
      <xdr:row>59</xdr:row>
      <xdr:rowOff>86591</xdr:rowOff>
    </xdr:to>
    <xdr:sp macro="" textlink="">
      <xdr:nvSpPr>
        <xdr:cNvPr id="8" name="7 CuadroTexto"/>
        <xdr:cNvSpPr txBox="1"/>
      </xdr:nvSpPr>
      <xdr:spPr>
        <a:xfrm>
          <a:off x="363681" y="11949546"/>
          <a:ext cx="6598228" cy="381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t>Fuente: </a:t>
          </a:r>
          <a:r>
            <a:rPr lang="en-US" sz="1600"/>
            <a:t>Superintendencia de Salud y Riesgos Laborales (SISALRIL)</a:t>
          </a:r>
        </a:p>
      </xdr:txBody>
    </xdr:sp>
    <xdr:clientData/>
  </xdr:twoCellAnchor>
</xdr:wsDr>
</file>

<file path=xl/drawings/drawing37.xml><?xml version="1.0" encoding="utf-8"?>
<xdr:wsDr xmlns:xdr="http://schemas.openxmlformats.org/drawingml/2006/spreadsheetDrawing" xmlns:a="http://schemas.openxmlformats.org/drawingml/2006/main">
  <xdr:twoCellAnchor editAs="oneCell">
    <xdr:from>
      <xdr:col>3</xdr:col>
      <xdr:colOff>313765</xdr:colOff>
      <xdr:row>8</xdr:row>
      <xdr:rowOff>33618</xdr:rowOff>
    </xdr:from>
    <xdr:to>
      <xdr:col>8</xdr:col>
      <xdr:colOff>694765</xdr:colOff>
      <xdr:row>31</xdr:row>
      <xdr:rowOff>11206</xdr:rowOff>
    </xdr:to>
    <xdr:pic>
      <xdr:nvPicPr>
        <xdr:cNvPr id="5" name="4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633383" y="1557618"/>
          <a:ext cx="4314264" cy="4359088"/>
        </a:xfrm>
        <a:prstGeom prst="rect">
          <a:avLst/>
        </a:prstGeom>
        <a:noFill/>
        <a:ln>
          <a:noFill/>
        </a:ln>
      </xdr:spPr>
    </xdr:pic>
    <xdr:clientData/>
  </xdr:twoCellAnchor>
  <xdr:twoCellAnchor>
    <xdr:from>
      <xdr:col>0</xdr:col>
      <xdr:colOff>513069</xdr:colOff>
      <xdr:row>10</xdr:row>
      <xdr:rowOff>40819</xdr:rowOff>
    </xdr:from>
    <xdr:to>
      <xdr:col>12</xdr:col>
      <xdr:colOff>92849</xdr:colOff>
      <xdr:row>29</xdr:row>
      <xdr:rowOff>165686</xdr:rowOff>
    </xdr:to>
    <xdr:sp macro="" textlink="">
      <xdr:nvSpPr>
        <xdr:cNvPr id="3" name="2 CuadroTexto"/>
        <xdr:cNvSpPr txBox="1"/>
      </xdr:nvSpPr>
      <xdr:spPr>
        <a:xfrm>
          <a:off x="513069" y="1945819"/>
          <a:ext cx="8925486" cy="37443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Sistema Dominicano de Seguridad Social (SDSS)</a:t>
          </a:r>
          <a:endParaRPr lang="es-ES" sz="5400" b="1" baseline="0">
            <a:solidFill>
              <a:srgbClr val="0070C0"/>
            </a:solidFill>
            <a:effectLst/>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es-DO" sz="4000" b="1" baseline="0">
              <a:solidFill>
                <a:schemeClr val="accent3">
                  <a:lumMod val="75000"/>
                </a:schemeClr>
              </a:solidFill>
              <a:effectLst/>
              <a:latin typeface="+mn-lt"/>
              <a:ea typeface="+mn-ea"/>
              <a:cs typeface="+mn-cs"/>
            </a:rPr>
            <a:t>Afiliación Régimen Subsidiado (RS)</a:t>
          </a:r>
          <a:endParaRPr lang="es-DO" sz="3600" b="1">
            <a:solidFill>
              <a:schemeClr val="accent3">
                <a:lumMod val="75000"/>
              </a:schemeClr>
            </a:solidFill>
          </a:endParaRPr>
        </a:p>
      </xdr:txBody>
    </xdr:sp>
    <xdr:clientData/>
  </xdr:twoCellAnchor>
  <xdr:twoCellAnchor editAs="oneCell">
    <xdr:from>
      <xdr:col>0</xdr:col>
      <xdr:colOff>537882</xdr:colOff>
      <xdr:row>1</xdr:row>
      <xdr:rowOff>123265</xdr:rowOff>
    </xdr:from>
    <xdr:to>
      <xdr:col>2</xdr:col>
      <xdr:colOff>156882</xdr:colOff>
      <xdr:row>6</xdr:row>
      <xdr:rowOff>22412</xdr:rowOff>
    </xdr:to>
    <xdr:pic>
      <xdr:nvPicPr>
        <xdr:cNvPr id="4" name="5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22559" t="9000" r="18057" b="25441"/>
        <a:stretch/>
      </xdr:blipFill>
      <xdr:spPr bwMode="auto">
        <a:xfrm>
          <a:off x="537882" y="313765"/>
          <a:ext cx="1165412" cy="8516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8.xml><?xml version="1.0" encoding="utf-8"?>
<xdr:wsDr xmlns:xdr="http://schemas.openxmlformats.org/drawingml/2006/spreadsheetDrawing" xmlns:a="http://schemas.openxmlformats.org/drawingml/2006/main">
  <xdr:twoCellAnchor>
    <xdr:from>
      <xdr:col>0</xdr:col>
      <xdr:colOff>104775</xdr:colOff>
      <xdr:row>4</xdr:row>
      <xdr:rowOff>142875</xdr:rowOff>
    </xdr:from>
    <xdr:to>
      <xdr:col>12</xdr:col>
      <xdr:colOff>627530</xdr:colOff>
      <xdr:row>37</xdr:row>
      <xdr:rowOff>0</xdr:rowOff>
    </xdr:to>
    <xdr:sp macro="" textlink="">
      <xdr:nvSpPr>
        <xdr:cNvPr id="2" name="1 CuadroTexto"/>
        <xdr:cNvSpPr txBox="1"/>
      </xdr:nvSpPr>
      <xdr:spPr>
        <a:xfrm>
          <a:off x="104775" y="904875"/>
          <a:ext cx="10193431" cy="6322919"/>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El proceso de afiliación del Seguro Familiar de Salud del Régimen Subsidiado (SFS-RS), inició el 1ero de noviembre de 2002,  comenzando en la Región de Salud IV,  por considerar esta región una de la zona más deprimida del país.  Luego continuaron con la Región V, hasta extenderlo a todo el país.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Las acciones llevada a cabo por el estado dominicano en materia de aseguramiento, destinada a eliminar la exclusión en materia de salud, están orientadas a garantizar el acceso de los ciudadanos a una atención digna y efectiva, disminuyendo el impacto negativo, tanto económico como social, que provocan las enfermedades sobre la población, y en particular sobre los grupos sociales más vulnerables.  En ese sentido el SFS-RS se constituye en una poderosa herramienta de política pública de lucha contra la pobreza.  Es la garantía que el Estado confiere para que el afiliado y su núcleo familiar puedan satisfacer sus necesidades y demandas de salud, a través de un adecuado acceso a  los servicios, sin que la capacidad de pago se convierta en una limitante.</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Desde la entrada en vigencia hasta la fecha el Sistema Dominicano de Seguridad Social ha experimentado un importante avance en materia de aseguramiento en el Régimen Subsidiado, lo cual se muestra en el crecimiento de la población afiliada que pasó de 52,050 personas en el año 2003 (38,517 eran titulares y 13,533 dependientes),  a un total de</a:t>
          </a:r>
          <a:r>
            <a:rPr lang="en-US" sz="1400" b="0" baseline="0">
              <a:solidFill>
                <a:sysClr val="windowText" lastClr="000000"/>
              </a:solidFill>
              <a:latin typeface="+mn-lt"/>
              <a:ea typeface="+mn-ea"/>
              <a:cs typeface="+mn-cs"/>
            </a:rPr>
            <a:t> </a:t>
          </a:r>
          <a:r>
            <a:rPr lang="es-ES" sz="1400" b="0" baseline="0">
              <a:solidFill>
                <a:sysClr val="windowText" lastClr="000000"/>
              </a:solidFill>
              <a:latin typeface="+mn-lt"/>
              <a:ea typeface="+mn-ea"/>
              <a:cs typeface="+mn-cs"/>
            </a:rPr>
            <a:t>3,107,676 </a:t>
          </a:r>
          <a:r>
            <a:rPr lang="es-DO" sz="1400" b="0" baseline="0">
              <a:solidFill>
                <a:sysClr val="windowText" lastClr="000000"/>
              </a:solidFill>
              <a:latin typeface="+mn-lt"/>
              <a:ea typeface="+mn-ea"/>
              <a:cs typeface="+mn-cs"/>
            </a:rPr>
            <a:t>al mes de noviembre de 2015, de los cuales 1,993,874 eran titulares y 1,113,802 dependientes; con un índice de dependencia de 0.56 (56 dependientes por cada 100 titulares). </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rgbClr val="FF0000"/>
              </a:solidFill>
              <a:latin typeface="+mn-lt"/>
              <a:ea typeface="+mn-ea"/>
              <a:cs typeface="+mn-cs"/>
            </a:rPr>
            <a:t/>
          </a:r>
          <a:br>
            <a:rPr lang="es-DO" sz="1400" b="0" baseline="0">
              <a:solidFill>
                <a:srgbClr val="FF0000"/>
              </a:solidFill>
              <a:latin typeface="+mn-lt"/>
              <a:ea typeface="+mn-ea"/>
              <a:cs typeface="+mn-cs"/>
            </a:rPr>
          </a:br>
          <a:r>
            <a:rPr lang="es-DO" sz="1400" b="0" baseline="0">
              <a:solidFill>
                <a:sysClr val="windowText" lastClr="000000"/>
              </a:solidFill>
              <a:latin typeface="+mn-lt"/>
              <a:ea typeface="+mn-ea"/>
              <a:cs typeface="+mn-cs"/>
            </a:rPr>
            <a:t>En la afiliación del SFS del RS las mujeres tienen una mayor participación, representando al mes de  noviembre de 2015 un 53.12%, el índice de dependencia de la afiliación femenina es de 0.47, lo que significa que por cada 100 mujeres afiliadas como titulares hay 47 dependientes;  en cuanto a la población masculina afiliada fue de 1,456,731 de los cuales 871,924 eran titulares representando un 59.85% del total de hombres afiliados.  El índice de masculinidad para dicho período fue de 0.88 (88 hombres por cada 100 mujeres afiliadas), esto se debe básicamente a que en las zonas de mayor concentración de hogares pobres es mayor la presencia de mujeres, (de acuerdo al Estudio Socioeconómico de Hogares en República Dominicana, levantado por el SIUBEN en 2012).</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En fecha 28 de enero del 2009 se inauguró la Cumbre por la Unidad Nacional Frente a la Crisis Económica Mundial, uno de los puntos consensuado entre los participantes fue el mejoramiento de la eficiencia del SFS del Régimen Subsidiado.  En ese sentido en el tema 19 contempló la afiliación de discapacitados y VIH positivos al SFS del Régimen Subsidiado, en consecuencia el CNSS en fecha 9 de julio del </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2009 emitió la Resolución No. 212-02 que autorizó a SENASA afiliar directamente como beneficiarios a las personas de estas condiciones </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que cumplan con los parámetros legales establecidos para el Régimen Subsidiado.</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xdr:txBody>
    </xdr:sp>
    <xdr:clientData/>
  </xdr:twoCellAnchor>
  <xdr:twoCellAnchor>
    <xdr:from>
      <xdr:col>0</xdr:col>
      <xdr:colOff>0</xdr:colOff>
      <xdr:row>0</xdr:row>
      <xdr:rowOff>1</xdr:rowOff>
    </xdr:from>
    <xdr:to>
      <xdr:col>13</xdr:col>
      <xdr:colOff>0</xdr:colOff>
      <xdr:row>4</xdr:row>
      <xdr:rowOff>67235</xdr:rowOff>
    </xdr:to>
    <xdr:sp macro="" textlink="">
      <xdr:nvSpPr>
        <xdr:cNvPr id="4" name="3 Rectángulo redondeado"/>
        <xdr:cNvSpPr/>
      </xdr:nvSpPr>
      <xdr:spPr>
        <a:xfrm>
          <a:off x="0" y="1"/>
          <a:ext cx="10432676" cy="82923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Sistema</a:t>
          </a:r>
          <a:r>
            <a:rPr lang="es-DO" sz="1800" b="1" baseline="0">
              <a:solidFill>
                <a:schemeClr val="lt1"/>
              </a:solidFill>
              <a:effectLst/>
              <a:latin typeface="+mn-lt"/>
              <a:ea typeface="+mn-ea"/>
              <a:cs typeface="+mn-cs"/>
            </a:rPr>
            <a:t> Dominicano de Seguridad Social (SDSS)</a:t>
          </a:r>
        </a:p>
        <a:p>
          <a:pPr algn="ctr" eaLnBrk="1" fontAlgn="auto" latinLnBrk="0" hangingPunct="1"/>
          <a:r>
            <a:rPr lang="es-DO" sz="1800" b="1">
              <a:solidFill>
                <a:schemeClr val="lt1"/>
              </a:solidFill>
              <a:effectLst/>
              <a:latin typeface="+mn-lt"/>
              <a:ea typeface="+mn-ea"/>
              <a:cs typeface="+mn-cs"/>
            </a:rPr>
            <a:t>Afiliación al Seguro</a:t>
          </a:r>
          <a:r>
            <a:rPr lang="es-DO" sz="1800" b="1" baseline="0">
              <a:solidFill>
                <a:schemeClr val="lt1"/>
              </a:solidFill>
              <a:effectLst/>
              <a:latin typeface="+mn-lt"/>
              <a:ea typeface="+mn-ea"/>
              <a:cs typeface="+mn-cs"/>
            </a:rPr>
            <a:t> Familiar de Salud del Régimen Subsidiado (RS)</a:t>
          </a:r>
          <a:endParaRPr lang="es-DO" sz="4000">
            <a:effectLst/>
          </a:endParaRPr>
        </a:p>
      </xdr:txBody>
    </xdr:sp>
    <xdr:clientData/>
  </xdr:twoCellAnchor>
  <xdr:twoCellAnchor editAs="oneCell">
    <xdr:from>
      <xdr:col>0</xdr:col>
      <xdr:colOff>414619</xdr:colOff>
      <xdr:row>0</xdr:row>
      <xdr:rowOff>145677</xdr:rowOff>
    </xdr:from>
    <xdr:to>
      <xdr:col>1</xdr:col>
      <xdr:colOff>426359</xdr:colOff>
      <xdr:row>3</xdr:row>
      <xdr:rowOff>89647</xdr:rowOff>
    </xdr:to>
    <xdr:pic>
      <xdr:nvPicPr>
        <xdr:cNvPr id="5" name="1 Imagen" descr="Logo_2x4.bmp">
          <a:hlinkClick xmlns:r="http://schemas.openxmlformats.org/officeDocument/2006/relationships" r:id="rId1"/>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414619" y="145677"/>
          <a:ext cx="773740" cy="5154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9.xml><?xml version="1.0" encoding="utf-8"?>
<xdr:wsDr xmlns:xdr="http://schemas.openxmlformats.org/drawingml/2006/spreadsheetDrawing" xmlns:a="http://schemas.openxmlformats.org/drawingml/2006/main">
  <xdr:twoCellAnchor>
    <xdr:from>
      <xdr:col>0</xdr:col>
      <xdr:colOff>95250</xdr:colOff>
      <xdr:row>14</xdr:row>
      <xdr:rowOff>258533</xdr:rowOff>
    </xdr:from>
    <xdr:to>
      <xdr:col>13</xdr:col>
      <xdr:colOff>1605643</xdr:colOff>
      <xdr:row>52</xdr:row>
      <xdr:rowOff>149675</xdr:rowOff>
    </xdr:to>
    <xdr:graphicFrame macro="">
      <xdr:nvGraphicFramePr>
        <xdr:cNvPr id="5" name="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1687286</xdr:colOff>
      <xdr:row>0</xdr:row>
      <xdr:rowOff>1102178</xdr:rowOff>
    </xdr:to>
    <xdr:sp macro="" textlink="">
      <xdr:nvSpPr>
        <xdr:cNvPr id="6" name="5 Rectángulo redondeado"/>
        <xdr:cNvSpPr/>
      </xdr:nvSpPr>
      <xdr:spPr>
        <a:xfrm>
          <a:off x="0" y="0"/>
          <a:ext cx="14872607" cy="110217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Familiar de Salud (SFS) del Régimen Subsidiado (RS)</a:t>
          </a:r>
        </a:p>
        <a:p>
          <a:pPr algn="ctr" eaLnBrk="1" fontAlgn="auto" latinLnBrk="0" hangingPunct="1"/>
          <a:r>
            <a:rPr lang="es-DO" sz="1800" b="1">
              <a:solidFill>
                <a:schemeClr val="lt1"/>
              </a:solidFill>
              <a:effectLst/>
              <a:latin typeface="+mn-lt"/>
              <a:ea typeface="+mn-ea"/>
              <a:cs typeface="+mn-cs"/>
            </a:rPr>
            <a:t>Afiliación del Seguro Familiar de Salud del Régimen Subsidiado por Tipo</a:t>
          </a:r>
        </a:p>
        <a:p>
          <a:pPr algn="ctr" eaLnBrk="1" fontAlgn="auto" latinLnBrk="0" hangingPunct="1"/>
          <a:r>
            <a:rPr lang="es-DO" sz="1800" b="1">
              <a:solidFill>
                <a:schemeClr val="lt1"/>
              </a:solidFill>
              <a:effectLst/>
              <a:latin typeface="+mn-lt"/>
              <a:ea typeface="+mn-ea"/>
              <a:cs typeface="+mn-cs"/>
            </a:rPr>
            <a:t>Período:  Diciembre 2005  - Noviembre</a:t>
          </a:r>
          <a:r>
            <a:rPr lang="es-DO" sz="1800" b="1" baseline="0">
              <a:solidFill>
                <a:schemeClr val="lt1"/>
              </a:solidFill>
              <a:effectLst/>
              <a:latin typeface="+mn-lt"/>
              <a:ea typeface="+mn-ea"/>
              <a:cs typeface="+mn-cs"/>
            </a:rPr>
            <a:t> 2</a:t>
          </a:r>
          <a:r>
            <a:rPr lang="es-DO" sz="1800" b="1">
              <a:solidFill>
                <a:schemeClr val="lt1"/>
              </a:solidFill>
              <a:effectLst/>
              <a:latin typeface="+mn-lt"/>
              <a:ea typeface="+mn-ea"/>
              <a:cs typeface="+mn-cs"/>
            </a:rPr>
            <a:t>015</a:t>
          </a:r>
          <a:endParaRPr lang="es-DO" sz="4000">
            <a:effectLst/>
          </a:endParaRPr>
        </a:p>
      </xdr:txBody>
    </xdr:sp>
    <xdr:clientData/>
  </xdr:twoCellAnchor>
  <xdr:twoCellAnchor editAs="oneCell">
    <xdr:from>
      <xdr:col>0</xdr:col>
      <xdr:colOff>471399</xdr:colOff>
      <xdr:row>0</xdr:row>
      <xdr:rowOff>136073</xdr:rowOff>
    </xdr:from>
    <xdr:to>
      <xdr:col>1</xdr:col>
      <xdr:colOff>544332</xdr:colOff>
      <xdr:row>0</xdr:row>
      <xdr:rowOff>870859</xdr:rowOff>
    </xdr:to>
    <xdr:pic>
      <xdr:nvPicPr>
        <xdr:cNvPr id="9" name="8 Imagen" descr="Logo_2x4.bmp">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471399" y="136073"/>
          <a:ext cx="984612" cy="734786"/>
        </a:xfrm>
        <a:prstGeom prst="rect">
          <a:avLst/>
        </a:prstGeom>
        <a:ln>
          <a:noFill/>
        </a:ln>
        <a:effectLst>
          <a:outerShdw blurRad="190500" algn="tl" rotWithShape="0">
            <a:srgbClr val="000000">
              <a:alpha val="70000"/>
            </a:srgbClr>
          </a:outerShdw>
        </a:effec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666750</xdr:colOff>
      <xdr:row>3</xdr:row>
      <xdr:rowOff>95252</xdr:rowOff>
    </xdr:from>
    <xdr:to>
      <xdr:col>10</xdr:col>
      <xdr:colOff>357497</xdr:colOff>
      <xdr:row>44</xdr:row>
      <xdr:rowOff>27214</xdr:rowOff>
    </xdr:to>
    <xdr:pic>
      <xdr:nvPicPr>
        <xdr:cNvPr id="2" name="1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666750" y="666752"/>
          <a:ext cx="9139547" cy="7742462"/>
        </a:xfrm>
        <a:prstGeom prst="rect">
          <a:avLst/>
        </a:prstGeom>
        <a:noFill/>
        <a:ln>
          <a:noFill/>
        </a:ln>
      </xdr:spPr>
    </xdr:pic>
    <xdr:clientData/>
  </xdr:twoCellAnchor>
  <xdr:twoCellAnchor>
    <xdr:from>
      <xdr:col>0</xdr:col>
      <xdr:colOff>1</xdr:colOff>
      <xdr:row>0</xdr:row>
      <xdr:rowOff>0</xdr:rowOff>
    </xdr:from>
    <xdr:to>
      <xdr:col>12</xdr:col>
      <xdr:colOff>1524000</xdr:colOff>
      <xdr:row>62</xdr:row>
      <xdr:rowOff>138544</xdr:rowOff>
    </xdr:to>
    <xdr:sp macro="" textlink="">
      <xdr:nvSpPr>
        <xdr:cNvPr id="3" name="2 CuadroTexto"/>
        <xdr:cNvSpPr txBox="1"/>
      </xdr:nvSpPr>
      <xdr:spPr>
        <a:xfrm>
          <a:off x="1" y="0"/>
          <a:ext cx="14720454" cy="11949544"/>
        </a:xfrm>
        <a:prstGeom prst="rect">
          <a:avLst/>
        </a:prstGeom>
        <a:noFill/>
        <a:ln w="9525" cmpd="sng">
          <a:noFill/>
        </a:ln>
        <a:effectLst>
          <a:softEdge rad="1270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200" b="1">
              <a:solidFill>
                <a:schemeClr val="accent3">
                  <a:lumMod val="50000"/>
                </a:schemeClr>
              </a:solidFill>
            </a:rPr>
            <a:t>                                              </a:t>
          </a:r>
          <a:endParaRPr lang="es-DO" sz="4400" b="1">
            <a:solidFill>
              <a:schemeClr val="accent3">
                <a:lumMod val="50000"/>
              </a:schemeClr>
            </a:solidFill>
          </a:endParaRPr>
        </a:p>
      </xdr:txBody>
    </xdr:sp>
    <xdr:clientData/>
  </xdr:twoCellAnchor>
  <xdr:twoCellAnchor>
    <xdr:from>
      <xdr:col>0</xdr:col>
      <xdr:colOff>138546</xdr:colOff>
      <xdr:row>30</xdr:row>
      <xdr:rowOff>0</xdr:rowOff>
    </xdr:from>
    <xdr:to>
      <xdr:col>12</xdr:col>
      <xdr:colOff>1766455</xdr:colOff>
      <xdr:row>37</xdr:row>
      <xdr:rowOff>121227</xdr:rowOff>
    </xdr:to>
    <xdr:sp macro="" textlink="">
      <xdr:nvSpPr>
        <xdr:cNvPr id="4" name="3 Rectángulo redondeado"/>
        <xdr:cNvSpPr/>
      </xdr:nvSpPr>
      <xdr:spPr>
        <a:xfrm>
          <a:off x="138546" y="5715000"/>
          <a:ext cx="11267209" cy="1454727"/>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600" b="1">
              <a:solidFill>
                <a:sysClr val="windowText" lastClr="000000"/>
              </a:solidFill>
            </a:rPr>
            <a:t>Fiscalización /  supervisión</a:t>
          </a:r>
        </a:p>
      </xdr:txBody>
    </xdr:sp>
    <xdr:clientData/>
  </xdr:twoCellAnchor>
  <xdr:twoCellAnchor editAs="oneCell">
    <xdr:from>
      <xdr:col>0</xdr:col>
      <xdr:colOff>231322</xdr:colOff>
      <xdr:row>0</xdr:row>
      <xdr:rowOff>163286</xdr:rowOff>
    </xdr:from>
    <xdr:to>
      <xdr:col>1</xdr:col>
      <xdr:colOff>727709</xdr:colOff>
      <xdr:row>4</xdr:row>
      <xdr:rowOff>155864</xdr:rowOff>
    </xdr:to>
    <xdr:pic>
      <xdr:nvPicPr>
        <xdr:cNvPr id="5" name="1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231322" y="163286"/>
          <a:ext cx="1258387" cy="7545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311727</xdr:colOff>
      <xdr:row>17</xdr:row>
      <xdr:rowOff>34637</xdr:rowOff>
    </xdr:from>
    <xdr:to>
      <xdr:col>8</xdr:col>
      <xdr:colOff>1275876</xdr:colOff>
      <xdr:row>19</xdr:row>
      <xdr:rowOff>190131</xdr:rowOff>
    </xdr:to>
    <xdr:pic>
      <xdr:nvPicPr>
        <xdr:cNvPr id="6" name="5 Imagen"/>
        <xdr:cNvPicPr>
          <a:picLocks noChangeAspect="1"/>
        </xdr:cNvPicPr>
      </xdr:nvPicPr>
      <xdr:blipFill>
        <a:blip xmlns:r="http://schemas.openxmlformats.org/officeDocument/2006/relationships" r:embed="rId4"/>
        <a:stretch>
          <a:fillRect/>
        </a:stretch>
      </xdr:blipFill>
      <xdr:spPr>
        <a:xfrm>
          <a:off x="1835727" y="3273137"/>
          <a:ext cx="6518090" cy="536494"/>
        </a:xfrm>
        <a:prstGeom prst="rect">
          <a:avLst/>
        </a:prstGeom>
      </xdr:spPr>
    </xdr:pic>
    <xdr:clientData/>
  </xdr:twoCellAnchor>
  <xdr:twoCellAnchor>
    <xdr:from>
      <xdr:col>0</xdr:col>
      <xdr:colOff>0</xdr:colOff>
      <xdr:row>0</xdr:row>
      <xdr:rowOff>17319</xdr:rowOff>
    </xdr:from>
    <xdr:to>
      <xdr:col>12</xdr:col>
      <xdr:colOff>1783773</xdr:colOff>
      <xdr:row>62</xdr:row>
      <xdr:rowOff>3959</xdr:rowOff>
    </xdr:to>
    <xdr:grpSp>
      <xdr:nvGrpSpPr>
        <xdr:cNvPr id="7" name="6 Grupo"/>
        <xdr:cNvGrpSpPr/>
      </xdr:nvGrpSpPr>
      <xdr:grpSpPr>
        <a:xfrm>
          <a:off x="0" y="18025"/>
          <a:ext cx="15846553" cy="11359490"/>
          <a:chOff x="1" y="27215"/>
          <a:chExt cx="11430000" cy="11797640"/>
        </a:xfrm>
      </xdr:grpSpPr>
      <xdr:sp macro="" textlink="">
        <xdr:nvSpPr>
          <xdr:cNvPr id="8" name="7 Rectángulo redondeado"/>
          <xdr:cNvSpPr/>
        </xdr:nvSpPr>
        <xdr:spPr>
          <a:xfrm>
            <a:off x="138546" y="1143000"/>
            <a:ext cx="11256818" cy="1221442"/>
          </a:xfrm>
          <a:prstGeom prst="roundRect">
            <a:avLst/>
          </a:prstGeom>
          <a:solidFill>
            <a:schemeClr val="bg2">
              <a:lumMod val="75000"/>
            </a:schemeClr>
          </a:solidFill>
          <a:ln>
            <a:noFill/>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600" b="1">
                <a:solidFill>
                  <a:sysClr val="windowText" lastClr="000000"/>
                </a:solidFill>
              </a:rPr>
              <a:t>                                                                                                                                                  Dirección</a:t>
            </a:r>
          </a:p>
        </xdr:txBody>
      </xdr:sp>
      <xdr:sp macro="" textlink="">
        <xdr:nvSpPr>
          <xdr:cNvPr id="9" name="8 Rectángulo redondeado"/>
          <xdr:cNvSpPr/>
        </xdr:nvSpPr>
        <xdr:spPr>
          <a:xfrm>
            <a:off x="2961410" y="1489364"/>
            <a:ext cx="5420591" cy="762000"/>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chemeClr val="bg1"/>
                </a:solidFill>
              </a:rPr>
              <a:t>Consejo Nacional de Seguridad Social (CNSS)</a:t>
            </a:r>
          </a:p>
        </xdr:txBody>
      </xdr:sp>
      <xdr:sp macro="" textlink="">
        <xdr:nvSpPr>
          <xdr:cNvPr id="10" name="9 Rectángulo redondeado"/>
          <xdr:cNvSpPr/>
        </xdr:nvSpPr>
        <xdr:spPr>
          <a:xfrm>
            <a:off x="519546" y="6061361"/>
            <a:ext cx="3532908" cy="1004455"/>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Superintendencia</a:t>
            </a:r>
            <a:r>
              <a:rPr lang="en-US" sz="1800" b="1" baseline="0">
                <a:solidFill>
                  <a:schemeClr val="bg1"/>
                </a:solidFill>
                <a:latin typeface="+mn-lt"/>
                <a:ea typeface="+mn-ea"/>
                <a:cs typeface="+mn-cs"/>
              </a:rPr>
              <a:t> de Pensiones (SIPEN)</a:t>
            </a:r>
            <a:endParaRPr lang="en-US" sz="1800" b="1">
              <a:solidFill>
                <a:schemeClr val="bg1"/>
              </a:solidFill>
              <a:latin typeface="+mn-lt"/>
              <a:ea typeface="+mn-ea"/>
              <a:cs typeface="+mn-cs"/>
            </a:endParaRPr>
          </a:p>
        </xdr:txBody>
      </xdr:sp>
      <xdr:sp macro="" textlink="">
        <xdr:nvSpPr>
          <xdr:cNvPr id="11" name="10 Rectángulo redondeado"/>
          <xdr:cNvSpPr/>
        </xdr:nvSpPr>
        <xdr:spPr>
          <a:xfrm>
            <a:off x="8070273" y="6078681"/>
            <a:ext cx="3013364" cy="102177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Patronato de Recaudo e  Informática de la Seguridad Social (PRISS)</a:t>
            </a:r>
          </a:p>
        </xdr:txBody>
      </xdr:sp>
      <xdr:sp macro="" textlink="">
        <xdr:nvSpPr>
          <xdr:cNvPr id="12" name="11 Rectángulo redondeado"/>
          <xdr:cNvSpPr/>
        </xdr:nvSpPr>
        <xdr:spPr>
          <a:xfrm>
            <a:off x="4139047" y="6095999"/>
            <a:ext cx="3792680" cy="1021773"/>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Superintendencia de Salud</a:t>
            </a:r>
            <a:r>
              <a:rPr lang="en-US" sz="1800" b="1" baseline="0">
                <a:solidFill>
                  <a:schemeClr val="bg1"/>
                </a:solidFill>
                <a:latin typeface="+mn-lt"/>
                <a:ea typeface="+mn-ea"/>
                <a:cs typeface="+mn-cs"/>
              </a:rPr>
              <a:t> y Riesgos Laborales (S</a:t>
            </a:r>
            <a:r>
              <a:rPr lang="en-US" sz="1800" b="1">
                <a:solidFill>
                  <a:schemeClr val="bg1"/>
                </a:solidFill>
                <a:latin typeface="+mn-lt"/>
                <a:ea typeface="+mn-ea"/>
                <a:cs typeface="+mn-cs"/>
              </a:rPr>
              <a:t>ISALRIL)</a:t>
            </a:r>
          </a:p>
        </xdr:txBody>
      </xdr:sp>
      <xdr:sp macro="" textlink="">
        <xdr:nvSpPr>
          <xdr:cNvPr id="13" name="12 Rectángulo redondeado"/>
          <xdr:cNvSpPr/>
        </xdr:nvSpPr>
        <xdr:spPr>
          <a:xfrm>
            <a:off x="138546" y="4110520"/>
            <a:ext cx="11222182" cy="1275435"/>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600" b="1">
                <a:solidFill>
                  <a:sysClr val="windowText" lastClr="000000"/>
                </a:solidFill>
              </a:rPr>
              <a:t>Operación</a:t>
            </a:r>
          </a:p>
        </xdr:txBody>
      </xdr:sp>
      <xdr:sp macro="" textlink="">
        <xdr:nvSpPr>
          <xdr:cNvPr id="14" name="13 Rectángulo redondeado"/>
          <xdr:cNvSpPr/>
        </xdr:nvSpPr>
        <xdr:spPr>
          <a:xfrm>
            <a:off x="6809511" y="4410027"/>
            <a:ext cx="3931226" cy="750792"/>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UNIPAGO</a:t>
            </a:r>
          </a:p>
        </xdr:txBody>
      </xdr:sp>
      <xdr:sp macro="" textlink="">
        <xdr:nvSpPr>
          <xdr:cNvPr id="15" name="14 Rectángulo redondeado"/>
          <xdr:cNvSpPr/>
        </xdr:nvSpPr>
        <xdr:spPr>
          <a:xfrm>
            <a:off x="588822" y="4364182"/>
            <a:ext cx="3965864" cy="779318"/>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Tesorería de la Seguridad Social (TSS)</a:t>
            </a:r>
          </a:p>
        </xdr:txBody>
      </xdr:sp>
      <xdr:sp macro="" textlink="">
        <xdr:nvSpPr>
          <xdr:cNvPr id="16" name="15 Flecha izquierda y derecha"/>
          <xdr:cNvSpPr/>
        </xdr:nvSpPr>
        <xdr:spPr>
          <a:xfrm>
            <a:off x="4679373" y="4667760"/>
            <a:ext cx="2008909" cy="277820"/>
          </a:xfrm>
          <a:prstGeom prst="leftRightArrow">
            <a:avLst/>
          </a:prstGeom>
          <a:solidFill>
            <a:schemeClr val="accent6">
              <a:lumMod val="60000"/>
              <a:lumOff val="40000"/>
            </a:schemeClr>
          </a:solidFill>
          <a:ln w="76200">
            <a:solidFill>
              <a:schemeClr val="tx2">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ln>
                <a:solidFill>
                  <a:schemeClr val="tx2">
                    <a:lumMod val="60000"/>
                    <a:lumOff val="40000"/>
                  </a:schemeClr>
                </a:solidFill>
              </a:ln>
            </a:endParaRPr>
          </a:p>
        </xdr:txBody>
      </xdr:sp>
      <xdr:sp macro="" textlink="">
        <xdr:nvSpPr>
          <xdr:cNvPr id="17" name="16 Rectángulo redondeado"/>
          <xdr:cNvSpPr/>
        </xdr:nvSpPr>
        <xdr:spPr>
          <a:xfrm>
            <a:off x="138546" y="7568046"/>
            <a:ext cx="11291454" cy="1801090"/>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n-US" sz="1600" b="1">
                <a:solidFill>
                  <a:sysClr val="windowText" lastClr="000000"/>
                </a:solidFill>
                <a:latin typeface="+mn-lt"/>
                <a:ea typeface="+mn-ea"/>
                <a:cs typeface="+mn-cs"/>
              </a:rPr>
              <a:t>Administración y Gestión</a:t>
            </a:r>
          </a:p>
        </xdr:txBody>
      </xdr:sp>
      <xdr:sp macro="" textlink="">
        <xdr:nvSpPr>
          <xdr:cNvPr id="18" name="17 Rectángulo redondeado"/>
          <xdr:cNvSpPr/>
        </xdr:nvSpPr>
        <xdr:spPr>
          <a:xfrm>
            <a:off x="242453" y="7827818"/>
            <a:ext cx="2389910" cy="88832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US" sz="1800" b="1">
              <a:solidFill>
                <a:schemeClr val="bg1"/>
              </a:solidFill>
              <a:latin typeface="+mn-lt"/>
              <a:ea typeface="+mn-ea"/>
              <a:cs typeface="+mn-cs"/>
            </a:endParaRPr>
          </a:p>
        </xdr:txBody>
      </xdr:sp>
      <xdr:sp macro="" textlink="">
        <xdr:nvSpPr>
          <xdr:cNvPr id="19" name="18 Rectángulo redondeado"/>
          <xdr:cNvSpPr/>
        </xdr:nvSpPr>
        <xdr:spPr>
          <a:xfrm>
            <a:off x="294409" y="7966363"/>
            <a:ext cx="2545772" cy="103298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US" sz="1800" b="1">
              <a:solidFill>
                <a:schemeClr val="bg1"/>
              </a:solidFill>
              <a:latin typeface="+mn-lt"/>
              <a:ea typeface="+mn-ea"/>
              <a:cs typeface="+mn-cs"/>
            </a:endParaRPr>
          </a:p>
        </xdr:txBody>
      </xdr:sp>
      <xdr:sp macro="" textlink="">
        <xdr:nvSpPr>
          <xdr:cNvPr id="20" name="19 Rectángulo redondeado"/>
          <xdr:cNvSpPr/>
        </xdr:nvSpPr>
        <xdr:spPr>
          <a:xfrm>
            <a:off x="363681" y="8104908"/>
            <a:ext cx="2597728" cy="110836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Administradoras de Fondos de Pensiones (AFP)</a:t>
            </a:r>
          </a:p>
        </xdr:txBody>
      </xdr:sp>
      <xdr:sp macro="" textlink="">
        <xdr:nvSpPr>
          <xdr:cNvPr id="21" name="20 Rectángulo redondeado"/>
          <xdr:cNvSpPr/>
        </xdr:nvSpPr>
        <xdr:spPr>
          <a:xfrm>
            <a:off x="6909955" y="7897091"/>
            <a:ext cx="2389910" cy="831273"/>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US" sz="1800" b="1">
              <a:solidFill>
                <a:schemeClr val="bg1"/>
              </a:solidFill>
              <a:latin typeface="+mn-lt"/>
              <a:ea typeface="+mn-ea"/>
              <a:cs typeface="+mn-cs"/>
            </a:endParaRPr>
          </a:p>
        </xdr:txBody>
      </xdr:sp>
      <xdr:sp macro="" textlink="">
        <xdr:nvSpPr>
          <xdr:cNvPr id="22" name="21 Rectángulo redondeado"/>
          <xdr:cNvSpPr/>
        </xdr:nvSpPr>
        <xdr:spPr>
          <a:xfrm>
            <a:off x="6754091" y="8035635"/>
            <a:ext cx="2493820" cy="1021773"/>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US" sz="1800" b="1">
              <a:solidFill>
                <a:schemeClr val="bg1"/>
              </a:solidFill>
              <a:latin typeface="+mn-lt"/>
              <a:ea typeface="+mn-ea"/>
              <a:cs typeface="+mn-cs"/>
            </a:endParaRPr>
          </a:p>
        </xdr:txBody>
      </xdr:sp>
      <xdr:sp macro="" textlink="">
        <xdr:nvSpPr>
          <xdr:cNvPr id="23" name="22 Rectángulo redondeado"/>
          <xdr:cNvSpPr/>
        </xdr:nvSpPr>
        <xdr:spPr>
          <a:xfrm>
            <a:off x="6598227" y="8174181"/>
            <a:ext cx="2563093" cy="110836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Administradoras de Riesgos de Salud (ARS)</a:t>
            </a:r>
          </a:p>
        </xdr:txBody>
      </xdr:sp>
      <xdr:sp macro="" textlink="">
        <xdr:nvSpPr>
          <xdr:cNvPr id="24" name="23 Rectángulo redondeado"/>
          <xdr:cNvSpPr/>
        </xdr:nvSpPr>
        <xdr:spPr>
          <a:xfrm>
            <a:off x="9438409" y="7741227"/>
            <a:ext cx="1922319" cy="150668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Administradora de Estancias Infantiles Salud Segura (AEISS)</a:t>
            </a:r>
          </a:p>
        </xdr:txBody>
      </xdr:sp>
      <xdr:sp macro="" textlink="">
        <xdr:nvSpPr>
          <xdr:cNvPr id="25" name="24 Rectángulo redondeado"/>
          <xdr:cNvSpPr/>
        </xdr:nvSpPr>
        <xdr:spPr>
          <a:xfrm>
            <a:off x="3099956" y="8052955"/>
            <a:ext cx="3325090" cy="1194952"/>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glow rad="63500">
              <a:schemeClr val="accent6">
                <a:satMod val="175000"/>
                <a:alpha val="40000"/>
              </a:schemeClr>
            </a:glow>
            <a:outerShdw blurRad="44450" dist="27940" dir="5400000" algn="ctr">
              <a:schemeClr val="accent6">
                <a:lumMod val="60000"/>
                <a:lumOff val="40000"/>
                <a:alpha val="32000"/>
              </a:scheme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Administradora</a:t>
            </a:r>
            <a:r>
              <a:rPr lang="en-US" sz="1800" b="1" baseline="0">
                <a:solidFill>
                  <a:schemeClr val="bg1"/>
                </a:solidFill>
                <a:latin typeface="+mn-lt"/>
                <a:ea typeface="+mn-ea"/>
                <a:cs typeface="+mn-cs"/>
              </a:rPr>
              <a:t> de </a:t>
            </a:r>
            <a:r>
              <a:rPr lang="en-US" sz="1800" b="1">
                <a:solidFill>
                  <a:schemeClr val="bg1"/>
                </a:solidFill>
                <a:latin typeface="+mn-lt"/>
                <a:ea typeface="+mn-ea"/>
                <a:cs typeface="+mn-cs"/>
              </a:rPr>
              <a:t>Riesgos Laborales (ARL)</a:t>
            </a:r>
          </a:p>
        </xdr:txBody>
      </xdr:sp>
      <xdr:sp macro="" textlink="">
        <xdr:nvSpPr>
          <xdr:cNvPr id="26" name="25 Flecha abajo"/>
          <xdr:cNvSpPr/>
        </xdr:nvSpPr>
        <xdr:spPr>
          <a:xfrm>
            <a:off x="4139045" y="7204363"/>
            <a:ext cx="277091" cy="796637"/>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7" name="26 Flecha abajo"/>
          <xdr:cNvSpPr/>
        </xdr:nvSpPr>
        <xdr:spPr>
          <a:xfrm>
            <a:off x="7377545" y="7135090"/>
            <a:ext cx="299716" cy="658091"/>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8" name="27 Flecha abajo"/>
          <xdr:cNvSpPr/>
        </xdr:nvSpPr>
        <xdr:spPr>
          <a:xfrm>
            <a:off x="1575955" y="7135092"/>
            <a:ext cx="329046" cy="623453"/>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9" name="28 Rectángulo redondeado"/>
          <xdr:cNvSpPr/>
        </xdr:nvSpPr>
        <xdr:spPr>
          <a:xfrm>
            <a:off x="1" y="27215"/>
            <a:ext cx="11430000" cy="97724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3600" b="1">
                <a:solidFill>
                  <a:schemeClr val="lt1"/>
                </a:solidFill>
                <a:effectLst/>
                <a:latin typeface="+mn-lt"/>
                <a:ea typeface="+mn-ea"/>
                <a:cs typeface="+mn-cs"/>
              </a:rPr>
              <a:t>Organización del Sistema</a:t>
            </a:r>
            <a:endParaRPr lang="en-US" sz="4400" b="1"/>
          </a:p>
        </xdr:txBody>
      </xdr:sp>
      <xdr:sp macro="" textlink="">
        <xdr:nvSpPr>
          <xdr:cNvPr id="30" name="29 Flecha arriba"/>
          <xdr:cNvSpPr/>
        </xdr:nvSpPr>
        <xdr:spPr>
          <a:xfrm flipH="1">
            <a:off x="9043593" y="5222670"/>
            <a:ext cx="301257" cy="804057"/>
          </a:xfrm>
          <a:prstGeom prst="up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US" sz="1100">
              <a:solidFill>
                <a:schemeClr val="lt1"/>
              </a:solidFill>
              <a:latin typeface="+mn-lt"/>
              <a:ea typeface="+mn-ea"/>
              <a:cs typeface="+mn-cs"/>
            </a:endParaRPr>
          </a:p>
        </xdr:txBody>
      </xdr:sp>
      <xdr:sp macro="" textlink="">
        <xdr:nvSpPr>
          <xdr:cNvPr id="31" name="30 Rectángulo redondeado"/>
          <xdr:cNvSpPr/>
        </xdr:nvSpPr>
        <xdr:spPr>
          <a:xfrm>
            <a:off x="103909" y="9888682"/>
            <a:ext cx="11308773" cy="1801093"/>
          </a:xfrm>
          <a:prstGeom prst="roundRect">
            <a:avLst/>
          </a:prstGeom>
          <a:solidFill>
            <a:schemeClr val="bg2">
              <a:lumMod val="75000"/>
            </a:schemeClr>
          </a:solidFill>
          <a:ln>
            <a:noFill/>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r>
              <a:rPr lang="en-US" sz="1600" b="1">
                <a:solidFill>
                  <a:sysClr val="windowText" lastClr="000000"/>
                </a:solidFill>
                <a:latin typeface="+mn-lt"/>
                <a:ea typeface="+mn-ea"/>
                <a:cs typeface="+mn-cs"/>
              </a:rPr>
              <a:t>                                                                                                                                                                Servicios</a:t>
            </a:r>
          </a:p>
        </xdr:txBody>
      </xdr:sp>
      <xdr:sp macro="" textlink="">
        <xdr:nvSpPr>
          <xdr:cNvPr id="32" name="31 Rectángulo redondeado"/>
          <xdr:cNvSpPr/>
        </xdr:nvSpPr>
        <xdr:spPr>
          <a:xfrm>
            <a:off x="225135" y="10356273"/>
            <a:ext cx="3827320" cy="1160317"/>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Comisión</a:t>
            </a:r>
            <a:r>
              <a:rPr lang="en-US" sz="1800" b="1" baseline="0">
                <a:solidFill>
                  <a:schemeClr val="bg1"/>
                </a:solidFill>
                <a:latin typeface="+mn-lt"/>
                <a:ea typeface="+mn-ea"/>
                <a:cs typeface="+mn-cs"/>
              </a:rPr>
              <a:t> Médica Nacional y Regional (C</a:t>
            </a:r>
            <a:r>
              <a:rPr lang="en-US" sz="1800" b="1">
                <a:solidFill>
                  <a:schemeClr val="bg1"/>
                </a:solidFill>
                <a:latin typeface="+mn-lt"/>
                <a:ea typeface="+mn-ea"/>
                <a:cs typeface="+mn-cs"/>
              </a:rPr>
              <a:t>MNR)</a:t>
            </a:r>
          </a:p>
        </xdr:txBody>
      </xdr:sp>
      <xdr:sp macro="" textlink="">
        <xdr:nvSpPr>
          <xdr:cNvPr id="33" name="32 Rectángulo redondeado"/>
          <xdr:cNvSpPr/>
        </xdr:nvSpPr>
        <xdr:spPr>
          <a:xfrm>
            <a:off x="4190998" y="10338954"/>
            <a:ext cx="4831773" cy="121227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Prestadoras de Servicios de Salud (PSS)</a:t>
            </a:r>
          </a:p>
        </xdr:txBody>
      </xdr:sp>
      <xdr:sp macro="" textlink="">
        <xdr:nvSpPr>
          <xdr:cNvPr id="34" name="33 Rectángulo redondeado"/>
          <xdr:cNvSpPr/>
        </xdr:nvSpPr>
        <xdr:spPr>
          <a:xfrm>
            <a:off x="9299864" y="10304318"/>
            <a:ext cx="1887681" cy="1194955"/>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Estancias Infantiles (EI)</a:t>
            </a:r>
          </a:p>
        </xdr:txBody>
      </xdr:sp>
      <xdr:sp macro="" textlink="">
        <xdr:nvSpPr>
          <xdr:cNvPr id="35" name="34 Flecha abajo"/>
          <xdr:cNvSpPr/>
        </xdr:nvSpPr>
        <xdr:spPr>
          <a:xfrm>
            <a:off x="10158643" y="9334499"/>
            <a:ext cx="284222" cy="935183"/>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7" name="36 Flecha abajo"/>
          <xdr:cNvSpPr/>
        </xdr:nvSpPr>
        <xdr:spPr>
          <a:xfrm>
            <a:off x="7726151" y="9338777"/>
            <a:ext cx="309486" cy="913587"/>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9" name="38 Flecha abajo"/>
          <xdr:cNvSpPr/>
        </xdr:nvSpPr>
        <xdr:spPr>
          <a:xfrm>
            <a:off x="623453" y="9334356"/>
            <a:ext cx="311729" cy="952644"/>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0" name="39 Rectángulo redondeado"/>
          <xdr:cNvSpPr/>
        </xdr:nvSpPr>
        <xdr:spPr>
          <a:xfrm>
            <a:off x="138545" y="2615045"/>
            <a:ext cx="11274137" cy="1229591"/>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n-US" sz="1600" b="1">
                <a:solidFill>
                  <a:sysClr val="windowText" lastClr="000000"/>
                </a:solidFill>
                <a:latin typeface="+mn-lt"/>
                <a:ea typeface="+mn-ea"/>
                <a:cs typeface="+mn-cs"/>
              </a:rPr>
              <a:t>Defensa e Información a los Afiliados </a:t>
            </a:r>
          </a:p>
        </xdr:txBody>
      </xdr:sp>
      <xdr:sp macro="" textlink="">
        <xdr:nvSpPr>
          <xdr:cNvPr id="41" name="40 Rectángulo redondeado"/>
          <xdr:cNvSpPr/>
        </xdr:nvSpPr>
        <xdr:spPr>
          <a:xfrm>
            <a:off x="1783774" y="2996046"/>
            <a:ext cx="7342908" cy="744682"/>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2000" b="1">
                <a:solidFill>
                  <a:schemeClr val="bg1"/>
                </a:solidFill>
                <a:latin typeface="+mn-lt"/>
                <a:ea typeface="+mn-ea"/>
                <a:cs typeface="+mn-cs"/>
              </a:rPr>
              <a:t>Dirección de Información y Defensa  de los Afiliados (DIDA)</a:t>
            </a:r>
          </a:p>
        </xdr:txBody>
      </xdr:sp>
      <xdr:sp macro="" textlink="">
        <xdr:nvSpPr>
          <xdr:cNvPr id="42" name="41 Rectángulo redondeado"/>
          <xdr:cNvSpPr/>
        </xdr:nvSpPr>
        <xdr:spPr>
          <a:xfrm>
            <a:off x="4256808" y="10474037"/>
            <a:ext cx="4831773" cy="121227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Prestadoras de Servicios de Salud (PSS)</a:t>
            </a:r>
          </a:p>
        </xdr:txBody>
      </xdr:sp>
      <xdr:sp macro="" textlink="">
        <xdr:nvSpPr>
          <xdr:cNvPr id="43" name="42 Rectángulo redondeado"/>
          <xdr:cNvSpPr/>
        </xdr:nvSpPr>
        <xdr:spPr>
          <a:xfrm>
            <a:off x="4360716" y="10612581"/>
            <a:ext cx="4831773" cy="121227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Prestadoras de Servicios de Salud (PSS)</a:t>
            </a:r>
          </a:p>
        </xdr:txBody>
      </xdr:sp>
      <xdr:sp macro="" textlink="">
        <xdr:nvSpPr>
          <xdr:cNvPr id="44" name="43 Rectángulo redondeado"/>
          <xdr:cNvSpPr/>
        </xdr:nvSpPr>
        <xdr:spPr>
          <a:xfrm>
            <a:off x="308262" y="10491354"/>
            <a:ext cx="3827320" cy="1160317"/>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Comisión</a:t>
            </a:r>
            <a:r>
              <a:rPr lang="en-US" sz="1800" b="1" baseline="0">
                <a:solidFill>
                  <a:schemeClr val="bg1"/>
                </a:solidFill>
                <a:latin typeface="+mn-lt"/>
                <a:ea typeface="+mn-ea"/>
                <a:cs typeface="+mn-cs"/>
              </a:rPr>
              <a:t> Médica Nacional y Regional (C</a:t>
            </a:r>
            <a:r>
              <a:rPr lang="en-US" sz="1800" b="1">
                <a:solidFill>
                  <a:schemeClr val="bg1"/>
                </a:solidFill>
                <a:latin typeface="+mn-lt"/>
                <a:ea typeface="+mn-ea"/>
                <a:cs typeface="+mn-cs"/>
              </a:rPr>
              <a:t>MNR)</a:t>
            </a:r>
          </a:p>
        </xdr:txBody>
      </xdr:sp>
      <xdr:sp macro="" textlink="">
        <xdr:nvSpPr>
          <xdr:cNvPr id="45" name="44 Rectángulo redondeado"/>
          <xdr:cNvSpPr/>
        </xdr:nvSpPr>
        <xdr:spPr>
          <a:xfrm>
            <a:off x="9360670" y="10422082"/>
            <a:ext cx="1887681" cy="1194955"/>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Estancias Infantiles (EI)</a:t>
            </a:r>
          </a:p>
        </xdr:txBody>
      </xdr:sp>
      <xdr:sp macro="" textlink="">
        <xdr:nvSpPr>
          <xdr:cNvPr id="46" name="45 Rectángulo redondeado"/>
          <xdr:cNvSpPr/>
        </xdr:nvSpPr>
        <xdr:spPr>
          <a:xfrm>
            <a:off x="9414164" y="10574481"/>
            <a:ext cx="1887681" cy="1194955"/>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Estancias Infantiles (EI)</a:t>
            </a:r>
          </a:p>
        </xdr:txBody>
      </xdr:sp>
    </xdr:grpSp>
    <xdr:clientData/>
  </xdr:twoCellAnchor>
  <xdr:twoCellAnchor>
    <xdr:from>
      <xdr:col>7</xdr:col>
      <xdr:colOff>1229592</xdr:colOff>
      <xdr:row>48</xdr:row>
      <xdr:rowOff>155865</xdr:rowOff>
    </xdr:from>
    <xdr:to>
      <xdr:col>8</xdr:col>
      <xdr:colOff>24615</xdr:colOff>
      <xdr:row>53</xdr:row>
      <xdr:rowOff>116952</xdr:rowOff>
    </xdr:to>
    <xdr:sp macro="" textlink="">
      <xdr:nvSpPr>
        <xdr:cNvPr id="47" name="46 Flecha abajo"/>
        <xdr:cNvSpPr/>
      </xdr:nvSpPr>
      <xdr:spPr>
        <a:xfrm>
          <a:off x="6702137" y="9299865"/>
          <a:ext cx="405614" cy="913587"/>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637309</xdr:colOff>
      <xdr:row>48</xdr:row>
      <xdr:rowOff>152401</xdr:rowOff>
    </xdr:from>
    <xdr:to>
      <xdr:col>6</xdr:col>
      <xdr:colOff>311727</xdr:colOff>
      <xdr:row>54</xdr:row>
      <xdr:rowOff>51955</xdr:rowOff>
    </xdr:to>
    <xdr:sp macro="" textlink="">
      <xdr:nvSpPr>
        <xdr:cNvPr id="48" name="47 Flecha abajo"/>
        <xdr:cNvSpPr/>
      </xdr:nvSpPr>
      <xdr:spPr>
        <a:xfrm>
          <a:off x="4447309" y="9296401"/>
          <a:ext cx="436418" cy="1042554"/>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0</xdr:col>
      <xdr:colOff>450273</xdr:colOff>
      <xdr:row>0</xdr:row>
      <xdr:rowOff>138545</xdr:rowOff>
    </xdr:from>
    <xdr:to>
      <xdr:col>1</xdr:col>
      <xdr:colOff>669004</xdr:colOff>
      <xdr:row>4</xdr:row>
      <xdr:rowOff>70510</xdr:rowOff>
    </xdr:to>
    <xdr:pic>
      <xdr:nvPicPr>
        <xdr:cNvPr id="50" name="40 Imagen" descr="Logo_2x4.bmp">
          <a:hlinkClick xmlns:r="http://schemas.openxmlformats.org/officeDocument/2006/relationships" r:id="rId5"/>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450273" y="138545"/>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0.xml><?xml version="1.0" encoding="utf-8"?>
<c:userShapes xmlns:c="http://schemas.openxmlformats.org/drawingml/2006/chart">
  <cdr:relSizeAnchor xmlns:cdr="http://schemas.openxmlformats.org/drawingml/2006/chartDrawing">
    <cdr:from>
      <cdr:x>0.0738</cdr:x>
      <cdr:y>0.93522</cdr:y>
    </cdr:from>
    <cdr:to>
      <cdr:x>0.37066</cdr:x>
      <cdr:y>0.98248</cdr:y>
    </cdr:to>
    <cdr:sp macro="" textlink="">
      <cdr:nvSpPr>
        <cdr:cNvPr id="2" name="CuadroTexto 1"/>
        <cdr:cNvSpPr txBox="1"/>
      </cdr:nvSpPr>
      <cdr:spPr>
        <a:xfrm xmlns:a="http://schemas.openxmlformats.org/drawingml/2006/main">
          <a:off x="1248228" y="6731907"/>
          <a:ext cx="5021036" cy="340179"/>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400" b="1"/>
            <a:t>Fuente:</a:t>
          </a:r>
          <a:r>
            <a:rPr lang="es-ES" sz="1400" b="1" baseline="0"/>
            <a:t> </a:t>
          </a:r>
          <a:r>
            <a:rPr lang="es-ES" sz="1400" baseline="0"/>
            <a:t>SISALRIL</a:t>
          </a:r>
          <a:endParaRPr lang="es-ES" sz="1400"/>
        </a:p>
      </cdr:txBody>
    </cdr:sp>
  </cdr:relSizeAnchor>
</c:userShapes>
</file>

<file path=xl/drawings/drawing41.xml><?xml version="1.0" encoding="utf-8"?>
<xdr:wsDr xmlns:xdr="http://schemas.openxmlformats.org/drawingml/2006/spreadsheetDrawing" xmlns:a="http://schemas.openxmlformats.org/drawingml/2006/main">
  <xdr:twoCellAnchor>
    <xdr:from>
      <xdr:col>0</xdr:col>
      <xdr:colOff>0</xdr:colOff>
      <xdr:row>17</xdr:row>
      <xdr:rowOff>44824</xdr:rowOff>
    </xdr:from>
    <xdr:to>
      <xdr:col>13</xdr:col>
      <xdr:colOff>571500</xdr:colOff>
      <xdr:row>41</xdr:row>
      <xdr:rowOff>100852</xdr:rowOff>
    </xdr:to>
    <xdr:graphicFrame macro="">
      <xdr:nvGraphicFramePr>
        <xdr:cNvPr id="3"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1</xdr:row>
      <xdr:rowOff>11206</xdr:rowOff>
    </xdr:to>
    <xdr:sp macro="" textlink="">
      <xdr:nvSpPr>
        <xdr:cNvPr id="4" name="5 Rectángulo redondeado"/>
        <xdr:cNvSpPr/>
      </xdr:nvSpPr>
      <xdr:spPr>
        <a:xfrm>
          <a:off x="0" y="0"/>
          <a:ext cx="12270441" cy="89647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400" b="1">
              <a:solidFill>
                <a:schemeClr val="lt1"/>
              </a:solidFill>
              <a:effectLst/>
              <a:latin typeface="+mn-lt"/>
              <a:ea typeface="+mn-ea"/>
              <a:cs typeface="+mn-cs"/>
            </a:rPr>
            <a:t>Seguro Familiar de Salud (SFS) del Régimen Subsidiado (RS)</a:t>
          </a:r>
        </a:p>
        <a:p>
          <a:pPr algn="ctr" eaLnBrk="1" fontAlgn="auto" latinLnBrk="0" hangingPunct="1"/>
          <a:r>
            <a:rPr lang="es-DO" sz="1400" b="1">
              <a:solidFill>
                <a:schemeClr val="lt1"/>
              </a:solidFill>
              <a:effectLst/>
              <a:latin typeface="+mn-lt"/>
              <a:ea typeface="+mn-ea"/>
              <a:cs typeface="+mn-cs"/>
            </a:rPr>
            <a:t>Afiliación Mensual Seguro Familiar de Salud (SFS) del  Régimen Subsidiado</a:t>
          </a:r>
          <a:r>
            <a:rPr lang="es-DO" sz="1400" b="1" baseline="0">
              <a:solidFill>
                <a:schemeClr val="lt1"/>
              </a:solidFill>
              <a:effectLst/>
              <a:latin typeface="+mn-lt"/>
              <a:ea typeface="+mn-ea"/>
              <a:cs typeface="+mn-cs"/>
            </a:rPr>
            <a:t> (R</a:t>
          </a:r>
          <a:r>
            <a:rPr lang="es-DO" sz="1400" b="1">
              <a:solidFill>
                <a:schemeClr val="lt1"/>
              </a:solidFill>
              <a:effectLst/>
              <a:latin typeface="+mn-lt"/>
              <a:ea typeface="+mn-ea"/>
              <a:cs typeface="+mn-cs"/>
            </a:rPr>
            <a:t>S)</a:t>
          </a:r>
          <a:r>
            <a:rPr lang="es-DO" sz="1400" b="1" baseline="0">
              <a:solidFill>
                <a:schemeClr val="lt1"/>
              </a:solidFill>
              <a:effectLst/>
              <a:latin typeface="+mn-lt"/>
              <a:ea typeface="+mn-ea"/>
              <a:cs typeface="+mn-cs"/>
            </a:rPr>
            <a:t> </a:t>
          </a:r>
          <a:r>
            <a:rPr lang="es-DO" sz="1400" b="1">
              <a:solidFill>
                <a:schemeClr val="lt1"/>
              </a:solidFill>
              <a:effectLst/>
              <a:latin typeface="+mn-lt"/>
              <a:ea typeface="+mn-ea"/>
              <a:cs typeface="+mn-cs"/>
            </a:rPr>
            <a:t>por Tipo</a:t>
          </a:r>
        </a:p>
        <a:p>
          <a:pPr algn="ctr" eaLnBrk="1" fontAlgn="auto" latinLnBrk="0" hangingPunct="1"/>
          <a:r>
            <a:rPr lang="es-DO" sz="1400" b="1">
              <a:solidFill>
                <a:schemeClr val="lt1"/>
              </a:solidFill>
              <a:effectLst/>
              <a:latin typeface="+mn-lt"/>
              <a:ea typeface="+mn-ea"/>
              <a:cs typeface="+mn-cs"/>
            </a:rPr>
            <a:t>Período:  Noviembre 2014</a:t>
          </a:r>
          <a:r>
            <a:rPr lang="es-DO" sz="1400" b="1" baseline="0">
              <a:solidFill>
                <a:schemeClr val="lt1"/>
              </a:solidFill>
              <a:effectLst/>
              <a:latin typeface="+mn-lt"/>
              <a:ea typeface="+mn-ea"/>
              <a:cs typeface="+mn-cs"/>
            </a:rPr>
            <a:t> -  Noviembre 2015</a:t>
          </a:r>
          <a:endParaRPr lang="es-DO" sz="3200">
            <a:effectLst/>
          </a:endParaRPr>
        </a:p>
      </xdr:txBody>
    </xdr:sp>
    <xdr:clientData/>
  </xdr:twoCellAnchor>
  <xdr:twoCellAnchor editAs="oneCell">
    <xdr:from>
      <xdr:col>0</xdr:col>
      <xdr:colOff>453278</xdr:colOff>
      <xdr:row>0</xdr:row>
      <xdr:rowOff>95251</xdr:rowOff>
    </xdr:from>
    <xdr:to>
      <xdr:col>1</xdr:col>
      <xdr:colOff>330925</xdr:colOff>
      <xdr:row>0</xdr:row>
      <xdr:rowOff>637954</xdr:rowOff>
    </xdr:to>
    <xdr:pic>
      <xdr:nvPicPr>
        <xdr:cNvPr id="5" name="2 Imagen" descr="Logo_2x4.bmp">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453278" y="95251"/>
          <a:ext cx="684471" cy="542703"/>
        </a:xfrm>
        <a:prstGeom prst="rect">
          <a:avLst/>
        </a:prstGeom>
        <a:ln>
          <a:noFill/>
        </a:ln>
        <a:effectLst>
          <a:outerShdw blurRad="190500" algn="tl" rotWithShape="0">
            <a:srgbClr val="000000">
              <a:alpha val="70000"/>
            </a:srgbClr>
          </a:outerShdw>
        </a:effectLst>
      </xdr:spPr>
    </xdr:pic>
    <xdr:clientData/>
  </xdr:twoCellAnchor>
</xdr:wsDr>
</file>

<file path=xl/drawings/drawing42.xml><?xml version="1.0" encoding="utf-8"?>
<xdr:wsDr xmlns:xdr="http://schemas.openxmlformats.org/drawingml/2006/spreadsheetDrawing" xmlns:a="http://schemas.openxmlformats.org/drawingml/2006/main">
  <xdr:twoCellAnchor>
    <xdr:from>
      <xdr:col>0</xdr:col>
      <xdr:colOff>0</xdr:colOff>
      <xdr:row>15</xdr:row>
      <xdr:rowOff>67235</xdr:rowOff>
    </xdr:from>
    <xdr:to>
      <xdr:col>13</xdr:col>
      <xdr:colOff>1636058</xdr:colOff>
      <xdr:row>43</xdr:row>
      <xdr:rowOff>112059</xdr:rowOff>
    </xdr:to>
    <xdr:graphicFrame macro="">
      <xdr:nvGraphicFramePr>
        <xdr:cNvPr id="4"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1703294</xdr:colOff>
      <xdr:row>1</xdr:row>
      <xdr:rowOff>11206</xdr:rowOff>
    </xdr:to>
    <xdr:sp macro="" textlink="">
      <xdr:nvSpPr>
        <xdr:cNvPr id="5" name="3 Rectángulo redondeado"/>
        <xdr:cNvSpPr/>
      </xdr:nvSpPr>
      <xdr:spPr>
        <a:xfrm>
          <a:off x="0" y="0"/>
          <a:ext cx="13671176" cy="91888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400" b="1">
              <a:solidFill>
                <a:schemeClr val="lt1"/>
              </a:solidFill>
              <a:effectLst/>
              <a:latin typeface="+mn-lt"/>
              <a:ea typeface="+mn-ea"/>
              <a:cs typeface="+mn-cs"/>
            </a:rPr>
            <a:t>Seguro Familiar de Salud (SFS) del Régimen Subsidiado (RS)</a:t>
          </a:r>
        </a:p>
        <a:p>
          <a:pPr algn="ctr" eaLnBrk="1" fontAlgn="auto" latinLnBrk="0" hangingPunct="1"/>
          <a:r>
            <a:rPr lang="es-DO" sz="1400" b="1">
              <a:solidFill>
                <a:schemeClr val="lt1"/>
              </a:solidFill>
              <a:effectLst/>
              <a:latin typeface="+mn-lt"/>
              <a:ea typeface="+mn-ea"/>
              <a:cs typeface="+mn-cs"/>
            </a:rPr>
            <a:t>Cobertura de Afiliación  Mensual</a:t>
          </a:r>
          <a:r>
            <a:rPr lang="es-DO" sz="1400" b="1" baseline="0">
              <a:solidFill>
                <a:schemeClr val="lt1"/>
              </a:solidFill>
              <a:effectLst/>
              <a:latin typeface="+mn-lt"/>
              <a:ea typeface="+mn-ea"/>
              <a:cs typeface="+mn-cs"/>
            </a:rPr>
            <a:t> </a:t>
          </a:r>
          <a:r>
            <a:rPr lang="es-DO" sz="1400" b="1">
              <a:solidFill>
                <a:schemeClr val="lt1"/>
              </a:solidFill>
              <a:effectLst/>
              <a:latin typeface="+mn-lt"/>
              <a:ea typeface="+mn-ea"/>
              <a:cs typeface="+mn-cs"/>
            </a:rPr>
            <a:t>del  Seguro</a:t>
          </a:r>
          <a:r>
            <a:rPr lang="es-DO" sz="1400" b="1" baseline="0">
              <a:solidFill>
                <a:schemeClr val="lt1"/>
              </a:solidFill>
              <a:effectLst/>
              <a:latin typeface="+mn-lt"/>
              <a:ea typeface="+mn-ea"/>
              <a:cs typeface="+mn-cs"/>
            </a:rPr>
            <a:t> Familiar de Salud (</a:t>
          </a:r>
          <a:r>
            <a:rPr lang="es-DO" sz="1400" b="1">
              <a:solidFill>
                <a:schemeClr val="lt1"/>
              </a:solidFill>
              <a:effectLst/>
              <a:latin typeface="+mn-lt"/>
              <a:ea typeface="+mn-ea"/>
              <a:cs typeface="+mn-cs"/>
            </a:rPr>
            <a:t>SFS</a:t>
          </a:r>
          <a:r>
            <a:rPr lang="es-DO" sz="1400" b="1" baseline="0">
              <a:solidFill>
                <a:schemeClr val="lt1"/>
              </a:solidFill>
              <a:effectLst/>
              <a:latin typeface="+mn-lt"/>
              <a:ea typeface="+mn-ea"/>
              <a:cs typeface="+mn-cs"/>
            </a:rPr>
            <a:t>) del RS </a:t>
          </a:r>
          <a:r>
            <a:rPr lang="es-DO" sz="1400" b="1">
              <a:solidFill>
                <a:schemeClr val="lt1"/>
              </a:solidFill>
              <a:effectLst/>
              <a:latin typeface="+mn-lt"/>
              <a:ea typeface="+mn-ea"/>
              <a:cs typeface="+mn-cs"/>
            </a:rPr>
            <a:t>por Tipo</a:t>
          </a:r>
        </a:p>
        <a:p>
          <a:pPr algn="ctr" eaLnBrk="1" fontAlgn="auto" latinLnBrk="0" hangingPunct="1"/>
          <a:r>
            <a:rPr lang="es-DO" sz="1400" b="1">
              <a:solidFill>
                <a:schemeClr val="lt1"/>
              </a:solidFill>
              <a:effectLst/>
              <a:latin typeface="+mn-lt"/>
              <a:ea typeface="+mn-ea"/>
              <a:cs typeface="+mn-cs"/>
            </a:rPr>
            <a:t>Período:  Diciembre 2005 -  Noviembre  2015</a:t>
          </a:r>
          <a:endParaRPr lang="es-DO" sz="3200">
            <a:effectLst/>
          </a:endParaRPr>
        </a:p>
      </xdr:txBody>
    </xdr:sp>
    <xdr:clientData/>
  </xdr:twoCellAnchor>
  <xdr:twoCellAnchor editAs="oneCell">
    <xdr:from>
      <xdr:col>0</xdr:col>
      <xdr:colOff>437029</xdr:colOff>
      <xdr:row>0</xdr:row>
      <xdr:rowOff>190500</xdr:rowOff>
    </xdr:from>
    <xdr:to>
      <xdr:col>1</xdr:col>
      <xdr:colOff>459440</xdr:colOff>
      <xdr:row>0</xdr:row>
      <xdr:rowOff>750794</xdr:rowOff>
    </xdr:to>
    <xdr:pic>
      <xdr:nvPicPr>
        <xdr:cNvPr id="6" name="3 Imagen" descr="Logo_2x4.bmp">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437029" y="190500"/>
          <a:ext cx="750793" cy="560294"/>
        </a:xfrm>
        <a:prstGeom prst="rect">
          <a:avLst/>
        </a:prstGeom>
        <a:ln>
          <a:noFill/>
        </a:ln>
        <a:effectLst>
          <a:outerShdw blurRad="190500" algn="tl" rotWithShape="0">
            <a:srgbClr val="000000">
              <a:alpha val="70000"/>
            </a:srgbClr>
          </a:outerShdw>
        </a:effectLst>
      </xdr:spPr>
    </xdr:pic>
    <xdr:clientData/>
  </xdr:twoCellAnchor>
</xdr:wsDr>
</file>

<file path=xl/drawings/drawing43.xml><?xml version="1.0" encoding="utf-8"?>
<c:userShapes xmlns:c="http://schemas.openxmlformats.org/drawingml/2006/chart">
  <cdr:relSizeAnchor xmlns:cdr="http://schemas.openxmlformats.org/drawingml/2006/chartDrawing">
    <cdr:from>
      <cdr:x>0.04494</cdr:x>
      <cdr:y>0.92083</cdr:y>
    </cdr:from>
    <cdr:to>
      <cdr:x>0.35474</cdr:x>
      <cdr:y>0.975</cdr:y>
    </cdr:to>
    <cdr:sp macro="" textlink="">
      <cdr:nvSpPr>
        <cdr:cNvPr id="2" name="CuadroTexto 1"/>
        <cdr:cNvSpPr txBox="1"/>
      </cdr:nvSpPr>
      <cdr:spPr>
        <a:xfrm xmlns:a="http://schemas.openxmlformats.org/drawingml/2006/main">
          <a:off x="611297" y="4953000"/>
          <a:ext cx="4214501" cy="2913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100" b="1"/>
            <a:t>Fuente: </a:t>
          </a:r>
          <a:r>
            <a:rPr lang="es-ES" sz="1100"/>
            <a:t>TSS</a:t>
          </a:r>
        </a:p>
      </cdr:txBody>
    </cdr:sp>
  </cdr:relSizeAnchor>
</c:userShapes>
</file>

<file path=xl/drawings/drawing44.xml><?xml version="1.0" encoding="utf-8"?>
<xdr:wsDr xmlns:xdr="http://schemas.openxmlformats.org/drawingml/2006/spreadsheetDrawing" xmlns:a="http://schemas.openxmlformats.org/drawingml/2006/main">
  <xdr:twoCellAnchor>
    <xdr:from>
      <xdr:col>0</xdr:col>
      <xdr:colOff>0</xdr:colOff>
      <xdr:row>16</xdr:row>
      <xdr:rowOff>44822</xdr:rowOff>
    </xdr:from>
    <xdr:to>
      <xdr:col>13</xdr:col>
      <xdr:colOff>54429</xdr:colOff>
      <xdr:row>48</xdr:row>
      <xdr:rowOff>27215</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0</xdr:row>
      <xdr:rowOff>862852</xdr:rowOff>
    </xdr:to>
    <xdr:sp macro="" textlink="">
      <xdr:nvSpPr>
        <xdr:cNvPr id="5" name="4 Rectángulo redondeado"/>
        <xdr:cNvSpPr/>
      </xdr:nvSpPr>
      <xdr:spPr>
        <a:xfrm>
          <a:off x="0" y="0"/>
          <a:ext cx="12774706" cy="86285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eaLnBrk="1" fontAlgn="auto" latinLnBrk="0" hangingPunct="1"/>
          <a:r>
            <a:rPr lang="es-DO" sz="1400" b="1">
              <a:solidFill>
                <a:schemeClr val="lt1"/>
              </a:solidFill>
              <a:effectLst/>
              <a:latin typeface="+mn-lt"/>
              <a:ea typeface="+mn-ea"/>
              <a:cs typeface="+mn-cs"/>
            </a:rPr>
            <a:t>Seguro Familiar de Salud (SFS) del Régimen Subsidiado (RS)</a:t>
          </a:r>
        </a:p>
        <a:p>
          <a:pPr algn="ctr" eaLnBrk="1" fontAlgn="auto" latinLnBrk="0" hangingPunct="1"/>
          <a:r>
            <a:rPr lang="es-DO" sz="1400" b="1">
              <a:solidFill>
                <a:schemeClr val="lt1"/>
              </a:solidFill>
              <a:effectLst/>
              <a:latin typeface="+mn-lt"/>
              <a:ea typeface="+mn-ea"/>
              <a:cs typeface="+mn-cs"/>
            </a:rPr>
            <a:t>Cobertura de Afiliación  Mensual  al  SFS del  RS por Tipo</a:t>
          </a:r>
        </a:p>
        <a:p>
          <a:pPr algn="ctr" eaLnBrk="1" fontAlgn="auto" latinLnBrk="0" hangingPunct="1"/>
          <a:r>
            <a:rPr lang="es-DO" sz="1400" b="1">
              <a:solidFill>
                <a:schemeClr val="lt1"/>
              </a:solidFill>
              <a:effectLst/>
              <a:latin typeface="+mn-lt"/>
              <a:ea typeface="+mn-ea"/>
              <a:cs typeface="+mn-cs"/>
            </a:rPr>
            <a:t>Período:  Noviembre 2014 - Noviembre 2015</a:t>
          </a:r>
          <a:endParaRPr lang="es-DO" sz="3200">
            <a:effectLst/>
          </a:endParaRPr>
        </a:p>
      </xdr:txBody>
    </xdr:sp>
    <xdr:clientData/>
  </xdr:twoCellAnchor>
  <xdr:twoCellAnchor editAs="oneCell">
    <xdr:from>
      <xdr:col>0</xdr:col>
      <xdr:colOff>465174</xdr:colOff>
      <xdr:row>0</xdr:row>
      <xdr:rowOff>166135</xdr:rowOff>
    </xdr:from>
    <xdr:to>
      <xdr:col>1</xdr:col>
      <xdr:colOff>317575</xdr:colOff>
      <xdr:row>0</xdr:row>
      <xdr:rowOff>653460</xdr:rowOff>
    </xdr:to>
    <xdr:pic>
      <xdr:nvPicPr>
        <xdr:cNvPr id="7"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465174" y="166135"/>
          <a:ext cx="616616" cy="487325"/>
        </a:xfrm>
        <a:prstGeom prst="rect">
          <a:avLst/>
        </a:prstGeom>
        <a:ln>
          <a:noFill/>
        </a:ln>
        <a:effectLst>
          <a:outerShdw blurRad="190500" algn="tl" rotWithShape="0">
            <a:srgbClr val="000000">
              <a:alpha val="70000"/>
            </a:srgbClr>
          </a:outerShdw>
        </a:effectLst>
      </xdr:spPr>
    </xdr:pic>
    <xdr:clientData/>
  </xdr:twoCellAnchor>
</xdr:wsDr>
</file>

<file path=xl/drawings/drawing45.xml><?xml version="1.0" encoding="utf-8"?>
<xdr:wsDr xmlns:xdr="http://schemas.openxmlformats.org/drawingml/2006/spreadsheetDrawing" xmlns:a="http://schemas.openxmlformats.org/drawingml/2006/main">
  <xdr:twoCellAnchor>
    <xdr:from>
      <xdr:col>0</xdr:col>
      <xdr:colOff>0</xdr:colOff>
      <xdr:row>0</xdr:row>
      <xdr:rowOff>0</xdr:rowOff>
    </xdr:from>
    <xdr:to>
      <xdr:col>14</xdr:col>
      <xdr:colOff>0</xdr:colOff>
      <xdr:row>0</xdr:row>
      <xdr:rowOff>1281545</xdr:rowOff>
    </xdr:to>
    <xdr:sp macro="" textlink="">
      <xdr:nvSpPr>
        <xdr:cNvPr id="2" name="1 Rectángulo redondeado"/>
        <xdr:cNvSpPr/>
      </xdr:nvSpPr>
      <xdr:spPr>
        <a:xfrm>
          <a:off x="0" y="0"/>
          <a:ext cx="18407496" cy="128154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Subsidiado</a:t>
          </a:r>
          <a:r>
            <a:rPr lang="es-DO" sz="2000" b="1" baseline="0">
              <a:solidFill>
                <a:schemeClr val="lt1"/>
              </a:solidFill>
              <a:effectLst/>
              <a:latin typeface="+mn-lt"/>
              <a:ea typeface="+mn-ea"/>
              <a:cs typeface="+mn-cs"/>
            </a:rPr>
            <a:t> (RS)</a:t>
          </a:r>
          <a:endParaRPr lang="es-DO" sz="2000" b="1">
            <a:solidFill>
              <a:schemeClr val="lt1"/>
            </a:solidFill>
            <a:effectLst/>
            <a:latin typeface="+mn-lt"/>
            <a:ea typeface="+mn-ea"/>
            <a:cs typeface="+mn-cs"/>
          </a:endParaRPr>
        </a:p>
        <a:p>
          <a:pPr algn="ctr" eaLnBrk="1" fontAlgn="auto" latinLnBrk="0" hangingPunct="1"/>
          <a:r>
            <a:rPr lang="es-DO" sz="2000" b="1">
              <a:solidFill>
                <a:schemeClr val="lt1"/>
              </a:solidFill>
              <a:effectLst/>
              <a:latin typeface="+mn-lt"/>
              <a:ea typeface="+mn-ea"/>
              <a:cs typeface="+mn-cs"/>
            </a:rPr>
            <a:t>Afiliados al</a:t>
          </a:r>
          <a:r>
            <a:rPr lang="es-DO" sz="2000" b="1" baseline="0">
              <a:solidFill>
                <a:schemeClr val="lt1"/>
              </a:solidFill>
              <a:effectLst/>
              <a:latin typeface="+mn-lt"/>
              <a:ea typeface="+mn-ea"/>
              <a:cs typeface="+mn-cs"/>
            </a:rPr>
            <a:t> Seguro Familiar de Salud del Régimen Subsidiado por Sexo y Tipo de Afiliación</a:t>
          </a:r>
          <a:endParaRPr lang="es-DO" sz="2000" b="1">
            <a:solidFill>
              <a:schemeClr val="lt1"/>
            </a:solidFill>
            <a:effectLst/>
            <a:latin typeface="+mn-lt"/>
            <a:ea typeface="+mn-ea"/>
            <a:cs typeface="+mn-cs"/>
          </a:endParaRPr>
        </a:p>
        <a:p>
          <a:pPr algn="ctr" eaLnBrk="1" fontAlgn="auto" latinLnBrk="0" hangingPunct="1"/>
          <a:r>
            <a:rPr lang="es-DO" sz="2000" b="1">
              <a:solidFill>
                <a:schemeClr val="lt1"/>
              </a:solidFill>
              <a:effectLst/>
              <a:latin typeface="+mn-lt"/>
              <a:ea typeface="+mn-ea"/>
              <a:cs typeface="+mn-cs"/>
            </a:rPr>
            <a:t>Período: Diciembre 2007 - Noviembre 2015</a:t>
          </a:r>
          <a:endParaRPr lang="es-DO" sz="4000">
            <a:effectLst/>
          </a:endParaRPr>
        </a:p>
      </xdr:txBody>
    </xdr:sp>
    <xdr:clientData/>
  </xdr:twoCellAnchor>
  <xdr:twoCellAnchor editAs="oneCell">
    <xdr:from>
      <xdr:col>0</xdr:col>
      <xdr:colOff>865909</xdr:colOff>
      <xdr:row>0</xdr:row>
      <xdr:rowOff>225136</xdr:rowOff>
    </xdr:from>
    <xdr:to>
      <xdr:col>1</xdr:col>
      <xdr:colOff>973158</xdr:colOff>
      <xdr:row>0</xdr:row>
      <xdr:rowOff>1006186</xdr:rowOff>
    </xdr:to>
    <xdr:pic>
      <xdr:nvPicPr>
        <xdr:cNvPr id="3"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5909" y="225136"/>
          <a:ext cx="1046761"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35</xdr:row>
      <xdr:rowOff>311727</xdr:rowOff>
    </xdr:from>
    <xdr:to>
      <xdr:col>14</xdr:col>
      <xdr:colOff>0</xdr:colOff>
      <xdr:row>59</xdr:row>
      <xdr:rowOff>51954</xdr:rowOff>
    </xdr:to>
    <xdr:graphicFrame macro="">
      <xdr:nvGraphicFramePr>
        <xdr:cNvPr id="4"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519545</xdr:colOff>
      <xdr:row>56</xdr:row>
      <xdr:rowOff>155862</xdr:rowOff>
    </xdr:from>
    <xdr:to>
      <xdr:col>8</xdr:col>
      <xdr:colOff>640772</xdr:colOff>
      <xdr:row>58</xdr:row>
      <xdr:rowOff>121226</xdr:rowOff>
    </xdr:to>
    <xdr:sp macro="" textlink="">
      <xdr:nvSpPr>
        <xdr:cNvPr id="5" name="4 CuadroTexto"/>
        <xdr:cNvSpPr txBox="1"/>
      </xdr:nvSpPr>
      <xdr:spPr>
        <a:xfrm>
          <a:off x="519545" y="11291453"/>
          <a:ext cx="9680863" cy="34636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t>Fuente: </a:t>
          </a:r>
          <a:r>
            <a:rPr lang="en-US" sz="1600"/>
            <a:t>Superintendencia de Salud y Riesgos  Laborales (SISALRIL)</a:t>
          </a:r>
        </a:p>
      </xdr:txBody>
    </xdr:sp>
    <xdr:clientData/>
  </xdr:twoCellAnchor>
</xdr:wsDr>
</file>

<file path=xl/drawings/drawing46.xml><?xml version="1.0" encoding="utf-8"?>
<xdr:wsDr xmlns:xdr="http://schemas.openxmlformats.org/drawingml/2006/spreadsheetDrawing" xmlns:a="http://schemas.openxmlformats.org/drawingml/2006/main">
  <xdr:twoCellAnchor>
    <xdr:from>
      <xdr:col>0</xdr:col>
      <xdr:colOff>13608</xdr:colOff>
      <xdr:row>16</xdr:row>
      <xdr:rowOff>27215</xdr:rowOff>
    </xdr:from>
    <xdr:to>
      <xdr:col>10</xdr:col>
      <xdr:colOff>1088573</xdr:colOff>
      <xdr:row>57</xdr:row>
      <xdr:rowOff>122464</xdr:rowOff>
    </xdr:to>
    <xdr:graphicFrame macro="">
      <xdr:nvGraphicFramePr>
        <xdr:cNvPr id="2" name="1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-1</xdr:colOff>
      <xdr:row>0</xdr:row>
      <xdr:rowOff>979714</xdr:rowOff>
    </xdr:to>
    <xdr:sp macro="" textlink="">
      <xdr:nvSpPr>
        <xdr:cNvPr id="4" name="3 Rectángulo redondeado"/>
        <xdr:cNvSpPr/>
      </xdr:nvSpPr>
      <xdr:spPr>
        <a:xfrm>
          <a:off x="0" y="0"/>
          <a:ext cx="13770428" cy="97971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Familiar de Salud (SFS) del Régimen Subsidiado (RS)</a:t>
          </a:r>
        </a:p>
        <a:p>
          <a:pPr algn="ctr" eaLnBrk="1" fontAlgn="auto" latinLnBrk="0" hangingPunct="1"/>
          <a:r>
            <a:rPr lang="es-DO" sz="1600" b="1">
              <a:solidFill>
                <a:schemeClr val="lt1"/>
              </a:solidFill>
              <a:effectLst/>
              <a:latin typeface="+mn-lt"/>
              <a:ea typeface="+mn-ea"/>
              <a:cs typeface="+mn-cs"/>
            </a:rPr>
            <a:t>Comportamiento de la Afiliación al SFS del RS con Relación a la Población Pobre del País Según</a:t>
          </a:r>
          <a:r>
            <a:rPr lang="es-DO" sz="1600" b="1" baseline="0">
              <a:solidFill>
                <a:schemeClr val="lt1"/>
              </a:solidFill>
              <a:effectLst/>
              <a:latin typeface="+mn-lt"/>
              <a:ea typeface="+mn-ea"/>
              <a:cs typeface="+mn-cs"/>
            </a:rPr>
            <a:t> Comité de Pobreza</a:t>
          </a:r>
          <a:endParaRPr lang="es-DO" sz="1600" b="1">
            <a:solidFill>
              <a:schemeClr val="lt1"/>
            </a:solidFill>
            <a:effectLst/>
            <a:latin typeface="+mn-lt"/>
            <a:ea typeface="+mn-ea"/>
            <a:cs typeface="+mn-cs"/>
          </a:endParaRPr>
        </a:p>
        <a:p>
          <a:pPr algn="ctr" eaLnBrk="1" fontAlgn="auto" latinLnBrk="0" hangingPunct="1"/>
          <a:r>
            <a:rPr lang="es-DO" sz="1600" b="1">
              <a:solidFill>
                <a:schemeClr val="lt1"/>
              </a:solidFill>
              <a:effectLst/>
              <a:latin typeface="+mn-lt"/>
              <a:ea typeface="+mn-ea"/>
              <a:cs typeface="+mn-cs"/>
            </a:rPr>
            <a:t>Período: Diciembre 2005 - Noviembre</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2015</a:t>
          </a:r>
          <a:endParaRPr lang="es-DO" sz="3600">
            <a:effectLst/>
          </a:endParaRPr>
        </a:p>
      </xdr:txBody>
    </xdr:sp>
    <xdr:clientData/>
  </xdr:twoCellAnchor>
  <xdr:twoCellAnchor editAs="oneCell">
    <xdr:from>
      <xdr:col>0</xdr:col>
      <xdr:colOff>530679</xdr:colOff>
      <xdr:row>0</xdr:row>
      <xdr:rowOff>122464</xdr:rowOff>
    </xdr:from>
    <xdr:to>
      <xdr:col>1</xdr:col>
      <xdr:colOff>381000</xdr:colOff>
      <xdr:row>0</xdr:row>
      <xdr:rowOff>799926</xdr:rowOff>
    </xdr:to>
    <xdr:pic>
      <xdr:nvPicPr>
        <xdr:cNvPr id="5"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30679" y="122464"/>
          <a:ext cx="884464" cy="6774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938892</xdr:colOff>
      <xdr:row>54</xdr:row>
      <xdr:rowOff>13608</xdr:rowOff>
    </xdr:from>
    <xdr:to>
      <xdr:col>5</xdr:col>
      <xdr:colOff>612321</xdr:colOff>
      <xdr:row>56</xdr:row>
      <xdr:rowOff>108858</xdr:rowOff>
    </xdr:to>
    <xdr:sp macro="" textlink="">
      <xdr:nvSpPr>
        <xdr:cNvPr id="3" name="CuadroTexto 2"/>
        <xdr:cNvSpPr txBox="1"/>
      </xdr:nvSpPr>
      <xdr:spPr>
        <a:xfrm>
          <a:off x="938892" y="12885965"/>
          <a:ext cx="6204858" cy="4762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600" b="1"/>
            <a:t>Fuente:  </a:t>
          </a:r>
          <a:r>
            <a:rPr lang="es-ES" sz="1600"/>
            <a:t>SISALRIL</a:t>
          </a:r>
        </a:p>
      </xdr:txBody>
    </xdr:sp>
    <xdr:clientData/>
  </xdr:twoCellAnchor>
</xdr:wsDr>
</file>

<file path=xl/drawings/drawing47.xml><?xml version="1.0" encoding="utf-8"?>
<xdr:wsDr xmlns:xdr="http://schemas.openxmlformats.org/drawingml/2006/spreadsheetDrawing" xmlns:a="http://schemas.openxmlformats.org/drawingml/2006/main">
  <xdr:twoCellAnchor editAs="oneCell">
    <xdr:from>
      <xdr:col>3</xdr:col>
      <xdr:colOff>408215</xdr:colOff>
      <xdr:row>6</xdr:row>
      <xdr:rowOff>108857</xdr:rowOff>
    </xdr:from>
    <xdr:to>
      <xdr:col>9</xdr:col>
      <xdr:colOff>408214</xdr:colOff>
      <xdr:row>34</xdr:row>
      <xdr:rowOff>163286</xdr:rowOff>
    </xdr:to>
    <xdr:pic>
      <xdr:nvPicPr>
        <xdr:cNvPr id="5" name="4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694215" y="1251857"/>
          <a:ext cx="4816928" cy="5388429"/>
        </a:xfrm>
        <a:prstGeom prst="rect">
          <a:avLst/>
        </a:prstGeom>
        <a:noFill/>
        <a:ln>
          <a:noFill/>
        </a:ln>
      </xdr:spPr>
    </xdr:pic>
    <xdr:clientData/>
  </xdr:twoCellAnchor>
  <xdr:twoCellAnchor>
    <xdr:from>
      <xdr:col>0</xdr:col>
      <xdr:colOff>136071</xdr:colOff>
      <xdr:row>10</xdr:row>
      <xdr:rowOff>95251</xdr:rowOff>
    </xdr:from>
    <xdr:to>
      <xdr:col>12</xdr:col>
      <xdr:colOff>571500</xdr:colOff>
      <xdr:row>30</xdr:row>
      <xdr:rowOff>68037</xdr:rowOff>
    </xdr:to>
    <xdr:sp macro="" textlink="">
      <xdr:nvSpPr>
        <xdr:cNvPr id="3" name="2 CuadroTexto"/>
        <xdr:cNvSpPr txBox="1"/>
      </xdr:nvSpPr>
      <xdr:spPr>
        <a:xfrm>
          <a:off x="136071" y="2000251"/>
          <a:ext cx="9824358" cy="37827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4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600" b="1" i="0">
              <a:solidFill>
                <a:schemeClr val="accent3">
                  <a:lumMod val="50000"/>
                </a:schemeClr>
              </a:solidFill>
              <a:latin typeface="+mn-lt"/>
              <a:ea typeface="+mn-ea"/>
              <a:cs typeface="+mn-cs"/>
            </a:rPr>
            <a:t>Afiliación del Régimen Especial Transitorio (RET) Salud de Pensionados Ley 1896-379</a:t>
          </a:r>
        </a:p>
      </xdr:txBody>
    </xdr:sp>
    <xdr:clientData/>
  </xdr:twoCellAnchor>
  <xdr:twoCellAnchor editAs="oneCell">
    <xdr:from>
      <xdr:col>0</xdr:col>
      <xdr:colOff>459442</xdr:colOff>
      <xdr:row>1</xdr:row>
      <xdr:rowOff>112059</xdr:rowOff>
    </xdr:from>
    <xdr:to>
      <xdr:col>1</xdr:col>
      <xdr:colOff>643310</xdr:colOff>
      <xdr:row>5</xdr:row>
      <xdr:rowOff>54429</xdr:rowOff>
    </xdr:to>
    <xdr:pic>
      <xdr:nvPicPr>
        <xdr:cNvPr id="4" name="5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23659" t="12173" r="20395" b="25099"/>
        <a:stretch/>
      </xdr:blipFill>
      <xdr:spPr bwMode="auto">
        <a:xfrm>
          <a:off x="459442" y="302559"/>
          <a:ext cx="945868" cy="7043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8.xml><?xml version="1.0" encoding="utf-8"?>
<xdr:wsDr xmlns:xdr="http://schemas.openxmlformats.org/drawingml/2006/spreadsheetDrawing" xmlns:a="http://schemas.openxmlformats.org/drawingml/2006/main">
  <xdr:twoCellAnchor>
    <xdr:from>
      <xdr:col>0</xdr:col>
      <xdr:colOff>85725</xdr:colOff>
      <xdr:row>4</xdr:row>
      <xdr:rowOff>123825</xdr:rowOff>
    </xdr:from>
    <xdr:to>
      <xdr:col>11</xdr:col>
      <xdr:colOff>704850</xdr:colOff>
      <xdr:row>31</xdr:row>
      <xdr:rowOff>133350</xdr:rowOff>
    </xdr:to>
    <xdr:sp macro="" textlink="">
      <xdr:nvSpPr>
        <xdr:cNvPr id="2" name="1 CuadroTexto"/>
        <xdr:cNvSpPr txBox="1"/>
      </xdr:nvSpPr>
      <xdr:spPr>
        <a:xfrm>
          <a:off x="85725" y="885825"/>
          <a:ext cx="9239250" cy="5153025"/>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Mediante el decreto del Poder</a:t>
          </a:r>
          <a:r>
            <a:rPr lang="es-DO" sz="1400" b="0" baseline="0">
              <a:solidFill>
                <a:sysClr val="windowText" lastClr="000000"/>
              </a:solidFill>
            </a:rPr>
            <a:t> Ejecutivo 342-09  se creó el Régimen Especial Transitorio (RET), para brindar servicios de salud a pensionados de las Leyes 1896 y 379.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rPr>
            <a:t>De acuerdo al decreto los beneficiarios del plan son aquellos pensionados y jubilados del Fondo de Pensiones  y Jubilaciones del Estado, que se encontraban oficialmente inscritos al mes de febrero del año 2009 en la Dirección de Jubilaciones y Pensiones del Ministerio de Hacienda.</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rPr>
            <a:t>Para ser favorecidos por el plan, los pensionados y jubilados no pueden estar activos en alguna base de datos registradas en la Tesorería de la Seguridad Social (TSS), ya sea del Régimen Contributivo (RC) o del Régimen Subsidiado (RS).</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rPr>
            <a:t>Conforme al decreto, los maestros pensionados y jubilados recibirán sus servicios a través de la ARS SEMMA; los del IDSS, a través de la ARS Salud Segura y aquellos que no pertenezcan a ninguno de los grupos antes señalados, estarán a cargo de SENASA.</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rPr>
            <a:t>Al momento de la entrada en vigencia de este beneficio, la población objetivo depurada de acuerdo a los mandatos del decreto era de 85,010 pensionados y jubilados.  Al finalizar el año 2009 se habían afiliado 21,982 personas, distribuidas en las ARS designadas de la manera siguiente: SEMMA 2,019 afiliados (9.2%); Salud Segura 12,775 afiliados (58.1%) y SENASA 7,188 afiliados (32.7%).</a:t>
          </a:r>
        </a:p>
        <a:p>
          <a:pPr marL="914400" marR="0" lvl="2"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Al mes de noviembre 2015 la afiliación de este Régimen Especial asciende a 30,479 afiliados, para un nivel de ejecución de afiliación de la población objetivo de 35.9%.  La distribución de la afiliación por ARS para este período es como sigue:  Salud Segura 15,001 afiliados (49.2%); SENASA 10,469 afiliados (34.3%) y SEMMA 5,009 afiliados (16.4%). </a:t>
          </a:r>
        </a:p>
      </xdr:txBody>
    </xdr:sp>
    <xdr:clientData/>
  </xdr:twoCellAnchor>
  <xdr:twoCellAnchor>
    <xdr:from>
      <xdr:col>0</xdr:col>
      <xdr:colOff>0</xdr:colOff>
      <xdr:row>0</xdr:row>
      <xdr:rowOff>0</xdr:rowOff>
    </xdr:from>
    <xdr:to>
      <xdr:col>12</xdr:col>
      <xdr:colOff>9525</xdr:colOff>
      <xdr:row>4</xdr:row>
      <xdr:rowOff>47625</xdr:rowOff>
    </xdr:to>
    <xdr:sp macro="" textlink="">
      <xdr:nvSpPr>
        <xdr:cNvPr id="4" name="3 Rectángulo redondeado"/>
        <xdr:cNvSpPr/>
      </xdr:nvSpPr>
      <xdr:spPr>
        <a:xfrm>
          <a:off x="0" y="0"/>
          <a:ext cx="9391650" cy="809625"/>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1600" b="1" baseline="0">
              <a:solidFill>
                <a:schemeClr val="lt1"/>
              </a:solidFill>
              <a:effectLst/>
              <a:latin typeface="+mn-lt"/>
              <a:ea typeface="+mn-ea"/>
              <a:cs typeface="+mn-cs"/>
            </a:rPr>
            <a:t>Sistema Dominicano de Seguridad Social (SDSS)</a:t>
          </a:r>
          <a:endParaRPr lang="es-ES" sz="1600">
            <a:effectLst/>
          </a:endParaRPr>
        </a:p>
        <a:p>
          <a:pPr algn="ctr" eaLnBrk="1" fontAlgn="auto" latinLnBrk="0" hangingPunct="1"/>
          <a:r>
            <a:rPr lang="es-DO" sz="1600" b="1">
              <a:solidFill>
                <a:schemeClr val="lt1"/>
              </a:solidFill>
              <a:effectLst/>
              <a:latin typeface="+mn-lt"/>
              <a:ea typeface="+mn-ea"/>
              <a:cs typeface="+mn-cs"/>
            </a:rPr>
            <a:t>Régimen Especial Transitorio (RET) Salud de Pensionados Ley 1896-379</a:t>
          </a:r>
          <a:endParaRPr lang="es-DO" sz="1600">
            <a:effectLst/>
          </a:endParaRPr>
        </a:p>
      </xdr:txBody>
    </xdr:sp>
    <xdr:clientData/>
  </xdr:twoCellAnchor>
  <xdr:twoCellAnchor editAs="oneCell">
    <xdr:from>
      <xdr:col>0</xdr:col>
      <xdr:colOff>342902</xdr:colOff>
      <xdr:row>0</xdr:row>
      <xdr:rowOff>131669</xdr:rowOff>
    </xdr:from>
    <xdr:to>
      <xdr:col>1</xdr:col>
      <xdr:colOff>293652</xdr:colOff>
      <xdr:row>3</xdr:row>
      <xdr:rowOff>57150</xdr:rowOff>
    </xdr:to>
    <xdr:pic>
      <xdr:nvPicPr>
        <xdr:cNvPr id="5" name="5 Imagen" descr="logo_2x4.bmp">
          <a:hlinkClick xmlns:r="http://schemas.openxmlformats.org/officeDocument/2006/relationships" r:id="rId1"/>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7776" t="11446" r="4642" b="15888"/>
        <a:stretch/>
      </xdr:blipFill>
      <xdr:spPr bwMode="auto">
        <a:xfrm>
          <a:off x="342902" y="131669"/>
          <a:ext cx="712750" cy="4969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9.xml><?xml version="1.0" encoding="utf-8"?>
<xdr:wsDr xmlns:xdr="http://schemas.openxmlformats.org/drawingml/2006/spreadsheetDrawing" xmlns:a="http://schemas.openxmlformats.org/drawingml/2006/main">
  <xdr:twoCellAnchor>
    <xdr:from>
      <xdr:col>0</xdr:col>
      <xdr:colOff>1</xdr:colOff>
      <xdr:row>10</xdr:row>
      <xdr:rowOff>81642</xdr:rowOff>
    </xdr:from>
    <xdr:to>
      <xdr:col>10</xdr:col>
      <xdr:colOff>1074966</xdr:colOff>
      <xdr:row>40</xdr:row>
      <xdr:rowOff>81643</xdr:rowOff>
    </xdr:to>
    <xdr:graphicFrame macro="">
      <xdr:nvGraphicFramePr>
        <xdr:cNvPr id="5" name="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10</xdr:col>
      <xdr:colOff>1167092</xdr:colOff>
      <xdr:row>1</xdr:row>
      <xdr:rowOff>54428</xdr:rowOff>
    </xdr:to>
    <xdr:sp macro="" textlink="">
      <xdr:nvSpPr>
        <xdr:cNvPr id="4" name="3 Rectángulo redondeado"/>
        <xdr:cNvSpPr/>
      </xdr:nvSpPr>
      <xdr:spPr>
        <a:xfrm>
          <a:off x="0" y="0"/>
          <a:ext cx="12637913" cy="898071"/>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400" b="1">
              <a:solidFill>
                <a:schemeClr val="lt1"/>
              </a:solidFill>
              <a:effectLst/>
              <a:latin typeface="+mn-lt"/>
              <a:ea typeface="+mn-ea"/>
              <a:cs typeface="+mn-cs"/>
            </a:rPr>
            <a:t>Régimen Especial Transitorio para la Salud de Pensionados Ley 1896-379</a:t>
          </a:r>
        </a:p>
        <a:p>
          <a:pPr algn="ctr" eaLnBrk="1" fontAlgn="auto" latinLnBrk="0" hangingPunct="1"/>
          <a:r>
            <a:rPr lang="es-DO" sz="1400" b="1">
              <a:solidFill>
                <a:schemeClr val="lt1"/>
              </a:solidFill>
              <a:effectLst/>
              <a:latin typeface="+mn-lt"/>
              <a:ea typeface="+mn-ea"/>
              <a:cs typeface="+mn-cs"/>
            </a:rPr>
            <a:t>Afiliación Anual de Pensionados al SFS</a:t>
          </a:r>
        </a:p>
        <a:p>
          <a:pPr algn="ctr" eaLnBrk="1" fontAlgn="auto" latinLnBrk="0" hangingPunct="1"/>
          <a:r>
            <a:rPr lang="es-DO" sz="1400" b="1">
              <a:solidFill>
                <a:schemeClr val="lt1"/>
              </a:solidFill>
              <a:effectLst/>
              <a:latin typeface="+mn-lt"/>
              <a:ea typeface="+mn-ea"/>
              <a:cs typeface="+mn-cs"/>
            </a:rPr>
            <a:t>Período:  Diciembre 2009 - </a:t>
          </a:r>
          <a:r>
            <a:rPr lang="es-DO" sz="1400" b="1" baseline="0">
              <a:solidFill>
                <a:schemeClr val="lt1"/>
              </a:solidFill>
              <a:effectLst/>
              <a:latin typeface="+mn-lt"/>
              <a:ea typeface="+mn-ea"/>
              <a:cs typeface="+mn-cs"/>
            </a:rPr>
            <a:t> Noviembre </a:t>
          </a:r>
          <a:r>
            <a:rPr lang="es-DO" sz="1400" b="1">
              <a:solidFill>
                <a:schemeClr val="lt1"/>
              </a:solidFill>
              <a:effectLst/>
              <a:latin typeface="+mn-lt"/>
              <a:ea typeface="+mn-ea"/>
              <a:cs typeface="+mn-cs"/>
            </a:rPr>
            <a:t>2015</a:t>
          </a:r>
          <a:endParaRPr lang="es-DO" sz="2800">
            <a:effectLst/>
          </a:endParaRPr>
        </a:p>
      </xdr:txBody>
    </xdr:sp>
    <xdr:clientData/>
  </xdr:twoCellAnchor>
  <xdr:twoCellAnchor editAs="oneCell">
    <xdr:from>
      <xdr:col>0</xdr:col>
      <xdr:colOff>549088</xdr:colOff>
      <xdr:row>0</xdr:row>
      <xdr:rowOff>179294</xdr:rowOff>
    </xdr:from>
    <xdr:to>
      <xdr:col>1</xdr:col>
      <xdr:colOff>424862</xdr:colOff>
      <xdr:row>0</xdr:row>
      <xdr:rowOff>722622</xdr:rowOff>
    </xdr:to>
    <xdr:pic>
      <xdr:nvPicPr>
        <xdr:cNvPr id="7"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49088" y="179294"/>
          <a:ext cx="736226" cy="5433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582706</xdr:colOff>
      <xdr:row>38</xdr:row>
      <xdr:rowOff>67236</xdr:rowOff>
    </xdr:from>
    <xdr:to>
      <xdr:col>5</xdr:col>
      <xdr:colOff>627529</xdr:colOff>
      <xdr:row>40</xdr:row>
      <xdr:rowOff>11206</xdr:rowOff>
    </xdr:to>
    <xdr:sp macro="" textlink="">
      <xdr:nvSpPr>
        <xdr:cNvPr id="2" name="CuadroTexto 1"/>
        <xdr:cNvSpPr txBox="1"/>
      </xdr:nvSpPr>
      <xdr:spPr>
        <a:xfrm>
          <a:off x="582706" y="8426824"/>
          <a:ext cx="5188323" cy="32497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400" b="1"/>
            <a:t>Fuente:</a:t>
          </a:r>
          <a:r>
            <a:rPr lang="es-ES" sz="1400" b="1" baseline="0"/>
            <a:t> </a:t>
          </a:r>
          <a:r>
            <a:rPr lang="es-ES" sz="1400" baseline="0"/>
            <a:t>Portal de la SISALRIL</a:t>
          </a:r>
          <a:endParaRPr lang="es-ES" sz="1400"/>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86590</xdr:colOff>
      <xdr:row>6</xdr:row>
      <xdr:rowOff>65639</xdr:rowOff>
    </xdr:from>
    <xdr:to>
      <xdr:col>13</xdr:col>
      <xdr:colOff>606137</xdr:colOff>
      <xdr:row>54</xdr:row>
      <xdr:rowOff>34636</xdr:rowOff>
    </xdr:to>
    <xdr:pic>
      <xdr:nvPicPr>
        <xdr:cNvPr id="14" name="13 Imagen"/>
        <xdr:cNvPicPr>
          <a:picLocks noChangeAspect="1"/>
        </xdr:cNvPicPr>
      </xdr:nvPicPr>
      <xdr:blipFill>
        <a:blip xmlns:r="http://schemas.openxmlformats.org/officeDocument/2006/relationships" r:embed="rId1"/>
        <a:stretch>
          <a:fillRect/>
        </a:stretch>
      </xdr:blipFill>
      <xdr:spPr>
        <a:xfrm>
          <a:off x="1610590" y="1208639"/>
          <a:ext cx="9040092" cy="9112997"/>
        </a:xfrm>
        <a:prstGeom prst="rect">
          <a:avLst/>
        </a:prstGeom>
      </xdr:spPr>
    </xdr:pic>
    <xdr:clientData/>
  </xdr:twoCellAnchor>
  <xdr:twoCellAnchor>
    <xdr:from>
      <xdr:col>0</xdr:col>
      <xdr:colOff>329043</xdr:colOff>
      <xdr:row>6</xdr:row>
      <xdr:rowOff>173182</xdr:rowOff>
    </xdr:from>
    <xdr:to>
      <xdr:col>17</xdr:col>
      <xdr:colOff>554182</xdr:colOff>
      <xdr:row>54</xdr:row>
      <xdr:rowOff>103909</xdr:rowOff>
    </xdr:to>
    <xdr:grpSp>
      <xdr:nvGrpSpPr>
        <xdr:cNvPr id="4" name="3 Grupo"/>
        <xdr:cNvGrpSpPr/>
      </xdr:nvGrpSpPr>
      <xdr:grpSpPr>
        <a:xfrm>
          <a:off x="344380" y="1249345"/>
          <a:ext cx="13944206" cy="8614460"/>
          <a:chOff x="100854" y="2543735"/>
          <a:chExt cx="9653948" cy="4769224"/>
        </a:xfrm>
      </xdr:grpSpPr>
      <xdr:sp macro="" textlink="">
        <xdr:nvSpPr>
          <xdr:cNvPr id="38" name="37 Rectángulo redondeado"/>
          <xdr:cNvSpPr/>
        </xdr:nvSpPr>
        <xdr:spPr>
          <a:xfrm>
            <a:off x="100854" y="4191001"/>
            <a:ext cx="2061882" cy="1983440"/>
          </a:xfrm>
          <a:prstGeom prst="roundRect">
            <a:avLst/>
          </a:prstGeom>
          <a:solidFill>
            <a:srgbClr val="00206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800" b="1"/>
              <a:t>Sistema Dominicano de Seguridad Social</a:t>
            </a:r>
          </a:p>
          <a:p>
            <a:pPr algn="ctr"/>
            <a:r>
              <a:rPr lang="en-US" sz="2800" b="1"/>
              <a:t>(SDSS)</a:t>
            </a:r>
          </a:p>
        </xdr:txBody>
      </xdr:sp>
      <xdr:sp macro="" textlink="">
        <xdr:nvSpPr>
          <xdr:cNvPr id="39" name="38 Rectángulo redondeado"/>
          <xdr:cNvSpPr/>
        </xdr:nvSpPr>
        <xdr:spPr>
          <a:xfrm>
            <a:off x="2465296" y="2962360"/>
            <a:ext cx="2050676" cy="952499"/>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800" b="1"/>
              <a:t>Contributivo (RC)</a:t>
            </a:r>
          </a:p>
        </xdr:txBody>
      </xdr:sp>
      <xdr:sp macro="" textlink="">
        <xdr:nvSpPr>
          <xdr:cNvPr id="40" name="39 Rectángulo redondeado"/>
          <xdr:cNvSpPr/>
        </xdr:nvSpPr>
        <xdr:spPr>
          <a:xfrm>
            <a:off x="2409265" y="4628030"/>
            <a:ext cx="2095500" cy="98611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2800" b="1">
                <a:solidFill>
                  <a:schemeClr val="lt1"/>
                </a:solidFill>
                <a:latin typeface="+mn-lt"/>
                <a:ea typeface="+mn-ea"/>
                <a:cs typeface="+mn-cs"/>
              </a:rPr>
              <a:t>Subsidiado</a:t>
            </a:r>
          </a:p>
          <a:p>
            <a:pPr marL="0" indent="0" algn="ctr"/>
            <a:r>
              <a:rPr lang="en-US" sz="2800" b="1">
                <a:solidFill>
                  <a:schemeClr val="lt1"/>
                </a:solidFill>
                <a:latin typeface="+mn-lt"/>
                <a:ea typeface="+mn-ea"/>
                <a:cs typeface="+mn-cs"/>
              </a:rPr>
              <a:t>(RS)</a:t>
            </a:r>
          </a:p>
        </xdr:txBody>
      </xdr:sp>
      <xdr:sp macro="" textlink="">
        <xdr:nvSpPr>
          <xdr:cNvPr id="41" name="40 Rectángulo redondeado"/>
          <xdr:cNvSpPr/>
        </xdr:nvSpPr>
        <xdr:spPr>
          <a:xfrm>
            <a:off x="2528047" y="6349252"/>
            <a:ext cx="2043954" cy="934571"/>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2800" b="1">
                <a:solidFill>
                  <a:schemeClr val="lt1"/>
                </a:solidFill>
                <a:latin typeface="+mn-lt"/>
                <a:ea typeface="+mn-ea"/>
                <a:cs typeface="+mn-cs"/>
              </a:rPr>
              <a:t>Contributivo Subsidiado </a:t>
            </a:r>
          </a:p>
          <a:p>
            <a:pPr marL="0" indent="0" algn="ctr"/>
            <a:r>
              <a:rPr lang="en-US" sz="2800" b="1">
                <a:solidFill>
                  <a:schemeClr val="lt1"/>
                </a:solidFill>
                <a:latin typeface="+mn-lt"/>
                <a:ea typeface="+mn-ea"/>
                <a:cs typeface="+mn-cs"/>
              </a:rPr>
              <a:t>(RCS)</a:t>
            </a:r>
          </a:p>
        </xdr:txBody>
      </xdr:sp>
      <xdr:cxnSp macro="">
        <xdr:nvCxnSpPr>
          <xdr:cNvPr id="43" name="42 Conector recto"/>
          <xdr:cNvCxnSpPr/>
        </xdr:nvCxnSpPr>
        <xdr:spPr>
          <a:xfrm flipV="1">
            <a:off x="1662086" y="3776383"/>
            <a:ext cx="803207" cy="429355"/>
          </a:xfrm>
          <a:prstGeom prst="line">
            <a:avLst/>
          </a:prstGeom>
          <a:ln w="28575"/>
        </xdr:spPr>
        <xdr:style>
          <a:lnRef idx="1">
            <a:schemeClr val="dk1"/>
          </a:lnRef>
          <a:fillRef idx="0">
            <a:schemeClr val="dk1"/>
          </a:fillRef>
          <a:effectRef idx="0">
            <a:schemeClr val="dk1"/>
          </a:effectRef>
          <a:fontRef idx="minor">
            <a:schemeClr val="tx1"/>
          </a:fontRef>
        </xdr:style>
      </xdr:cxnSp>
      <xdr:sp macro="" textlink="">
        <xdr:nvSpPr>
          <xdr:cNvPr id="55" name="54 Rectángulo redondeado"/>
          <xdr:cNvSpPr/>
        </xdr:nvSpPr>
        <xdr:spPr>
          <a:xfrm>
            <a:off x="4919384" y="2543735"/>
            <a:ext cx="4740088" cy="4146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Vejez, Discapacidad y  Sobrevivencia</a:t>
            </a:r>
          </a:p>
        </xdr:txBody>
      </xdr:sp>
      <xdr:sp macro="" textlink="">
        <xdr:nvSpPr>
          <xdr:cNvPr id="56" name="55 Rectángulo redondeado"/>
          <xdr:cNvSpPr/>
        </xdr:nvSpPr>
        <xdr:spPr>
          <a:xfrm>
            <a:off x="4919383" y="3115235"/>
            <a:ext cx="4773705" cy="48409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Familiar de Salud</a:t>
            </a:r>
            <a:endParaRPr lang="en-US" sz="3200" b="1"/>
          </a:p>
        </xdr:txBody>
      </xdr:sp>
      <xdr:sp macro="" textlink="">
        <xdr:nvSpPr>
          <xdr:cNvPr id="57" name="56 Rectángulo redondeado"/>
          <xdr:cNvSpPr/>
        </xdr:nvSpPr>
        <xdr:spPr>
          <a:xfrm>
            <a:off x="4953001" y="3720352"/>
            <a:ext cx="4728882" cy="43478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Riesgos Laborales</a:t>
            </a:r>
            <a:endParaRPr lang="en-US" sz="3200" b="1"/>
          </a:p>
        </xdr:txBody>
      </xdr:sp>
      <xdr:cxnSp macro="">
        <xdr:nvCxnSpPr>
          <xdr:cNvPr id="63" name="62 Conector recto"/>
          <xdr:cNvCxnSpPr/>
        </xdr:nvCxnSpPr>
        <xdr:spPr>
          <a:xfrm flipV="1">
            <a:off x="4515971" y="2822211"/>
            <a:ext cx="410385" cy="561965"/>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64" name="63 Conector recto"/>
          <xdr:cNvCxnSpPr>
            <a:endCxn id="40" idx="1"/>
          </xdr:cNvCxnSpPr>
        </xdr:nvCxnSpPr>
        <xdr:spPr>
          <a:xfrm>
            <a:off x="2162735" y="5121088"/>
            <a:ext cx="246530" cy="1"/>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71" name="70 Conector recto"/>
          <xdr:cNvCxnSpPr/>
        </xdr:nvCxnSpPr>
        <xdr:spPr>
          <a:xfrm flipH="1" flipV="1">
            <a:off x="1832402" y="6183881"/>
            <a:ext cx="778571" cy="270708"/>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79" name="78 Conector recto"/>
          <xdr:cNvCxnSpPr>
            <a:endCxn id="56" idx="1"/>
          </xdr:cNvCxnSpPr>
        </xdr:nvCxnSpPr>
        <xdr:spPr>
          <a:xfrm flipV="1">
            <a:off x="4493559" y="3357282"/>
            <a:ext cx="425824" cy="15689"/>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88" name="87 Conector recto"/>
          <xdr:cNvCxnSpPr>
            <a:stCxn id="57" idx="1"/>
          </xdr:cNvCxnSpPr>
        </xdr:nvCxnSpPr>
        <xdr:spPr>
          <a:xfrm flipH="1" flipV="1">
            <a:off x="4515971" y="3395384"/>
            <a:ext cx="437030" cy="542362"/>
          </a:xfrm>
          <a:prstGeom prst="line">
            <a:avLst/>
          </a:prstGeom>
          <a:ln w="28575"/>
        </xdr:spPr>
        <xdr:style>
          <a:lnRef idx="1">
            <a:schemeClr val="dk1"/>
          </a:lnRef>
          <a:fillRef idx="0">
            <a:schemeClr val="dk1"/>
          </a:fillRef>
          <a:effectRef idx="0">
            <a:schemeClr val="dk1"/>
          </a:effectRef>
          <a:fontRef idx="minor">
            <a:schemeClr val="tx1"/>
          </a:fontRef>
        </xdr:style>
      </xdr:cxnSp>
      <xdr:sp macro="" textlink="">
        <xdr:nvSpPr>
          <xdr:cNvPr id="96" name="95 Rectángulo redondeado"/>
          <xdr:cNvSpPr/>
        </xdr:nvSpPr>
        <xdr:spPr>
          <a:xfrm>
            <a:off x="5017393" y="4656282"/>
            <a:ext cx="4650441" cy="40341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Vejez</a:t>
            </a:r>
            <a:r>
              <a:rPr lang="en-US" sz="1400" b="1">
                <a:solidFill>
                  <a:schemeClr val="lt1"/>
                </a:solidFill>
                <a:effectLst/>
                <a:latin typeface="+mn-lt"/>
                <a:ea typeface="+mn-ea"/>
                <a:cs typeface="+mn-cs"/>
              </a:rPr>
              <a:t>, </a:t>
            </a:r>
            <a:r>
              <a:rPr lang="en-US" sz="2400" b="1"/>
              <a:t>Discapacidad y  Sobrevivencia</a:t>
            </a:r>
          </a:p>
        </xdr:txBody>
      </xdr:sp>
      <xdr:sp macro="" textlink="">
        <xdr:nvSpPr>
          <xdr:cNvPr id="99" name="98 Rectángulo redondeado"/>
          <xdr:cNvSpPr/>
        </xdr:nvSpPr>
        <xdr:spPr>
          <a:xfrm>
            <a:off x="4986620" y="5300384"/>
            <a:ext cx="4684055" cy="40341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Familiar de Salud</a:t>
            </a:r>
          </a:p>
        </xdr:txBody>
      </xdr:sp>
      <xdr:cxnSp macro="">
        <xdr:nvCxnSpPr>
          <xdr:cNvPr id="100" name="99 Conector recto"/>
          <xdr:cNvCxnSpPr>
            <a:stCxn id="40" idx="3"/>
          </xdr:cNvCxnSpPr>
        </xdr:nvCxnSpPr>
        <xdr:spPr>
          <a:xfrm flipV="1">
            <a:off x="4504765" y="4874561"/>
            <a:ext cx="537882" cy="246528"/>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03" name="102 Conector recto"/>
          <xdr:cNvCxnSpPr>
            <a:endCxn id="99" idx="1"/>
          </xdr:cNvCxnSpPr>
        </xdr:nvCxnSpPr>
        <xdr:spPr>
          <a:xfrm>
            <a:off x="4482352" y="5132294"/>
            <a:ext cx="504268" cy="369795"/>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25" name="124 Conector recto"/>
          <xdr:cNvCxnSpPr/>
        </xdr:nvCxnSpPr>
        <xdr:spPr>
          <a:xfrm>
            <a:off x="4538382" y="6835587"/>
            <a:ext cx="454961" cy="384363"/>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26" name="125 Conector recto"/>
          <xdr:cNvCxnSpPr>
            <a:endCxn id="130" idx="1"/>
          </xdr:cNvCxnSpPr>
        </xdr:nvCxnSpPr>
        <xdr:spPr>
          <a:xfrm flipV="1">
            <a:off x="4538382" y="6430240"/>
            <a:ext cx="476333" cy="427761"/>
          </a:xfrm>
          <a:prstGeom prst="line">
            <a:avLst/>
          </a:prstGeom>
          <a:ln w="28575"/>
        </xdr:spPr>
        <xdr:style>
          <a:lnRef idx="1">
            <a:schemeClr val="dk1"/>
          </a:lnRef>
          <a:fillRef idx="0">
            <a:schemeClr val="dk1"/>
          </a:fillRef>
          <a:effectRef idx="0">
            <a:schemeClr val="dk1"/>
          </a:effectRef>
          <a:fontRef idx="minor">
            <a:schemeClr val="tx1"/>
          </a:fontRef>
        </xdr:style>
      </xdr:cxnSp>
      <xdr:sp macro="" textlink="">
        <xdr:nvSpPr>
          <xdr:cNvPr id="128" name="127 Rectángulo redondeado"/>
          <xdr:cNvSpPr/>
        </xdr:nvSpPr>
        <xdr:spPr>
          <a:xfrm>
            <a:off x="4993343" y="6925234"/>
            <a:ext cx="4744569" cy="38772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Familiar de Salud</a:t>
            </a:r>
          </a:p>
        </xdr:txBody>
      </xdr:sp>
      <xdr:sp macro="" textlink="">
        <xdr:nvSpPr>
          <xdr:cNvPr id="130" name="129 Rectángulo redondeado"/>
          <xdr:cNvSpPr/>
        </xdr:nvSpPr>
        <xdr:spPr>
          <a:xfrm>
            <a:off x="5014715" y="6245343"/>
            <a:ext cx="4740087" cy="36979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Vejez, Discapacidad y  Sobrevivencia</a:t>
            </a:r>
          </a:p>
        </xdr:txBody>
      </xdr:sp>
    </xdr:grpSp>
    <xdr:clientData/>
  </xdr:twoCellAnchor>
  <xdr:twoCellAnchor>
    <xdr:from>
      <xdr:col>0</xdr:col>
      <xdr:colOff>17318</xdr:colOff>
      <xdr:row>0</xdr:row>
      <xdr:rowOff>0</xdr:rowOff>
    </xdr:from>
    <xdr:to>
      <xdr:col>18</xdr:col>
      <xdr:colOff>3711</xdr:colOff>
      <xdr:row>5</xdr:row>
      <xdr:rowOff>138544</xdr:rowOff>
    </xdr:to>
    <xdr:sp macro="" textlink="">
      <xdr:nvSpPr>
        <xdr:cNvPr id="26" name="25 Rectángulo redondeado"/>
        <xdr:cNvSpPr/>
      </xdr:nvSpPr>
      <xdr:spPr>
        <a:xfrm>
          <a:off x="17318" y="0"/>
          <a:ext cx="13840938" cy="109104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3600" b="1">
              <a:solidFill>
                <a:schemeClr val="lt1"/>
              </a:solidFill>
              <a:effectLst/>
              <a:latin typeface="+mn-lt"/>
              <a:ea typeface="+mn-ea"/>
              <a:cs typeface="+mn-cs"/>
            </a:rPr>
            <a:t>Regímenes</a:t>
          </a:r>
          <a:r>
            <a:rPr lang="es-DO" sz="3600" b="1" baseline="0">
              <a:solidFill>
                <a:schemeClr val="lt1"/>
              </a:solidFill>
              <a:effectLst/>
              <a:latin typeface="+mn-lt"/>
              <a:ea typeface="+mn-ea"/>
              <a:cs typeface="+mn-cs"/>
            </a:rPr>
            <a:t> y Seguros del SDSS</a:t>
          </a:r>
          <a:endParaRPr lang="en-US" sz="4400" b="1"/>
        </a:p>
      </xdr:txBody>
    </xdr:sp>
    <xdr:clientData/>
  </xdr:twoCellAnchor>
  <xdr:twoCellAnchor editAs="oneCell">
    <xdr:from>
      <xdr:col>0</xdr:col>
      <xdr:colOff>311727</xdr:colOff>
      <xdr:row>0</xdr:row>
      <xdr:rowOff>155863</xdr:rowOff>
    </xdr:from>
    <xdr:to>
      <xdr:col>1</xdr:col>
      <xdr:colOff>530458</xdr:colOff>
      <xdr:row>4</xdr:row>
      <xdr:rowOff>87828</xdr:rowOff>
    </xdr:to>
    <xdr:pic>
      <xdr:nvPicPr>
        <xdr:cNvPr id="28" name="40 Imagen" descr="Logo_2x4.bmp">
          <a:hlinkClick xmlns:r="http://schemas.openxmlformats.org/officeDocument/2006/relationships" r:id="rId2"/>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311727" y="155863"/>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0.xml><?xml version="1.0" encoding="utf-8"?>
<xdr:wsDr xmlns:xdr="http://schemas.openxmlformats.org/drawingml/2006/spreadsheetDrawing" xmlns:a="http://schemas.openxmlformats.org/drawingml/2006/main">
  <xdr:twoCellAnchor>
    <xdr:from>
      <xdr:col>0</xdr:col>
      <xdr:colOff>163287</xdr:colOff>
      <xdr:row>17</xdr:row>
      <xdr:rowOff>54428</xdr:rowOff>
    </xdr:from>
    <xdr:to>
      <xdr:col>11</xdr:col>
      <xdr:colOff>1156608</xdr:colOff>
      <xdr:row>52</xdr:row>
      <xdr:rowOff>0</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1211036</xdr:colOff>
      <xdr:row>1</xdr:row>
      <xdr:rowOff>13607</xdr:rowOff>
    </xdr:to>
    <xdr:sp macro="" textlink="">
      <xdr:nvSpPr>
        <xdr:cNvPr id="5" name="4 Rectángulo redondeado"/>
        <xdr:cNvSpPr/>
      </xdr:nvSpPr>
      <xdr:spPr>
        <a:xfrm>
          <a:off x="0" y="0"/>
          <a:ext cx="14083393" cy="102053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Régimen Especial Transitorio para la Salud de Pensionados Ley 1896 - 379</a:t>
          </a:r>
        </a:p>
        <a:p>
          <a:pPr algn="ctr" eaLnBrk="1" fontAlgn="auto" latinLnBrk="0" hangingPunct="1"/>
          <a:r>
            <a:rPr lang="es-DO" sz="1600" b="1">
              <a:solidFill>
                <a:schemeClr val="lt1"/>
              </a:solidFill>
              <a:effectLst/>
              <a:latin typeface="+mn-lt"/>
              <a:ea typeface="+mn-ea"/>
              <a:cs typeface="+mn-cs"/>
            </a:rPr>
            <a:t>Afiliación Mensual de Pensionados al SFS</a:t>
          </a:r>
        </a:p>
        <a:p>
          <a:pPr algn="ctr" eaLnBrk="1" fontAlgn="auto" latinLnBrk="0" hangingPunct="1"/>
          <a:r>
            <a:rPr lang="es-DO" sz="1600" b="1">
              <a:solidFill>
                <a:schemeClr val="lt1"/>
              </a:solidFill>
              <a:effectLst/>
              <a:latin typeface="+mn-lt"/>
              <a:ea typeface="+mn-ea"/>
              <a:cs typeface="+mn-cs"/>
            </a:rPr>
            <a:t>Período:  Noviembre 2014 - Noviembre  2015</a:t>
          </a:r>
          <a:endParaRPr lang="es-DO" sz="3200">
            <a:effectLst/>
          </a:endParaRPr>
        </a:p>
      </xdr:txBody>
    </xdr:sp>
    <xdr:clientData/>
  </xdr:twoCellAnchor>
  <xdr:twoCellAnchor editAs="oneCell">
    <xdr:from>
      <xdr:col>0</xdr:col>
      <xdr:colOff>593912</xdr:colOff>
      <xdr:row>0</xdr:row>
      <xdr:rowOff>235323</xdr:rowOff>
    </xdr:from>
    <xdr:to>
      <xdr:col>1</xdr:col>
      <xdr:colOff>535080</xdr:colOff>
      <xdr:row>0</xdr:row>
      <xdr:rowOff>714837</xdr:rowOff>
    </xdr:to>
    <xdr:pic>
      <xdr:nvPicPr>
        <xdr:cNvPr id="6" name="5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93912" y="235323"/>
          <a:ext cx="669550" cy="4795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1.xml><?xml version="1.0" encoding="utf-8"?>
<c:userShapes xmlns:c="http://schemas.openxmlformats.org/drawingml/2006/chart">
  <cdr:relSizeAnchor xmlns:cdr="http://schemas.openxmlformats.org/drawingml/2006/chartDrawing">
    <cdr:from>
      <cdr:x>0.00439</cdr:x>
      <cdr:y>0.94057</cdr:y>
    </cdr:from>
    <cdr:to>
      <cdr:x>0.3575</cdr:x>
      <cdr:y>0.98971</cdr:y>
    </cdr:to>
    <cdr:sp macro="" textlink="">
      <cdr:nvSpPr>
        <cdr:cNvPr id="2" name="CuadroTexto 1"/>
        <cdr:cNvSpPr txBox="1"/>
      </cdr:nvSpPr>
      <cdr:spPr>
        <a:xfrm xmlns:a="http://schemas.openxmlformats.org/drawingml/2006/main">
          <a:off x="64408" y="6220066"/>
          <a:ext cx="5174716" cy="32497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400" b="1"/>
            <a:t>Fuente:</a:t>
          </a:r>
          <a:r>
            <a:rPr lang="es-ES" sz="1400" b="1" baseline="0"/>
            <a:t> </a:t>
          </a:r>
          <a:r>
            <a:rPr lang="es-ES" sz="1400" baseline="0"/>
            <a:t>Portal de la SISALRIL</a:t>
          </a:r>
          <a:endParaRPr lang="es-ES" sz="1400"/>
        </a:p>
      </cdr:txBody>
    </cdr:sp>
  </cdr:relSizeAnchor>
</c:userShapes>
</file>

<file path=xl/drawings/drawing52.xml><?xml version="1.0" encoding="utf-8"?>
<xdr:wsDr xmlns:xdr="http://schemas.openxmlformats.org/drawingml/2006/spreadsheetDrawing" xmlns:a="http://schemas.openxmlformats.org/drawingml/2006/main">
  <xdr:twoCellAnchor>
    <xdr:from>
      <xdr:col>0</xdr:col>
      <xdr:colOff>71439</xdr:colOff>
      <xdr:row>18</xdr:row>
      <xdr:rowOff>25513</xdr:rowOff>
    </xdr:from>
    <xdr:to>
      <xdr:col>12</xdr:col>
      <xdr:colOff>1010332</xdr:colOff>
      <xdr:row>52</xdr:row>
      <xdr:rowOff>134371</xdr:rowOff>
    </xdr:to>
    <xdr:graphicFrame macro="">
      <xdr:nvGraphicFramePr>
        <xdr:cNvPr id="5" name="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1</xdr:rowOff>
    </xdr:from>
    <xdr:to>
      <xdr:col>13</xdr:col>
      <xdr:colOff>0</xdr:colOff>
      <xdr:row>1</xdr:row>
      <xdr:rowOff>122464</xdr:rowOff>
    </xdr:to>
    <xdr:sp macro="" textlink="">
      <xdr:nvSpPr>
        <xdr:cNvPr id="4" name="3 Rectángulo redondeado"/>
        <xdr:cNvSpPr/>
      </xdr:nvSpPr>
      <xdr:spPr>
        <a:xfrm>
          <a:off x="0" y="1"/>
          <a:ext cx="13573125" cy="103924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Régimen Especial Transitorio para la Salud de Pensionados Ley 1896 - 379</a:t>
          </a:r>
        </a:p>
        <a:p>
          <a:pPr algn="ctr" eaLnBrk="1" fontAlgn="auto" latinLnBrk="0" hangingPunct="1"/>
          <a:r>
            <a:rPr lang="es-DO" sz="1600" b="1">
              <a:solidFill>
                <a:schemeClr val="lt1"/>
              </a:solidFill>
              <a:effectLst/>
              <a:latin typeface="+mn-lt"/>
              <a:ea typeface="+mn-ea"/>
              <a:cs typeface="+mn-cs"/>
            </a:rPr>
            <a:t>Cobertura de Afiliación </a:t>
          </a:r>
          <a:r>
            <a:rPr lang="es-DO" sz="1600" b="1" baseline="0">
              <a:solidFill>
                <a:schemeClr val="lt1"/>
              </a:solidFill>
              <a:effectLst/>
              <a:latin typeface="+mn-lt"/>
              <a:ea typeface="+mn-ea"/>
              <a:cs typeface="+mn-cs"/>
            </a:rPr>
            <a:t>Mensual </a:t>
          </a:r>
          <a:r>
            <a:rPr lang="es-DO" sz="1600" b="1">
              <a:solidFill>
                <a:schemeClr val="lt1"/>
              </a:solidFill>
              <a:effectLst/>
              <a:latin typeface="+mn-lt"/>
              <a:ea typeface="+mn-ea"/>
              <a:cs typeface="+mn-cs"/>
            </a:rPr>
            <a:t>de Pensionados al SFS</a:t>
          </a:r>
        </a:p>
        <a:p>
          <a:pPr algn="ctr" eaLnBrk="1" fontAlgn="auto" latinLnBrk="0" hangingPunct="1"/>
          <a:r>
            <a:rPr lang="es-DO" sz="1600" b="1">
              <a:solidFill>
                <a:schemeClr val="lt1"/>
              </a:solidFill>
              <a:effectLst/>
              <a:latin typeface="+mn-lt"/>
              <a:ea typeface="+mn-ea"/>
              <a:cs typeface="+mn-cs"/>
            </a:rPr>
            <a:t>Período: Noviembre 2014 - Noviembre 2015</a:t>
          </a:r>
          <a:endParaRPr lang="es-DO" sz="3200" b="1">
            <a:effectLst/>
          </a:endParaRPr>
        </a:p>
      </xdr:txBody>
    </xdr:sp>
    <xdr:clientData/>
  </xdr:twoCellAnchor>
  <xdr:twoCellAnchor editAs="oneCell">
    <xdr:from>
      <xdr:col>0</xdr:col>
      <xdr:colOff>627528</xdr:colOff>
      <xdr:row>0</xdr:row>
      <xdr:rowOff>224117</xdr:rowOff>
    </xdr:from>
    <xdr:to>
      <xdr:col>1</xdr:col>
      <xdr:colOff>462020</xdr:colOff>
      <xdr:row>0</xdr:row>
      <xdr:rowOff>739588</xdr:rowOff>
    </xdr:to>
    <xdr:pic>
      <xdr:nvPicPr>
        <xdr:cNvPr id="7" name="5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7528" y="224117"/>
          <a:ext cx="719757" cy="5154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3.xml><?xml version="1.0" encoding="utf-8"?>
<c:userShapes xmlns:c="http://schemas.openxmlformats.org/drawingml/2006/chart">
  <cdr:relSizeAnchor xmlns:cdr="http://schemas.openxmlformats.org/drawingml/2006/chartDrawing">
    <cdr:from>
      <cdr:x>0.01647</cdr:x>
      <cdr:y>0.92429</cdr:y>
    </cdr:from>
    <cdr:to>
      <cdr:x>0.40843</cdr:x>
      <cdr:y>0.97364</cdr:y>
    </cdr:to>
    <cdr:sp macro="" textlink="">
      <cdr:nvSpPr>
        <cdr:cNvPr id="2" name="CuadroTexto 1"/>
        <cdr:cNvSpPr txBox="1"/>
      </cdr:nvSpPr>
      <cdr:spPr>
        <a:xfrm xmlns:a="http://schemas.openxmlformats.org/drawingml/2006/main">
          <a:off x="217487" y="6087269"/>
          <a:ext cx="5174716" cy="32497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400" b="1"/>
            <a:t>Fuente:</a:t>
          </a:r>
          <a:r>
            <a:rPr lang="es-ES" sz="1400" b="1" baseline="0"/>
            <a:t> </a:t>
          </a:r>
          <a:r>
            <a:rPr lang="es-ES" sz="1400" baseline="0"/>
            <a:t> TSS</a:t>
          </a:r>
          <a:endParaRPr lang="es-ES" sz="1400"/>
        </a:p>
      </cdr:txBody>
    </cdr:sp>
  </cdr:relSizeAnchor>
</c:userShapes>
</file>

<file path=xl/drawings/drawing54.xml><?xml version="1.0" encoding="utf-8"?>
<xdr:wsDr xmlns:xdr="http://schemas.openxmlformats.org/drawingml/2006/spreadsheetDrawing" xmlns:a="http://schemas.openxmlformats.org/drawingml/2006/main">
  <xdr:twoCellAnchor editAs="oneCell">
    <xdr:from>
      <xdr:col>4</xdr:col>
      <xdr:colOff>277093</xdr:colOff>
      <xdr:row>12</xdr:row>
      <xdr:rowOff>103909</xdr:rowOff>
    </xdr:from>
    <xdr:to>
      <xdr:col>8</xdr:col>
      <xdr:colOff>692727</xdr:colOff>
      <xdr:row>42</xdr:row>
      <xdr:rowOff>103909</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325093" y="2389909"/>
          <a:ext cx="5091543" cy="5715000"/>
        </a:xfrm>
        <a:prstGeom prst="rect">
          <a:avLst/>
        </a:prstGeom>
        <a:noFill/>
        <a:ln>
          <a:noFill/>
        </a:ln>
      </xdr:spPr>
    </xdr:pic>
    <xdr:clientData/>
  </xdr:twoCellAnchor>
  <xdr:twoCellAnchor>
    <xdr:from>
      <xdr:col>0</xdr:col>
      <xdr:colOff>155863</xdr:colOff>
      <xdr:row>13</xdr:row>
      <xdr:rowOff>155863</xdr:rowOff>
    </xdr:from>
    <xdr:to>
      <xdr:col>15</xdr:col>
      <xdr:colOff>554181</xdr:colOff>
      <xdr:row>40</xdr:row>
      <xdr:rowOff>17318</xdr:rowOff>
    </xdr:to>
    <xdr:sp macro="" textlink="">
      <xdr:nvSpPr>
        <xdr:cNvPr id="3" name="2 CuadroTexto"/>
        <xdr:cNvSpPr txBox="1"/>
      </xdr:nvSpPr>
      <xdr:spPr>
        <a:xfrm>
          <a:off x="155863" y="2632363"/>
          <a:ext cx="11914909" cy="50049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eaLnBrk="1" fontAlgn="auto" latinLnBrk="0" hangingPunct="1"/>
          <a:r>
            <a:rPr lang="es-DO" sz="4800" b="1">
              <a:solidFill>
                <a:srgbClr val="0070C0"/>
              </a:solidFill>
              <a:latin typeface="+mn-lt"/>
              <a:ea typeface="+mn-ea"/>
              <a:cs typeface="+mn-cs"/>
            </a:rPr>
            <a:t>Sistema Dominicano de Seguridad Social (SDSS</a:t>
          </a:r>
          <a:r>
            <a:rPr lang="es-DO" sz="4400" b="1">
              <a:solidFill>
                <a:srgbClr val="0070C0"/>
              </a:solidFill>
              <a:latin typeface="+mn-lt"/>
              <a:ea typeface="+mn-ea"/>
              <a:cs typeface="+mn-cs"/>
            </a:rPr>
            <a:t>)</a:t>
          </a:r>
          <a:endParaRPr lang="es-ES" sz="4400" b="1">
            <a:solidFill>
              <a:srgbClr val="0070C0"/>
            </a:solidFill>
            <a:latin typeface="+mn-lt"/>
            <a:ea typeface="+mn-ea"/>
            <a:cs typeface="+mn-cs"/>
          </a:endParaRPr>
        </a:p>
        <a:p>
          <a:pPr algn="ctr"/>
          <a:r>
            <a:rPr lang="es-DO" sz="4000" b="1">
              <a:solidFill>
                <a:schemeClr val="accent3">
                  <a:lumMod val="50000"/>
                </a:schemeClr>
              </a:solidFill>
              <a:latin typeface="+mn-lt"/>
              <a:ea typeface="+mn-ea"/>
              <a:cs typeface="+mn-cs"/>
            </a:rPr>
            <a:t>Afiliación del </a:t>
          </a:r>
          <a:r>
            <a:rPr lang="es-DO" sz="4000" b="1">
              <a:solidFill>
                <a:schemeClr val="accent3">
                  <a:lumMod val="50000"/>
                </a:schemeClr>
              </a:solidFill>
            </a:rPr>
            <a:t>Seguro de Vejez, Discapacidad y Sobrevivencia (SVDS)</a:t>
          </a:r>
          <a:r>
            <a:rPr lang="es-DO" sz="4000" b="1" baseline="0">
              <a:solidFill>
                <a:schemeClr val="accent3">
                  <a:lumMod val="50000"/>
                </a:schemeClr>
              </a:solidFill>
            </a:rPr>
            <a:t> </a:t>
          </a:r>
          <a:r>
            <a:rPr lang="es-DO" sz="4000" b="1">
              <a:solidFill>
                <a:schemeClr val="accent3">
                  <a:lumMod val="50000"/>
                </a:schemeClr>
              </a:solidFill>
            </a:rPr>
            <a:t>del RC</a:t>
          </a:r>
        </a:p>
      </xdr:txBody>
    </xdr:sp>
    <xdr:clientData/>
  </xdr:twoCellAnchor>
  <xdr:twoCellAnchor editAs="oneCell">
    <xdr:from>
      <xdr:col>0</xdr:col>
      <xdr:colOff>311728</xdr:colOff>
      <xdr:row>1</xdr:row>
      <xdr:rowOff>17318</xdr:rowOff>
    </xdr:from>
    <xdr:to>
      <xdr:col>3</xdr:col>
      <xdr:colOff>311728</xdr:colOff>
      <xdr:row>8</xdr:row>
      <xdr:rowOff>23887</xdr:rowOff>
    </xdr:to>
    <xdr:pic>
      <xdr:nvPicPr>
        <xdr:cNvPr id="5"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36" t="11230" r="5133" b="14526"/>
        <a:stretch/>
      </xdr:blipFill>
      <xdr:spPr bwMode="auto">
        <a:xfrm>
          <a:off x="311728" y="207818"/>
          <a:ext cx="2286000" cy="13400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5.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705971</xdr:colOff>
      <xdr:row>45</xdr:row>
      <xdr:rowOff>168088</xdr:rowOff>
    </xdr:to>
    <xdr:sp macro="" textlink="">
      <xdr:nvSpPr>
        <xdr:cNvPr id="2" name="1 CuadroTexto"/>
        <xdr:cNvSpPr txBox="1"/>
      </xdr:nvSpPr>
      <xdr:spPr>
        <a:xfrm>
          <a:off x="0" y="0"/>
          <a:ext cx="10376647" cy="8740588"/>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El sistema de pensión tiene como objetivo reemplazar la pérdida o reducción del ingreso por vejez, fallecimiento, discapacidad, cesantía en edad avanzada y sobrevivencia. Tiene una estructura mixta de beneficio que combina la constitución y el desarrollo de una cuenta personal para cada afiliado, con la solidaridad social en favor de los trabajadores y la población de ingresos bajos, en el marco de las políticas y principios de la seguridad social. En adición, permite aportes adicionales con la finalidad de obtener prestaciones complementarias. Los sistemas de pensiones establecidos mediante las leyes 1896, del 30 de diciembre de 1948, y 379 del 11 de diciembre de 1981, mantienen su vigencia para los actuales pensionados y jubilados, para los afiliados en proceso de retiro para la población que permanece en dicho sistema en conformidad con el artículo 38 de la Ley 87-01.</a:t>
          </a:r>
        </a:p>
        <a:p>
          <a:pPr marL="0" marR="0" indent="0" algn="l" defTabSz="914400" eaLnBrk="1" fontAlgn="auto" latinLnBrk="0" hangingPunct="1">
            <a:lnSpc>
              <a:spcPct val="100000"/>
            </a:lnSpc>
            <a:spcBef>
              <a:spcPts val="0"/>
            </a:spcBef>
            <a:spcAft>
              <a:spcPts val="0"/>
            </a:spcAft>
            <a:buClrTx/>
            <a:buSzTx/>
            <a:buFontTx/>
            <a:buNone/>
            <a:tabLst/>
            <a:defRPr/>
          </a:pPr>
          <a:endParaRPr kumimoji="0" lang="en-US" sz="1400" b="0" i="0" u="none" strike="noStrike" kern="0" cap="none" spc="0" normalizeH="0" baseline="0">
            <a:ln>
              <a:noFill/>
            </a:ln>
            <a:solidFill>
              <a:sysClr val="windowText" lastClr="000000"/>
            </a:solidFill>
            <a:effectLst/>
            <a:uLnTx/>
            <a:uFillTx/>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La afiliación del trabajador asalariado y del empleador al régimen provisional es obligatoria, única y permanente independientemente de que el beneficiario permanezca o no en actividad, ejerza dos o más trabajos de manera simultánea pase a trabajar en el sector informal, emigre del país o cambie de Administradora de Fondos de Pensiones (AFP).</a:t>
          </a:r>
        </a:p>
        <a:p>
          <a:pPr marL="0" marR="0" indent="0" algn="l" defTabSz="914400" eaLnBrk="1" fontAlgn="auto" latinLnBrk="0" hangingPunct="1">
            <a:lnSpc>
              <a:spcPct val="100000"/>
            </a:lnSpc>
            <a:spcBef>
              <a:spcPts val="0"/>
            </a:spcBef>
            <a:spcAft>
              <a:spcPts val="0"/>
            </a:spcAft>
            <a:buClrTx/>
            <a:buSzTx/>
            <a:buFontTx/>
            <a:buNone/>
            <a:tabLst/>
            <a:defRPr/>
          </a:pPr>
          <a:endParaRPr kumimoji="0" lang="en-US" sz="1400" b="0" i="0" u="none" strike="noStrike" kern="0" cap="none" spc="0" normalizeH="0" baseline="0">
            <a:ln>
              <a:noFill/>
            </a:ln>
            <a:solidFill>
              <a:sysClr val="windowText" lastClr="000000"/>
            </a:solidFill>
            <a:effectLst/>
            <a:uLnTx/>
            <a:uFillTx/>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0" lang="en-US" sz="1400" b="1" i="0" u="none" strike="noStrike" kern="0" cap="none" spc="0" normalizeH="0" baseline="0">
              <a:ln>
                <a:noFill/>
              </a:ln>
              <a:solidFill>
                <a:sysClr val="windowText" lastClr="000000"/>
              </a:solidFill>
              <a:effectLst/>
              <a:uLnTx/>
              <a:uFillTx/>
              <a:latin typeface="+mn-lt"/>
              <a:ea typeface="+mn-ea"/>
              <a:cs typeface="+mn-cs"/>
            </a:rPr>
            <a:t>El sistema previsional del Régimen Contributivo contempla las siguientes prestaciones:</a:t>
          </a:r>
        </a:p>
        <a:p>
          <a:pPr marL="0" marR="0" indent="0" algn="l" defTabSz="914400" eaLnBrk="1" fontAlgn="auto" latinLnBrk="0" hangingPunct="1">
            <a:lnSpc>
              <a:spcPct val="100000"/>
            </a:lnSpc>
            <a:spcBef>
              <a:spcPts val="0"/>
            </a:spcBef>
            <a:spcAft>
              <a:spcPts val="0"/>
            </a:spcAft>
            <a:buClrTx/>
            <a:buSzTx/>
            <a:buFontTx/>
            <a:buNone/>
            <a:tabLst/>
            <a:defRPr/>
          </a:pPr>
          <a:endParaRPr kumimoji="0" lang="en-US" sz="1400" b="1" i="0" u="none" strike="noStrike" kern="0" cap="none" spc="0" normalizeH="0" baseline="0">
            <a:ln>
              <a:noFill/>
            </a:ln>
            <a:solidFill>
              <a:sysClr val="windowText" lastClr="000000"/>
            </a:solidFill>
            <a:effectLst/>
            <a:uLnTx/>
            <a:uFillTx/>
            <a:latin typeface="+mn-lt"/>
            <a:ea typeface="+mn-ea"/>
            <a:cs typeface="+mn-cs"/>
          </a:endParaRPr>
        </a:p>
        <a:p>
          <a:pPr marL="457200" marR="0" lvl="1"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a) Pensión por vejez;</a:t>
          </a:r>
        </a:p>
        <a:p>
          <a:pPr marL="457200" marR="0" lvl="1"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b) Pensión por discapacidad, total o parcial;</a:t>
          </a:r>
        </a:p>
        <a:p>
          <a:pPr marL="457200" marR="0" lvl="1"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c) Pensión por cesantía por edad avanzada;</a:t>
          </a:r>
        </a:p>
        <a:p>
          <a:pPr marL="457200" marR="0" lvl="1"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d) Pensión por sobrevivencia.</a:t>
          </a:r>
        </a:p>
        <a:p>
          <a:pPr marL="457200" marR="0" lvl="1" indent="0" algn="l" defTabSz="914400" eaLnBrk="1" fontAlgn="auto" latinLnBrk="0" hangingPunct="1">
            <a:lnSpc>
              <a:spcPct val="100000"/>
            </a:lnSpc>
            <a:spcBef>
              <a:spcPts val="0"/>
            </a:spcBef>
            <a:spcAft>
              <a:spcPts val="0"/>
            </a:spcAft>
            <a:buClrTx/>
            <a:buSzTx/>
            <a:buFontTx/>
            <a:buNone/>
            <a:tabLst/>
            <a:defRPr/>
          </a:pPr>
          <a:endParaRPr kumimoji="0" lang="en-US" sz="1400" b="0" i="0" u="none" strike="noStrike" kern="0" cap="none" spc="0" normalizeH="0" baseline="0">
            <a:ln>
              <a:noFill/>
            </a:ln>
            <a:solidFill>
              <a:sysClr val="windowText" lastClr="000000"/>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Cada trabajador que ingresa al sistema está en la obligación de seleccionar su Administradora de Fondos de Pensiones,  informarlo a su empleador en un plazo establecido. Si el empleado no lo hace, el empleador tiene la obligación de inscribirlo a la AFP a la que se hayan afiliado la mayor parte de sus empleados. Cuando un trabajador preste servicio a dos o más empleadores deberá seleccionar a uno de éstos e informar a los demás el número de afiliación a fin de que éstos puedan remitir a la misma cuenta las cotizaciones correspondientes.</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400" b="0" i="0" u="none" strike="noStrike" kern="0" cap="none" spc="0" normalizeH="0" baseline="0">
            <a:ln>
              <a:noFill/>
            </a:ln>
            <a:solidFill>
              <a:sysClr val="windowText" lastClr="000000"/>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En la actualidad el sistema de pensiones cuenta con cinco AFP, cuatro privada (Popular, Siembra, Scotia Crecer y Romana) y  una AFP pública, la AFP Reservas, la cual tiene a su cargo la administración del Fondo de Solidaridad Social, el Fondo de Reparto del Banco de Reservas ( que cubre a sus empleados y funcionarios) y el fondo de Capitalización Individual. Además de las AFP el sistema de pensiones lo integran los siguientes fondo de reparto: Fondo de Pensiones y Jubilaciones del Banco Central, Fondo de Pensiones y Jubilaciones del Ministerio de Hacienda y el fondo del Instituto Nacional de Bienestar Magisterial (INABIMA).</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400" b="0" i="0" u="none" strike="noStrike" kern="0" cap="none" spc="0" normalizeH="0" baseline="0">
            <a:ln>
              <a:noFill/>
            </a:ln>
            <a:solidFill>
              <a:sysClr val="windowText" lastClr="000000"/>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El proceso de afiliación al Seguro de Vejez, Discapacidad y Sobrevivencia se inicia en febrero de 2003 cuando se pone en funcionamiento el Régimen Contributivo. </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 </a:t>
          </a:r>
        </a:p>
      </xdr:txBody>
    </xdr:sp>
    <xdr:clientData/>
  </xdr:twoCellAnchor>
  <xdr:twoCellAnchor>
    <xdr:from>
      <xdr:col>0</xdr:col>
      <xdr:colOff>0</xdr:colOff>
      <xdr:row>0</xdr:row>
      <xdr:rowOff>1</xdr:rowOff>
    </xdr:from>
    <xdr:to>
      <xdr:col>13</xdr:col>
      <xdr:colOff>11206</xdr:colOff>
      <xdr:row>4</xdr:row>
      <xdr:rowOff>44825</xdr:rowOff>
    </xdr:to>
    <xdr:sp macro="" textlink="">
      <xdr:nvSpPr>
        <xdr:cNvPr id="4" name="3 Rectángulo redondeado"/>
        <xdr:cNvSpPr/>
      </xdr:nvSpPr>
      <xdr:spPr>
        <a:xfrm>
          <a:off x="0" y="1"/>
          <a:ext cx="10443882" cy="80682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Afiliación al Seguro de Vejez, Discapacidad y Sobrevivencia</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(SVDS)</a:t>
          </a:r>
          <a:endParaRPr lang="es-DO" sz="4400">
            <a:effectLst/>
          </a:endParaRPr>
        </a:p>
      </xdr:txBody>
    </xdr:sp>
    <xdr:clientData/>
  </xdr:twoCellAnchor>
  <xdr:twoCellAnchor editAs="oneCell">
    <xdr:from>
      <xdr:col>0</xdr:col>
      <xdr:colOff>179295</xdr:colOff>
      <xdr:row>0</xdr:row>
      <xdr:rowOff>156882</xdr:rowOff>
    </xdr:from>
    <xdr:to>
      <xdr:col>1</xdr:col>
      <xdr:colOff>106933</xdr:colOff>
      <xdr:row>3</xdr:row>
      <xdr:rowOff>78441</xdr:rowOff>
    </xdr:to>
    <xdr:pic>
      <xdr:nvPicPr>
        <xdr:cNvPr id="5" name="1 Imagen" descr="Logo_2x4.bmp">
          <a:hlinkClick xmlns:r="http://schemas.openxmlformats.org/officeDocument/2006/relationships" r:id="rId1"/>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179295" y="156882"/>
          <a:ext cx="689638" cy="4930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6.xml><?xml version="1.0" encoding="utf-8"?>
<xdr:wsDr xmlns:xdr="http://schemas.openxmlformats.org/drawingml/2006/spreadsheetDrawing" xmlns:a="http://schemas.openxmlformats.org/drawingml/2006/main">
  <xdr:twoCellAnchor>
    <xdr:from>
      <xdr:col>0</xdr:col>
      <xdr:colOff>68036</xdr:colOff>
      <xdr:row>4</xdr:row>
      <xdr:rowOff>87476</xdr:rowOff>
    </xdr:from>
    <xdr:to>
      <xdr:col>12</xdr:col>
      <xdr:colOff>690076</xdr:colOff>
      <xdr:row>41</xdr:row>
      <xdr:rowOff>126354</xdr:rowOff>
    </xdr:to>
    <xdr:sp macro="" textlink="">
      <xdr:nvSpPr>
        <xdr:cNvPr id="2" name="1 CuadroTexto"/>
        <xdr:cNvSpPr txBox="1"/>
      </xdr:nvSpPr>
      <xdr:spPr>
        <a:xfrm>
          <a:off x="68036" y="865027"/>
          <a:ext cx="10253953" cy="7279822"/>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s-DO" sz="1400" b="0" i="0" baseline="0">
              <a:solidFill>
                <a:schemeClr val="dk1"/>
              </a:solidFill>
              <a:effectLst/>
              <a:latin typeface="+mn-lt"/>
              <a:ea typeface="+mn-ea"/>
              <a:cs typeface="+mn-cs"/>
            </a:rPr>
            <a:t>La afiliación inicial al sistema previsional fue significativa a diciembre de 2003 contaba con 986,538 personas de las cuales 576,869 eran trabajadores cotizantes activos, representando el 40.6% de la población ocupada formal.</a:t>
          </a:r>
        </a:p>
        <a:p>
          <a:pPr eaLnBrk="1" fontAlgn="auto" latinLnBrk="0" hangingPunct="1"/>
          <a:endParaRPr lang="es-ES" sz="1400">
            <a:effectLst/>
          </a:endParaRPr>
        </a:p>
        <a:p>
          <a:pPr eaLnBrk="1" fontAlgn="auto" latinLnBrk="0" hangingPunct="1"/>
          <a:r>
            <a:rPr lang="es-DO" sz="1400" b="0" i="0" baseline="0">
              <a:solidFill>
                <a:schemeClr val="dk1"/>
              </a:solidFill>
              <a:effectLst/>
              <a:latin typeface="+mn-lt"/>
              <a:ea typeface="+mn-ea"/>
              <a:cs typeface="+mn-cs"/>
            </a:rPr>
            <a:t>La evolución en cifras del número de afiliados al SVDS, que constituye una variable acumulativa ha registrado un crecimiento promedio hasta noviembre 2015 de un 10.56%,  situándose para esa fecha en 3,253,374.  El crecimiento promedio anual de los afiliados cotizantes activos fue de 8.96% pasando de 576,869 en diciembre de 2003 a 1,569,766 al mes de noviembre de 2015. </a:t>
          </a:r>
        </a:p>
        <a:p>
          <a:pPr eaLnBrk="1" fontAlgn="auto" latinLnBrk="0" hangingPunct="1"/>
          <a:endParaRPr lang="es-ES" sz="1400">
            <a:effectLst/>
          </a:endParaRPr>
        </a:p>
        <a:p>
          <a:pPr eaLnBrk="1" fontAlgn="auto" latinLnBrk="0" hangingPunct="1"/>
          <a:r>
            <a:rPr lang="es-DO" sz="1400" b="0" i="0" baseline="0">
              <a:solidFill>
                <a:schemeClr val="dk1"/>
              </a:solidFill>
              <a:effectLst/>
              <a:latin typeface="+mn-lt"/>
              <a:ea typeface="+mn-ea"/>
              <a:cs typeface="+mn-cs"/>
            </a:rPr>
            <a:t>La relación de cotizantes/afiliados, conocida como densidad de cotizantes, ha pasado de 58.5% en diciembre de 2003 a 48.3% al mes de noviembre 2015, reflejando una baja de 10.2%, debido principalmente a que la afiliación se acumula  y los cotizantes son los trabajadores que están activo al momento de producirse la información.</a:t>
          </a:r>
        </a:p>
        <a:p>
          <a:pPr eaLnBrk="1" fontAlgn="auto" latinLnBrk="0" hangingPunct="1"/>
          <a:endParaRPr lang="es-ES" sz="1400">
            <a:effectLst/>
          </a:endParaRPr>
        </a:p>
        <a:p>
          <a:pPr eaLnBrk="1" fontAlgn="auto" latinLnBrk="0" hangingPunct="1"/>
          <a:r>
            <a:rPr lang="es-DO" sz="1400" b="0" i="0" baseline="0">
              <a:solidFill>
                <a:schemeClr val="dk1"/>
              </a:solidFill>
              <a:effectLst/>
              <a:latin typeface="+mn-lt"/>
              <a:ea typeface="+mn-ea"/>
              <a:cs typeface="+mn-cs"/>
            </a:rPr>
            <a:t>Al finalizar el mes de noviembre de 2015, el 1.41% de los cotizantes eran menores de 19 años:  estando la mayor agrupación de cotizantes entre las edades de 20 a 49 años que representan el 78.25%;  el 13.15% corresponde al grupo etario de las edades de 50 a 59 años y un aspecto a destacar es que el 7.20% de los cotizantes tienen más de 60 años. Con relación al sexo se tiene el 55.1% son masculinos y el 44.9%  femeninos. </a:t>
          </a:r>
        </a:p>
        <a:p>
          <a:pPr eaLnBrk="1" fontAlgn="auto" latinLnBrk="0" hangingPunct="1"/>
          <a:endParaRPr lang="es-DO" sz="1400" b="0" i="0" baseline="0">
            <a:solidFill>
              <a:schemeClr val="dk1"/>
            </a:solidFill>
            <a:effectLst/>
            <a:latin typeface="+mn-lt"/>
            <a:ea typeface="+mn-ea"/>
            <a:cs typeface="+mn-cs"/>
          </a:endParaRPr>
        </a:p>
        <a:p>
          <a:pPr eaLnBrk="1" fontAlgn="auto" latinLnBrk="0" hangingPunct="1"/>
          <a:r>
            <a:rPr lang="es-DO" sz="1400" b="0" i="0" baseline="0">
              <a:solidFill>
                <a:schemeClr val="dk1"/>
              </a:solidFill>
              <a:effectLst/>
              <a:latin typeface="+mn-lt"/>
              <a:ea typeface="+mn-ea"/>
              <a:cs typeface="+mn-cs"/>
            </a:rPr>
            <a:t>El  70.8% de los cotizantes del sistema están dentro del rango de salario mínimos cotizables de 0-2 salarios;  el 24.4% entre 2-6 salarios mínimos y el 4.8% más de 6 salarios mínimos. </a:t>
          </a:r>
        </a:p>
        <a:p>
          <a:pPr eaLnBrk="1" fontAlgn="auto" latinLnBrk="0" hangingPunct="1"/>
          <a:endParaRPr lang="es-ES" sz="1400">
            <a:effectLst/>
          </a:endParaRPr>
        </a:p>
        <a:p>
          <a:pPr eaLnBrk="1" fontAlgn="auto" latinLnBrk="0" hangingPunct="1"/>
          <a:r>
            <a:rPr lang="es-DO" sz="1400" b="0" i="0" baseline="0">
              <a:solidFill>
                <a:schemeClr val="dk1"/>
              </a:solidFill>
              <a:effectLst/>
              <a:latin typeface="+mn-lt"/>
              <a:ea typeface="+mn-ea"/>
              <a:cs typeface="+mn-cs"/>
            </a:rPr>
            <a:t>De las cinco (5) Administradoras de Fondos de Pensiones, el 58.34% de los cotizantes están afiliados a dos AFP's;  Popular con un 29.8% y Scotia Crecer con un 28.5%.  En el Sistema de Reparto cotizan alrededor de un 8.4% (5.9% en Reparto Individualizado y 2.5% en el Ministerio de Hacienda). </a:t>
          </a:r>
        </a:p>
        <a:p>
          <a:pPr eaLnBrk="1" fontAlgn="auto" latinLnBrk="0" hangingPunct="1"/>
          <a:endParaRPr lang="es-ES" sz="1400">
            <a:effectLst/>
          </a:endParaRPr>
        </a:p>
        <a:p>
          <a:pPr eaLnBrk="1" fontAlgn="auto" latinLnBrk="0" hangingPunct="1"/>
          <a:r>
            <a:rPr lang="es-DO" sz="1400" b="0" i="0" baseline="0">
              <a:solidFill>
                <a:schemeClr val="dk1"/>
              </a:solidFill>
              <a:effectLst/>
              <a:latin typeface="+mn-lt"/>
              <a:ea typeface="+mn-ea"/>
              <a:cs typeface="+mn-cs"/>
            </a:rPr>
            <a:t>Desde el año 2005 hasta noviembre 2015 se efectuaron un total de traspasos de afiliados de 143,650, de los cuales 43,568 corresponden a  los traspasos de los docentes de la Secretaría de Estado de Educación afiliados a las AFP’s, al Instituto Nacional de Bienestar Magisterial (INABIMA).  Entre el enero 2005 al mes de noviembre 2015, las AFP cedieron 51,892 traspasos de afiliados, observándose que  se distribuyeron en las siguientes entidades de reparto: Ministerio de Hacienda e INABIMA. </a:t>
          </a:r>
          <a:endParaRPr lang="es-ES" sz="1400">
            <a:effectLst/>
          </a:endParaRPr>
        </a:p>
        <a:p>
          <a:pPr eaLnBrk="1" fontAlgn="auto" latinLnBrk="0" hangingPunct="1"/>
          <a:r>
            <a:rPr lang="es-DO" sz="1400" b="0" i="0" baseline="0">
              <a:solidFill>
                <a:schemeClr val="dk1"/>
              </a:solidFill>
              <a:effectLst/>
              <a:latin typeface="+mn-lt"/>
              <a:ea typeface="+mn-ea"/>
              <a:cs typeface="+mn-cs"/>
            </a:rPr>
            <a:t> </a:t>
          </a:r>
          <a:endParaRPr lang="es-ES" sz="1400">
            <a:effectLst/>
          </a:endParaRPr>
        </a:p>
        <a:p>
          <a:pPr eaLnBrk="1" fontAlgn="auto" latinLnBrk="0" hangingPunct="1"/>
          <a:r>
            <a:rPr lang="es-DO" sz="1400" b="0" i="0" baseline="0">
              <a:solidFill>
                <a:sysClr val="windowText" lastClr="000000"/>
              </a:solidFill>
              <a:effectLst/>
              <a:latin typeface="+mn-lt"/>
              <a:ea typeface="+mn-ea"/>
              <a:cs typeface="+mn-cs"/>
            </a:rPr>
            <a:t>Al evaluar la distribución geográfica de los afiliados al Sistema de Capitalización Individual, </a:t>
          </a:r>
          <a:r>
            <a:rPr lang="es-DO" sz="1400" b="0" i="0" u="none" baseline="0">
              <a:solidFill>
                <a:sysClr val="windowText" lastClr="000000"/>
              </a:solidFill>
              <a:effectLst/>
              <a:latin typeface="+mn-lt"/>
              <a:ea typeface="+mn-ea"/>
              <a:cs typeface="+mn-cs"/>
            </a:rPr>
            <a:t>al mes de septiembre 2015</a:t>
          </a:r>
          <a:r>
            <a:rPr lang="es-DO" sz="1400" b="0" i="0" baseline="0">
              <a:solidFill>
                <a:sysClr val="windowText" lastClr="000000"/>
              </a:solidFill>
              <a:effectLst/>
              <a:latin typeface="+mn-lt"/>
              <a:ea typeface="+mn-ea"/>
              <a:cs typeface="+mn-cs"/>
            </a:rPr>
            <a:t>, se observa una mayor concentración de los trabajadores en el Distrito Nacional, con un 21.5% del total de afiliados a nivel nacional, seguido por la provincia de Santo Domingo, con un 14.3% y la provincia de Santiago con un 11.0%, el resto de las provincias del país presentan una participación de   menor al 4.2%  del total de la afiliación nacional cada una.</a:t>
          </a:r>
          <a:endParaRPr lang="es-ES" sz="1400">
            <a:solidFill>
              <a:sysClr val="windowText" lastClr="000000"/>
            </a:solidFill>
            <a:effectLst/>
          </a:endParaRPr>
        </a:p>
      </xdr:txBody>
    </xdr:sp>
    <xdr:clientData/>
  </xdr:twoCellAnchor>
  <xdr:twoCellAnchor>
    <xdr:from>
      <xdr:col>0</xdr:col>
      <xdr:colOff>0</xdr:colOff>
      <xdr:row>0</xdr:row>
      <xdr:rowOff>0</xdr:rowOff>
    </xdr:from>
    <xdr:to>
      <xdr:col>12</xdr:col>
      <xdr:colOff>748393</xdr:colOff>
      <xdr:row>4</xdr:row>
      <xdr:rowOff>0</xdr:rowOff>
    </xdr:to>
    <xdr:sp macro="" textlink="">
      <xdr:nvSpPr>
        <xdr:cNvPr id="3" name="2 Rectángulo redondeado"/>
        <xdr:cNvSpPr/>
      </xdr:nvSpPr>
      <xdr:spPr>
        <a:xfrm>
          <a:off x="0" y="0"/>
          <a:ext cx="10380306" cy="77755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baseline="0">
              <a:solidFill>
                <a:schemeClr val="lt1"/>
              </a:solidFill>
              <a:effectLst/>
              <a:latin typeface="+mn-lt"/>
              <a:ea typeface="+mn-ea"/>
              <a:cs typeface="+mn-cs"/>
            </a:rPr>
            <a:t>Sistema Dominicano de Seguridad Social (SDSS)</a:t>
          </a:r>
          <a:endParaRPr lang="es-DO" sz="1600" b="1" i="0">
            <a:solidFill>
              <a:schemeClr val="lt1"/>
            </a:solidFill>
            <a:effectLst/>
            <a:latin typeface="+mn-lt"/>
            <a:ea typeface="+mn-ea"/>
            <a:cs typeface="+mn-cs"/>
          </a:endParaRPr>
        </a:p>
        <a:p>
          <a:pPr algn="ctr"/>
          <a:r>
            <a:rPr lang="es-DO" sz="1600" b="1">
              <a:solidFill>
                <a:schemeClr val="lt1"/>
              </a:solidFill>
              <a:effectLst/>
              <a:latin typeface="+mn-lt"/>
              <a:ea typeface="+mn-ea"/>
              <a:cs typeface="+mn-cs"/>
            </a:rPr>
            <a:t>Afiliación al Seguro de Vejez, Discapacidad y Sobrevivencia</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(SVDS)</a:t>
          </a:r>
          <a:endParaRPr lang="es-DO" sz="1600">
            <a:effectLst/>
          </a:endParaRPr>
        </a:p>
      </xdr:txBody>
    </xdr:sp>
    <xdr:clientData/>
  </xdr:twoCellAnchor>
  <xdr:twoCellAnchor editAs="oneCell">
    <xdr:from>
      <xdr:col>0</xdr:col>
      <xdr:colOff>355614</xdr:colOff>
      <xdr:row>0</xdr:row>
      <xdr:rowOff>111537</xdr:rowOff>
    </xdr:from>
    <xdr:to>
      <xdr:col>1</xdr:col>
      <xdr:colOff>318760</xdr:colOff>
      <xdr:row>2</xdr:row>
      <xdr:rowOff>184669</xdr:rowOff>
    </xdr:to>
    <xdr:pic>
      <xdr:nvPicPr>
        <xdr:cNvPr id="4" name="1 Imagen" descr="Logo_2x4.bmp">
          <a:hlinkClick xmlns:r="http://schemas.openxmlformats.org/officeDocument/2006/relationships" r:id="rId1"/>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355614" y="111537"/>
          <a:ext cx="721258" cy="46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7.xml><?xml version="1.0" encoding="utf-8"?>
<xdr:wsDr xmlns:xdr="http://schemas.openxmlformats.org/drawingml/2006/spreadsheetDrawing" xmlns:a="http://schemas.openxmlformats.org/drawingml/2006/main">
  <xdr:oneCellAnchor>
    <xdr:from>
      <xdr:col>1</xdr:col>
      <xdr:colOff>752475</xdr:colOff>
      <xdr:row>0</xdr:row>
      <xdr:rowOff>0</xdr:rowOff>
    </xdr:from>
    <xdr:ext cx="1029471" cy="87442"/>
    <xdr:pic>
      <xdr:nvPicPr>
        <xdr:cNvPr id="2"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514475" y="0"/>
          <a:ext cx="1029471" cy="87442"/>
        </a:xfrm>
        <a:prstGeom prst="rect">
          <a:avLst/>
        </a:prstGeom>
        <a:ln>
          <a:noFill/>
        </a:ln>
        <a:effectLst>
          <a:softEdge rad="112500"/>
        </a:effectLst>
      </xdr:spPr>
    </xdr:pic>
    <xdr:clientData/>
  </xdr:oneCellAnchor>
  <xdr:oneCellAnchor>
    <xdr:from>
      <xdr:col>1</xdr:col>
      <xdr:colOff>752475</xdr:colOff>
      <xdr:row>0</xdr:row>
      <xdr:rowOff>38100</xdr:rowOff>
    </xdr:from>
    <xdr:ext cx="1029471" cy="87442"/>
    <xdr:pic>
      <xdr:nvPicPr>
        <xdr:cNvPr id="3"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514475" y="38100"/>
          <a:ext cx="1029471" cy="87442"/>
        </a:xfrm>
        <a:prstGeom prst="rect">
          <a:avLst/>
        </a:prstGeom>
        <a:ln>
          <a:noFill/>
        </a:ln>
        <a:effectLst>
          <a:softEdge rad="112500"/>
        </a:effectLst>
      </xdr:spPr>
    </xdr:pic>
    <xdr:clientData/>
  </xdr:oneCellAnchor>
  <xdr:twoCellAnchor>
    <xdr:from>
      <xdr:col>0</xdr:col>
      <xdr:colOff>0</xdr:colOff>
      <xdr:row>17</xdr:row>
      <xdr:rowOff>88847</xdr:rowOff>
    </xdr:from>
    <xdr:to>
      <xdr:col>13</xdr:col>
      <xdr:colOff>421821</xdr:colOff>
      <xdr:row>49</xdr:row>
      <xdr:rowOff>136069</xdr:rowOff>
    </xdr:to>
    <xdr:graphicFrame macro="">
      <xdr:nvGraphicFramePr>
        <xdr:cNvPr id="5"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1</xdr:rowOff>
    </xdr:from>
    <xdr:to>
      <xdr:col>13</xdr:col>
      <xdr:colOff>795617</xdr:colOff>
      <xdr:row>0</xdr:row>
      <xdr:rowOff>941295</xdr:rowOff>
    </xdr:to>
    <xdr:sp macro="" textlink="">
      <xdr:nvSpPr>
        <xdr:cNvPr id="6" name="5 Rectángulo redondeado"/>
        <xdr:cNvSpPr/>
      </xdr:nvSpPr>
      <xdr:spPr>
        <a:xfrm>
          <a:off x="0" y="1"/>
          <a:ext cx="12550588" cy="94129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de Vejez, Discapacidad y Sobrevivencia (SVDS)</a:t>
          </a:r>
        </a:p>
        <a:p>
          <a:pPr algn="ctr" eaLnBrk="1" fontAlgn="auto" latinLnBrk="0" hangingPunct="1"/>
          <a:r>
            <a:rPr lang="es-DO" sz="1600" b="1">
              <a:solidFill>
                <a:schemeClr val="lt1"/>
              </a:solidFill>
              <a:effectLst/>
              <a:latin typeface="+mn-lt"/>
              <a:ea typeface="+mn-ea"/>
              <a:cs typeface="+mn-cs"/>
            </a:rPr>
            <a:t>Cantidad</a:t>
          </a:r>
          <a:r>
            <a:rPr lang="es-DO" sz="1600" b="1" baseline="0">
              <a:solidFill>
                <a:schemeClr val="lt1"/>
              </a:solidFill>
              <a:effectLst/>
              <a:latin typeface="+mn-lt"/>
              <a:ea typeface="+mn-ea"/>
              <a:cs typeface="+mn-cs"/>
            </a:rPr>
            <a:t> de </a:t>
          </a:r>
          <a:r>
            <a:rPr lang="es-DO" sz="1600" b="1">
              <a:solidFill>
                <a:schemeClr val="lt1"/>
              </a:solidFill>
              <a:effectLst/>
              <a:latin typeface="+mn-lt"/>
              <a:ea typeface="+mn-ea"/>
              <a:cs typeface="+mn-cs"/>
            </a:rPr>
            <a:t>Afiliados y Cotizantes  Anual al SVDS del RC</a:t>
          </a:r>
        </a:p>
        <a:p>
          <a:pPr algn="ctr" eaLnBrk="1" fontAlgn="auto" latinLnBrk="0" hangingPunct="1"/>
          <a:r>
            <a:rPr lang="es-DO" sz="1600" b="1">
              <a:solidFill>
                <a:schemeClr val="lt1"/>
              </a:solidFill>
              <a:effectLst/>
              <a:latin typeface="+mn-lt"/>
              <a:ea typeface="+mn-ea"/>
              <a:cs typeface="+mn-cs"/>
            </a:rPr>
            <a:t>Período: 2003 - Noviembre 2015</a:t>
          </a:r>
          <a:endParaRPr lang="es-DO" sz="3600">
            <a:effectLst/>
          </a:endParaRPr>
        </a:p>
      </xdr:txBody>
    </xdr:sp>
    <xdr:clientData/>
  </xdr:twoCellAnchor>
  <xdr:oneCellAnchor>
    <xdr:from>
      <xdr:col>0</xdr:col>
      <xdr:colOff>795618</xdr:colOff>
      <xdr:row>0</xdr:row>
      <xdr:rowOff>201706</xdr:rowOff>
    </xdr:from>
    <xdr:ext cx="731336" cy="537882"/>
    <xdr:pic>
      <xdr:nvPicPr>
        <xdr:cNvPr id="7" name="6 Imagen" descr="Logo_2x4.bmp">
          <a:hlinkClick xmlns:r="http://schemas.openxmlformats.org/officeDocument/2006/relationships" r:id="rId4"/>
        </xdr:cNvPr>
        <xdr:cNvPicPr>
          <a:picLocks noChangeAspect="1"/>
        </xdr:cNvPicPr>
      </xdr:nvPicPr>
      <xdr:blipFill>
        <a:blip xmlns:r="http://schemas.openxmlformats.org/officeDocument/2006/relationships" r:embed="rId2"/>
        <a:stretch>
          <a:fillRect/>
        </a:stretch>
      </xdr:blipFill>
      <xdr:spPr>
        <a:xfrm>
          <a:off x="795618" y="201706"/>
          <a:ext cx="731336" cy="537882"/>
        </a:xfrm>
        <a:prstGeom prst="rect">
          <a:avLst/>
        </a:prstGeom>
        <a:ln>
          <a:noFill/>
        </a:ln>
        <a:effectLst>
          <a:outerShdw blurRad="190500" algn="tl" rotWithShape="0">
            <a:srgbClr val="000000">
              <a:alpha val="70000"/>
            </a:srgbClr>
          </a:outerShdw>
        </a:effectLst>
      </xdr:spPr>
    </xdr:pic>
    <xdr:clientData/>
  </xdr:oneCellAnchor>
</xdr:wsDr>
</file>

<file path=xl/drawings/drawing58.xml><?xml version="1.0" encoding="utf-8"?>
<xdr:wsDr xmlns:xdr="http://schemas.openxmlformats.org/drawingml/2006/spreadsheetDrawing" xmlns:a="http://schemas.openxmlformats.org/drawingml/2006/main">
  <xdr:oneCellAnchor>
    <xdr:from>
      <xdr:col>12</xdr:col>
      <xdr:colOff>0</xdr:colOff>
      <xdr:row>3</xdr:row>
      <xdr:rowOff>0</xdr:rowOff>
    </xdr:from>
    <xdr:ext cx="9525" cy="9525"/>
    <xdr:pic>
      <xdr:nvPicPr>
        <xdr:cNvPr id="4" name="3 Imagen" descr="https://www.skymall.com/images/shop/borders/spac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144000" y="5715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0</xdr:col>
      <xdr:colOff>0</xdr:colOff>
      <xdr:row>17</xdr:row>
      <xdr:rowOff>15876</xdr:rowOff>
    </xdr:from>
    <xdr:to>
      <xdr:col>13</xdr:col>
      <xdr:colOff>1317625</xdr:colOff>
      <xdr:row>55</xdr:row>
      <xdr:rowOff>15876</xdr:rowOff>
    </xdr:to>
    <xdr:graphicFrame macro="">
      <xdr:nvGraphicFramePr>
        <xdr:cNvPr id="5"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397288</xdr:colOff>
      <xdr:row>52</xdr:row>
      <xdr:rowOff>131535</xdr:rowOff>
    </xdr:from>
    <xdr:to>
      <xdr:col>5</xdr:col>
      <xdr:colOff>696645</xdr:colOff>
      <xdr:row>54</xdr:row>
      <xdr:rowOff>77107</xdr:rowOff>
    </xdr:to>
    <xdr:sp macro="" textlink="">
      <xdr:nvSpPr>
        <xdr:cNvPr id="6" name="5 CuadroTexto"/>
        <xdr:cNvSpPr txBox="1"/>
      </xdr:nvSpPr>
      <xdr:spPr>
        <a:xfrm>
          <a:off x="397288" y="12339410"/>
          <a:ext cx="6109607" cy="326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400" b="1"/>
            <a:t>Fuente:</a:t>
          </a:r>
          <a:r>
            <a:rPr lang="es-DO" sz="1400" b="1" baseline="0"/>
            <a:t> </a:t>
          </a:r>
          <a:r>
            <a:rPr lang="es-DO" sz="1400" baseline="0"/>
            <a:t>SIPEN</a:t>
          </a:r>
          <a:endParaRPr lang="es-DO" sz="1400"/>
        </a:p>
      </xdr:txBody>
    </xdr:sp>
    <xdr:clientData/>
  </xdr:twoCellAnchor>
  <xdr:twoCellAnchor>
    <xdr:from>
      <xdr:col>0</xdr:col>
      <xdr:colOff>0</xdr:colOff>
      <xdr:row>0</xdr:row>
      <xdr:rowOff>0</xdr:rowOff>
    </xdr:from>
    <xdr:to>
      <xdr:col>14</xdr:col>
      <xdr:colOff>0</xdr:colOff>
      <xdr:row>1</xdr:row>
      <xdr:rowOff>222249</xdr:rowOff>
    </xdr:to>
    <xdr:sp macro="" textlink="">
      <xdr:nvSpPr>
        <xdr:cNvPr id="8" name="7 Rectángulo redondeado"/>
        <xdr:cNvSpPr/>
      </xdr:nvSpPr>
      <xdr:spPr>
        <a:xfrm>
          <a:off x="0" y="0"/>
          <a:ext cx="16541750" cy="115887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eaLnBrk="1" fontAlgn="auto" latinLnBrk="0" hangingPunct="1"/>
          <a:r>
            <a:rPr lang="es-DO" sz="2000" b="1">
              <a:solidFill>
                <a:schemeClr val="lt1"/>
              </a:solidFill>
              <a:effectLst/>
              <a:latin typeface="+mn-lt"/>
              <a:ea typeface="+mn-ea"/>
              <a:cs typeface="+mn-cs"/>
            </a:rPr>
            <a:t>Seguro de Vejez, Discapacidad y Sobrevivencia (SVDS)</a:t>
          </a:r>
        </a:p>
        <a:p>
          <a:pPr algn="ctr" eaLnBrk="1" fontAlgn="auto" latinLnBrk="0" hangingPunct="1"/>
          <a:r>
            <a:rPr lang="es-DO" sz="2000" b="1">
              <a:solidFill>
                <a:schemeClr val="lt1"/>
              </a:solidFill>
              <a:effectLst/>
              <a:latin typeface="+mn-lt"/>
              <a:ea typeface="+mn-ea"/>
              <a:cs typeface="+mn-cs"/>
            </a:rPr>
            <a:t>Afiliación Mensual al SVDS del RC</a:t>
          </a:r>
        </a:p>
        <a:p>
          <a:pPr algn="ctr" eaLnBrk="1" fontAlgn="auto" latinLnBrk="0" hangingPunct="1"/>
          <a:r>
            <a:rPr lang="es-DO" sz="2000" b="1">
              <a:solidFill>
                <a:schemeClr val="lt1"/>
              </a:solidFill>
              <a:effectLst/>
              <a:latin typeface="+mn-lt"/>
              <a:ea typeface="+mn-ea"/>
              <a:cs typeface="+mn-cs"/>
            </a:rPr>
            <a:t>Período: </a:t>
          </a:r>
          <a:r>
            <a:rPr lang="es-DO" sz="2000" b="1" baseline="0">
              <a:solidFill>
                <a:schemeClr val="lt1"/>
              </a:solidFill>
              <a:effectLst/>
              <a:latin typeface="+mn-lt"/>
              <a:ea typeface="+mn-ea"/>
              <a:cs typeface="+mn-cs"/>
            </a:rPr>
            <a:t>Noviembre </a:t>
          </a:r>
          <a:r>
            <a:rPr lang="es-DO" sz="2000" b="1">
              <a:solidFill>
                <a:schemeClr val="lt1"/>
              </a:solidFill>
              <a:effectLst/>
              <a:latin typeface="+mn-lt"/>
              <a:ea typeface="+mn-ea"/>
              <a:cs typeface="+mn-cs"/>
            </a:rPr>
            <a:t>2014 -  Noviembre</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2015</a:t>
          </a:r>
          <a:endParaRPr lang="es-DO" sz="2000">
            <a:effectLst/>
          </a:endParaRPr>
        </a:p>
      </xdr:txBody>
    </xdr:sp>
    <xdr:clientData/>
  </xdr:twoCellAnchor>
  <xdr:twoCellAnchor editAs="oneCell">
    <xdr:from>
      <xdr:col>0</xdr:col>
      <xdr:colOff>492125</xdr:colOff>
      <xdr:row>0</xdr:row>
      <xdr:rowOff>179779</xdr:rowOff>
    </xdr:from>
    <xdr:to>
      <xdr:col>1</xdr:col>
      <xdr:colOff>475066</xdr:colOff>
      <xdr:row>0</xdr:row>
      <xdr:rowOff>920750</xdr:rowOff>
    </xdr:to>
    <xdr:pic>
      <xdr:nvPicPr>
        <xdr:cNvPr id="2" name="1 Imagen">
          <a:hlinkClick xmlns:r="http://schemas.openxmlformats.org/officeDocument/2006/relationships" r:id="rId3"/>
        </xdr:cNvPr>
        <xdr:cNvPicPr>
          <a:picLocks noChangeAspect="1"/>
        </xdr:cNvPicPr>
      </xdr:nvPicPr>
      <xdr:blipFill>
        <a:blip xmlns:r="http://schemas.openxmlformats.org/officeDocument/2006/relationships" r:embed="rId4"/>
        <a:stretch>
          <a:fillRect/>
        </a:stretch>
      </xdr:blipFill>
      <xdr:spPr>
        <a:xfrm>
          <a:off x="492125" y="179779"/>
          <a:ext cx="1046566" cy="740971"/>
        </a:xfrm>
        <a:prstGeom prst="rect">
          <a:avLst/>
        </a:prstGeom>
      </xdr:spPr>
    </xdr:pic>
    <xdr:clientData/>
  </xdr:twoCellAnchor>
</xdr:wsDr>
</file>

<file path=xl/drawings/drawing59.xml><?xml version="1.0" encoding="utf-8"?>
<c:userShapes xmlns:c="http://schemas.openxmlformats.org/drawingml/2006/chart">
  <cdr:relSizeAnchor xmlns:cdr="http://schemas.openxmlformats.org/drawingml/2006/chartDrawing">
    <cdr:from>
      <cdr:x>0.28073</cdr:x>
      <cdr:y>0.02118</cdr:y>
    </cdr:from>
    <cdr:to>
      <cdr:x>0.68444</cdr:x>
      <cdr:y>0.06876</cdr:y>
    </cdr:to>
    <cdr:sp macro="" textlink="">
      <cdr:nvSpPr>
        <cdr:cNvPr id="2" name="6 CuadroTexto"/>
        <cdr:cNvSpPr txBox="1"/>
      </cdr:nvSpPr>
      <cdr:spPr>
        <a:xfrm xmlns:a="http://schemas.openxmlformats.org/drawingml/2006/main">
          <a:off x="4670425" y="161925"/>
          <a:ext cx="6716569" cy="36368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s-DO" sz="2800" b="1"/>
            <a:t>Afiliación Mensual al SVDS del RC</a:t>
          </a:r>
        </a:p>
      </cdr:txBody>
    </cdr:sp>
  </cdr:relSizeAnchor>
</c:userShapes>
</file>

<file path=xl/drawings/drawing6.xml><?xml version="1.0" encoding="utf-8"?>
<xdr:wsDr xmlns:xdr="http://schemas.openxmlformats.org/drawingml/2006/spreadsheetDrawing" xmlns:a="http://schemas.openxmlformats.org/drawingml/2006/main">
  <xdr:twoCellAnchor editAs="oneCell">
    <xdr:from>
      <xdr:col>1</xdr:col>
      <xdr:colOff>449036</xdr:colOff>
      <xdr:row>5</xdr:row>
      <xdr:rowOff>102517</xdr:rowOff>
    </xdr:from>
    <xdr:to>
      <xdr:col>10</xdr:col>
      <xdr:colOff>693965</xdr:colOff>
      <xdr:row>43</xdr:row>
      <xdr:rowOff>160897</xdr:rowOff>
    </xdr:to>
    <xdr:pic>
      <xdr:nvPicPr>
        <xdr:cNvPr id="25" name="24 Imagen"/>
        <xdr:cNvPicPr>
          <a:picLocks noChangeAspect="1"/>
        </xdr:cNvPicPr>
      </xdr:nvPicPr>
      <xdr:blipFill>
        <a:blip xmlns:r="http://schemas.openxmlformats.org/officeDocument/2006/relationships" r:embed="rId1"/>
        <a:stretch>
          <a:fillRect/>
        </a:stretch>
      </xdr:blipFill>
      <xdr:spPr>
        <a:xfrm>
          <a:off x="1211036" y="1055017"/>
          <a:ext cx="7239000" cy="7297380"/>
        </a:xfrm>
        <a:prstGeom prst="rect">
          <a:avLst/>
        </a:prstGeom>
      </xdr:spPr>
    </xdr:pic>
    <xdr:clientData/>
  </xdr:twoCellAnchor>
  <xdr:twoCellAnchor>
    <xdr:from>
      <xdr:col>0</xdr:col>
      <xdr:colOff>1</xdr:colOff>
      <xdr:row>0</xdr:row>
      <xdr:rowOff>0</xdr:rowOff>
    </xdr:from>
    <xdr:to>
      <xdr:col>12</xdr:col>
      <xdr:colOff>728381</xdr:colOff>
      <xdr:row>44</xdr:row>
      <xdr:rowOff>179294</xdr:rowOff>
    </xdr:to>
    <xdr:sp macro="" textlink="">
      <xdr:nvSpPr>
        <xdr:cNvPr id="2" name="1 CuadroTexto"/>
        <xdr:cNvSpPr txBox="1"/>
      </xdr:nvSpPr>
      <xdr:spPr>
        <a:xfrm>
          <a:off x="1" y="0"/>
          <a:ext cx="10005730" cy="8561294"/>
        </a:xfrm>
        <a:prstGeom prst="rect">
          <a:avLst/>
        </a:prstGeom>
        <a:noFill/>
        <a:ln w="9525" cmpd="sng">
          <a:noFill/>
        </a:ln>
        <a:effectLst>
          <a:softEdge rad="1270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chemeClr val="accent3">
                <a:lumMod val="50000"/>
              </a:schemeClr>
            </a:solidFill>
          </a:endParaRPr>
        </a:p>
      </xdr:txBody>
    </xdr:sp>
    <xdr:clientData/>
  </xdr:twoCellAnchor>
  <xdr:twoCellAnchor>
    <xdr:from>
      <xdr:col>0</xdr:col>
      <xdr:colOff>1</xdr:colOff>
      <xdr:row>0</xdr:row>
      <xdr:rowOff>0</xdr:rowOff>
    </xdr:from>
    <xdr:to>
      <xdr:col>0</xdr:col>
      <xdr:colOff>403412</xdr:colOff>
      <xdr:row>0</xdr:row>
      <xdr:rowOff>6723</xdr:rowOff>
    </xdr:to>
    <xdr:cxnSp macro="">
      <xdr:nvCxnSpPr>
        <xdr:cNvPr id="24" name="23 Conector recto"/>
        <xdr:cNvCxnSpPr/>
      </xdr:nvCxnSpPr>
      <xdr:spPr>
        <a:xfrm>
          <a:off x="1" y="0"/>
          <a:ext cx="403411" cy="6723"/>
        </a:xfrm>
        <a:prstGeom prst="line">
          <a:avLst/>
        </a:prstGeom>
        <a:ln w="28575"/>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36899</xdr:colOff>
      <xdr:row>6</xdr:row>
      <xdr:rowOff>151992</xdr:rowOff>
    </xdr:from>
    <xdr:to>
      <xdr:col>12</xdr:col>
      <xdr:colOff>653143</xdr:colOff>
      <xdr:row>42</xdr:row>
      <xdr:rowOff>121665</xdr:rowOff>
    </xdr:to>
    <xdr:grpSp>
      <xdr:nvGrpSpPr>
        <xdr:cNvPr id="4" name="3 Grupo"/>
        <xdr:cNvGrpSpPr/>
      </xdr:nvGrpSpPr>
      <xdr:grpSpPr>
        <a:xfrm>
          <a:off x="40363" y="1250459"/>
          <a:ext cx="10562199" cy="6596970"/>
          <a:chOff x="281828" y="1621563"/>
          <a:chExt cx="9725355" cy="6827673"/>
        </a:xfrm>
      </xdr:grpSpPr>
      <xdr:sp macro="" textlink="">
        <xdr:nvSpPr>
          <xdr:cNvPr id="27" name="26 Hexágono"/>
          <xdr:cNvSpPr/>
        </xdr:nvSpPr>
        <xdr:spPr>
          <a:xfrm>
            <a:off x="2848809" y="2185147"/>
            <a:ext cx="4299630" cy="3339354"/>
          </a:xfrm>
          <a:prstGeom prst="hexagon">
            <a:avLst/>
          </a:prstGeom>
          <a:ln>
            <a:noFill/>
          </a:ln>
          <a:effectLst/>
          <a:scene3d>
            <a:camera prst="orthographicFront">
              <a:rot lat="0" lon="0" rev="0"/>
            </a:camera>
            <a:lightRig rig="glow" dir="t">
              <a:rot lat="0" lon="0" rev="14100000"/>
            </a:lightRig>
          </a:scene3d>
          <a:sp3d prstMaterial="softEdge">
            <a:bevelT w="127000" prst="artDeco"/>
          </a:sp3d>
        </xdr:spPr>
        <xdr:style>
          <a:lnRef idx="3">
            <a:schemeClr val="lt1"/>
          </a:lnRef>
          <a:fillRef idx="1">
            <a:schemeClr val="accent6"/>
          </a:fillRef>
          <a:effectRef idx="1">
            <a:schemeClr val="accent6"/>
          </a:effectRef>
          <a:fontRef idx="minor">
            <a:schemeClr val="lt1"/>
          </a:fontRef>
        </xdr:style>
        <xdr:txBody>
          <a:bodyPr vertOverflow="clip" horzOverflow="clip" rtlCol="0" anchor="b"/>
          <a:lstStyle/>
          <a:p>
            <a:pPr algn="l"/>
            <a:r>
              <a:rPr lang="en-US" sz="2000" b="1">
                <a:solidFill>
                  <a:sysClr val="windowText" lastClr="000000"/>
                </a:solidFill>
              </a:rPr>
              <a:t>Seguro de Vejez,</a:t>
            </a:r>
            <a:r>
              <a:rPr lang="en-US" sz="2000" b="1" baseline="0">
                <a:solidFill>
                  <a:sysClr val="windowText" lastClr="000000"/>
                </a:solidFill>
              </a:rPr>
              <a:t> Discapacidad y Sobrevivencia (SVDS)</a:t>
            </a:r>
            <a:endParaRPr lang="en-US" sz="2000" b="1">
              <a:solidFill>
                <a:sysClr val="windowText" lastClr="000000"/>
              </a:solidFill>
            </a:endParaRPr>
          </a:p>
        </xdr:txBody>
      </xdr:sp>
      <xdr:sp macro="" textlink="">
        <xdr:nvSpPr>
          <xdr:cNvPr id="28" name="27 Hexágono"/>
          <xdr:cNvSpPr/>
        </xdr:nvSpPr>
        <xdr:spPr>
          <a:xfrm>
            <a:off x="5222789" y="4953000"/>
            <a:ext cx="4101258" cy="3496236"/>
          </a:xfrm>
          <a:prstGeom prst="hexagon">
            <a:avLst/>
          </a:prstGeom>
          <a:ln>
            <a:noFill/>
          </a:ln>
          <a:effectLst/>
          <a:scene3d>
            <a:camera prst="orthographicFront">
              <a:rot lat="0" lon="0" rev="0"/>
            </a:camera>
            <a:lightRig rig="glow" dir="t">
              <a:rot lat="0" lon="0" rev="14100000"/>
            </a:lightRig>
          </a:scene3d>
          <a:sp3d prstMaterial="softEdge">
            <a:bevelT w="127000" prst="artDeco"/>
          </a:sp3d>
        </xdr:spPr>
        <xdr:style>
          <a:lnRef idx="3">
            <a:schemeClr val="lt1"/>
          </a:lnRef>
          <a:fillRef idx="1">
            <a:schemeClr val="accent1"/>
          </a:fillRef>
          <a:effectRef idx="1">
            <a:schemeClr val="accent1"/>
          </a:effectRef>
          <a:fontRef idx="minor">
            <a:schemeClr val="lt1"/>
          </a:fontRef>
        </xdr:style>
        <xdr:txBody>
          <a:bodyPr vertOverflow="clip" horzOverflow="clip" rtlCol="0" anchor="b"/>
          <a:lstStyle/>
          <a:p>
            <a:pPr algn="l"/>
            <a:r>
              <a:rPr lang="en-US" sz="2000" b="1">
                <a:solidFill>
                  <a:sysClr val="windowText" lastClr="000000"/>
                </a:solidFill>
              </a:rPr>
              <a:t>Seguro de Riesgos Laborales (SRL)</a:t>
            </a:r>
          </a:p>
        </xdr:txBody>
      </xdr:sp>
      <xdr:sp macro="" textlink="">
        <xdr:nvSpPr>
          <xdr:cNvPr id="29" name="28 Hexágono"/>
          <xdr:cNvSpPr/>
        </xdr:nvSpPr>
        <xdr:spPr>
          <a:xfrm>
            <a:off x="1239896" y="5077866"/>
            <a:ext cx="4000500" cy="3260912"/>
          </a:xfrm>
          <a:prstGeom prst="hexagon">
            <a:avLst/>
          </a:prstGeom>
          <a:ln>
            <a:noFill/>
          </a:ln>
          <a:effectLst/>
          <a:scene3d>
            <a:camera prst="orthographicFront">
              <a:rot lat="0" lon="0" rev="0"/>
            </a:camera>
            <a:lightRig rig="glow" dir="t">
              <a:rot lat="0" lon="0" rev="14100000"/>
            </a:lightRig>
          </a:scene3d>
          <a:sp3d prstMaterial="softEdge">
            <a:bevelT w="127000" prst="artDeco"/>
          </a:sp3d>
        </xdr:spPr>
        <xdr:style>
          <a:lnRef idx="3">
            <a:schemeClr val="lt1"/>
          </a:lnRef>
          <a:fillRef idx="1">
            <a:schemeClr val="accent3"/>
          </a:fillRef>
          <a:effectRef idx="1">
            <a:schemeClr val="accent3"/>
          </a:effectRef>
          <a:fontRef idx="minor">
            <a:schemeClr val="lt1"/>
          </a:fontRef>
        </xdr:style>
        <xdr:txBody>
          <a:bodyPr vertOverflow="clip" horzOverflow="clip" rtlCol="0" anchor="b"/>
          <a:lstStyle/>
          <a:p>
            <a:pPr algn="r"/>
            <a:r>
              <a:rPr lang="en-US" sz="2000" b="1">
                <a:solidFill>
                  <a:sysClr val="windowText" lastClr="000000"/>
                </a:solidFill>
              </a:rPr>
              <a:t>Seguro Familiar de Salud (SFS)</a:t>
            </a:r>
          </a:p>
        </xdr:txBody>
      </xdr:sp>
      <xdr:sp macro="" textlink="">
        <xdr:nvSpPr>
          <xdr:cNvPr id="33" name="32 Elipse"/>
          <xdr:cNvSpPr/>
        </xdr:nvSpPr>
        <xdr:spPr>
          <a:xfrm rot="1481753">
            <a:off x="6008244" y="1621563"/>
            <a:ext cx="1904086" cy="914400"/>
          </a:xfrm>
          <a:prstGeom prst="ellipse">
            <a:avLst/>
          </a:prstGeom>
          <a:solidFill>
            <a:srgbClr val="92D05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200" b="1">
                <a:solidFill>
                  <a:sysClr val="windowText" lastClr="000000"/>
                </a:solidFill>
              </a:rPr>
              <a:t>Pensión por Vejez</a:t>
            </a:r>
          </a:p>
        </xdr:txBody>
      </xdr:sp>
      <xdr:sp macro="" textlink="">
        <xdr:nvSpPr>
          <xdr:cNvPr id="34" name="33 Elipse"/>
          <xdr:cNvSpPr/>
        </xdr:nvSpPr>
        <xdr:spPr>
          <a:xfrm rot="1546850">
            <a:off x="5754965" y="2081277"/>
            <a:ext cx="1921226" cy="829236"/>
          </a:xfrm>
          <a:prstGeom prst="ellipse">
            <a:avLst/>
          </a:prstGeom>
          <a:solidFill>
            <a:srgbClr val="92D05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n-US" sz="1200" b="1">
                <a:solidFill>
                  <a:sysClr val="windowText" lastClr="000000"/>
                </a:solidFill>
                <a:latin typeface="+mn-lt"/>
                <a:ea typeface="+mn-ea"/>
                <a:cs typeface="+mn-cs"/>
              </a:rPr>
              <a:t>Pensión por Discapacidad</a:t>
            </a:r>
          </a:p>
        </xdr:txBody>
      </xdr:sp>
      <xdr:sp macro="" textlink="">
        <xdr:nvSpPr>
          <xdr:cNvPr id="35" name="34 Elipse"/>
          <xdr:cNvSpPr/>
        </xdr:nvSpPr>
        <xdr:spPr>
          <a:xfrm rot="1481753">
            <a:off x="5472331" y="2598248"/>
            <a:ext cx="1938086" cy="914400"/>
          </a:xfrm>
          <a:prstGeom prst="ellipse">
            <a:avLst/>
          </a:prstGeom>
          <a:solidFill>
            <a:srgbClr val="92D05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200" b="1">
                <a:solidFill>
                  <a:sysClr val="windowText" lastClr="000000"/>
                </a:solidFill>
              </a:rPr>
              <a:t>Pensión por Sobrevivencia</a:t>
            </a:r>
          </a:p>
        </xdr:txBody>
      </xdr:sp>
      <xdr:sp macro="" textlink="">
        <xdr:nvSpPr>
          <xdr:cNvPr id="36" name="35 Elipse"/>
          <xdr:cNvSpPr/>
        </xdr:nvSpPr>
        <xdr:spPr>
          <a:xfrm rot="1481753">
            <a:off x="5146959" y="3138593"/>
            <a:ext cx="2005008" cy="954250"/>
          </a:xfrm>
          <a:prstGeom prst="ellipse">
            <a:avLst/>
          </a:prstGeom>
          <a:solidFill>
            <a:srgbClr val="92D05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200" b="1">
                <a:solidFill>
                  <a:sysClr val="windowText" lastClr="000000"/>
                </a:solidFill>
              </a:rPr>
              <a:t>Pensión por Cesantía por  Edad Avanzada</a:t>
            </a:r>
          </a:p>
        </xdr:txBody>
      </xdr:sp>
      <xdr:sp macro="" textlink="">
        <xdr:nvSpPr>
          <xdr:cNvPr id="37" name="36 Elipse"/>
          <xdr:cNvSpPr/>
        </xdr:nvSpPr>
        <xdr:spPr>
          <a:xfrm rot="1481753">
            <a:off x="7921287" y="3760737"/>
            <a:ext cx="2085896" cy="982747"/>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Atención Médica y Odontológica</a:t>
            </a:r>
          </a:p>
        </xdr:txBody>
      </xdr:sp>
      <xdr:sp macro="" textlink="">
        <xdr:nvSpPr>
          <xdr:cNvPr id="38" name="37 Elipse"/>
          <xdr:cNvSpPr/>
        </xdr:nvSpPr>
        <xdr:spPr>
          <a:xfrm rot="1481753">
            <a:off x="7592204" y="4321271"/>
            <a:ext cx="2163624" cy="982747"/>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Prótesis, Anteojos, Aparatos ortopédicos y su Reparación</a:t>
            </a:r>
          </a:p>
        </xdr:txBody>
      </xdr:sp>
      <xdr:sp macro="" textlink="">
        <xdr:nvSpPr>
          <xdr:cNvPr id="39" name="38 Elipse"/>
          <xdr:cNvSpPr/>
        </xdr:nvSpPr>
        <xdr:spPr>
          <a:xfrm rot="1481753">
            <a:off x="7179958" y="4972313"/>
            <a:ext cx="2109556" cy="982747"/>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Subsidio por Discapacidad Temporal</a:t>
            </a:r>
          </a:p>
        </xdr:txBody>
      </xdr:sp>
      <xdr:sp macro="" textlink="">
        <xdr:nvSpPr>
          <xdr:cNvPr id="40" name="39 Elipse"/>
          <xdr:cNvSpPr/>
        </xdr:nvSpPr>
        <xdr:spPr>
          <a:xfrm rot="1481753">
            <a:off x="6793797" y="5579204"/>
            <a:ext cx="2086136" cy="1079055"/>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Indemnización por Discapacidad</a:t>
            </a:r>
          </a:p>
        </xdr:txBody>
      </xdr:sp>
      <xdr:sp macro="" textlink="">
        <xdr:nvSpPr>
          <xdr:cNvPr id="41" name="40 Elipse"/>
          <xdr:cNvSpPr/>
        </xdr:nvSpPr>
        <xdr:spPr>
          <a:xfrm rot="1481753">
            <a:off x="6500765" y="6220401"/>
            <a:ext cx="2136696" cy="892113"/>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Pensión por Discapacidad</a:t>
            </a:r>
          </a:p>
        </xdr:txBody>
      </xdr:sp>
      <xdr:sp macro="" textlink="">
        <xdr:nvSpPr>
          <xdr:cNvPr id="42" name="41 Elipse"/>
          <xdr:cNvSpPr/>
        </xdr:nvSpPr>
        <xdr:spPr>
          <a:xfrm rot="19638303">
            <a:off x="281828" y="4668313"/>
            <a:ext cx="2382144" cy="982747"/>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ctr"/>
            <a:r>
              <a:rPr lang="en-US" sz="1200" b="1">
                <a:solidFill>
                  <a:sysClr val="windowText" lastClr="000000"/>
                </a:solidFill>
              </a:rPr>
              <a:t>Cuidado de la Salud de las Personas</a:t>
            </a:r>
          </a:p>
        </xdr:txBody>
      </xdr:sp>
      <xdr:sp macro="" textlink="">
        <xdr:nvSpPr>
          <xdr:cNvPr id="43" name="42 Elipse"/>
          <xdr:cNvSpPr/>
        </xdr:nvSpPr>
        <xdr:spPr>
          <a:xfrm rot="19638303">
            <a:off x="674825" y="5243337"/>
            <a:ext cx="2381186" cy="1059873"/>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ctr"/>
            <a:r>
              <a:rPr lang="en-US" sz="1200" b="1">
                <a:solidFill>
                  <a:sysClr val="windowText" lastClr="000000"/>
                </a:solidFill>
              </a:rPr>
              <a:t>Subsidios por Maternidad</a:t>
            </a:r>
            <a:r>
              <a:rPr lang="en-US" sz="1200" b="1" baseline="0">
                <a:solidFill>
                  <a:sysClr val="windowText" lastClr="000000"/>
                </a:solidFill>
              </a:rPr>
              <a:t>, Lactancia y Enfermedad común</a:t>
            </a:r>
            <a:endParaRPr lang="en-US" sz="1200" b="1">
              <a:solidFill>
                <a:sysClr val="windowText" lastClr="000000"/>
              </a:solidFill>
            </a:endParaRPr>
          </a:p>
        </xdr:txBody>
      </xdr:sp>
      <xdr:sp macro="" textlink="">
        <xdr:nvSpPr>
          <xdr:cNvPr id="44" name="43 Elipse"/>
          <xdr:cNvSpPr/>
        </xdr:nvSpPr>
        <xdr:spPr>
          <a:xfrm rot="19638303">
            <a:off x="1127498" y="5942635"/>
            <a:ext cx="2336146" cy="973816"/>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US" sz="1200" b="1">
                <a:solidFill>
                  <a:sysClr val="windowText" lastClr="000000"/>
                </a:solidFill>
              </a:rPr>
              <a:t>Servicios de Estancias Infantiles</a:t>
            </a:r>
          </a:p>
        </xdr:txBody>
      </xdr:sp>
    </xdr:grpSp>
    <xdr:clientData/>
  </xdr:twoCellAnchor>
  <xdr:twoCellAnchor>
    <xdr:from>
      <xdr:col>0</xdr:col>
      <xdr:colOff>0</xdr:colOff>
      <xdr:row>0</xdr:row>
      <xdr:rowOff>0</xdr:rowOff>
    </xdr:from>
    <xdr:to>
      <xdr:col>12</xdr:col>
      <xdr:colOff>748393</xdr:colOff>
      <xdr:row>5</xdr:row>
      <xdr:rowOff>38020</xdr:rowOff>
    </xdr:to>
    <xdr:sp macro="" textlink="">
      <xdr:nvSpPr>
        <xdr:cNvPr id="22" name="21 Rectángulo redondeado"/>
        <xdr:cNvSpPr/>
      </xdr:nvSpPr>
      <xdr:spPr>
        <a:xfrm>
          <a:off x="0" y="0"/>
          <a:ext cx="10028464" cy="99052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baseline="0">
              <a:solidFill>
                <a:schemeClr val="lt1"/>
              </a:solidFill>
              <a:effectLst/>
              <a:latin typeface="+mn-lt"/>
              <a:ea typeface="+mn-ea"/>
              <a:cs typeface="+mn-cs"/>
            </a:rPr>
            <a:t>Seguros y Beneficios del</a:t>
          </a:r>
        </a:p>
        <a:p>
          <a:pPr algn="ctr" eaLnBrk="1" fontAlgn="auto" latinLnBrk="0" hangingPunct="1"/>
          <a:r>
            <a:rPr lang="es-DO" sz="2400" b="1" baseline="0">
              <a:solidFill>
                <a:schemeClr val="lt1"/>
              </a:solidFill>
              <a:effectLst/>
              <a:latin typeface="+mn-lt"/>
              <a:ea typeface="+mn-ea"/>
              <a:cs typeface="+mn-cs"/>
            </a:rPr>
            <a:t>Sistema Dominicano Seguridad Social (SDSS)</a:t>
          </a:r>
          <a:endParaRPr lang="es-DO" sz="6600">
            <a:effectLst/>
          </a:endParaRPr>
        </a:p>
      </xdr:txBody>
    </xdr:sp>
    <xdr:clientData/>
  </xdr:twoCellAnchor>
  <xdr:twoCellAnchor editAs="oneCell">
    <xdr:from>
      <xdr:col>0</xdr:col>
      <xdr:colOff>326571</xdr:colOff>
      <xdr:row>0</xdr:row>
      <xdr:rowOff>81643</xdr:rowOff>
    </xdr:from>
    <xdr:to>
      <xdr:col>1</xdr:col>
      <xdr:colOff>545302</xdr:colOff>
      <xdr:row>4</xdr:row>
      <xdr:rowOff>13608</xdr:rowOff>
    </xdr:to>
    <xdr:pic>
      <xdr:nvPicPr>
        <xdr:cNvPr id="26" name="40 Imagen" descr="Logo_2x4.bmp">
          <a:hlinkClick xmlns:r="http://schemas.openxmlformats.org/officeDocument/2006/relationships" r:id="rId2"/>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326571" y="81643"/>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0.xml><?xml version="1.0" encoding="utf-8"?>
<xdr:wsDr xmlns:xdr="http://schemas.openxmlformats.org/drawingml/2006/spreadsheetDrawing" xmlns:a="http://schemas.openxmlformats.org/drawingml/2006/main">
  <xdr:twoCellAnchor>
    <xdr:from>
      <xdr:col>0</xdr:col>
      <xdr:colOff>67236</xdr:colOff>
      <xdr:row>15</xdr:row>
      <xdr:rowOff>112059</xdr:rowOff>
    </xdr:from>
    <xdr:to>
      <xdr:col>14</xdr:col>
      <xdr:colOff>627529</xdr:colOff>
      <xdr:row>53</xdr:row>
      <xdr:rowOff>156883</xdr:rowOff>
    </xdr:to>
    <xdr:graphicFrame macro="">
      <xdr:nvGraphicFramePr>
        <xdr:cNvPr id="3"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750793</xdr:colOff>
      <xdr:row>0</xdr:row>
      <xdr:rowOff>874058</xdr:rowOff>
    </xdr:to>
    <xdr:sp macro="" textlink="">
      <xdr:nvSpPr>
        <xdr:cNvPr id="4" name="3 Rectángulo redondeado"/>
        <xdr:cNvSpPr/>
      </xdr:nvSpPr>
      <xdr:spPr>
        <a:xfrm>
          <a:off x="0" y="0"/>
          <a:ext cx="12057528" cy="87405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400" b="1">
              <a:solidFill>
                <a:schemeClr val="lt1"/>
              </a:solidFill>
              <a:effectLst/>
              <a:latin typeface="+mn-lt"/>
              <a:ea typeface="+mn-ea"/>
              <a:cs typeface="+mn-cs"/>
            </a:rPr>
            <a:t>Seguro de Vejez, Discapacidad y Sobrevivencia (SVDS)</a:t>
          </a:r>
        </a:p>
        <a:p>
          <a:pPr algn="ctr" eaLnBrk="1" fontAlgn="auto" latinLnBrk="0" hangingPunct="1"/>
          <a:r>
            <a:rPr lang="es-DO" sz="1400" b="1">
              <a:solidFill>
                <a:schemeClr val="lt1"/>
              </a:solidFill>
              <a:effectLst/>
              <a:latin typeface="+mn-lt"/>
              <a:ea typeface="+mn-ea"/>
              <a:cs typeface="+mn-cs"/>
            </a:rPr>
            <a:t>Comparación anual del número de Afiliados Cotizantes con la Población Ocupada Formal</a:t>
          </a:r>
        </a:p>
        <a:p>
          <a:pPr algn="ctr" eaLnBrk="1" fontAlgn="auto" latinLnBrk="0" hangingPunct="1"/>
          <a:r>
            <a:rPr lang="es-DO" sz="1400" b="1">
              <a:solidFill>
                <a:schemeClr val="lt1"/>
              </a:solidFill>
              <a:effectLst/>
              <a:latin typeface="+mn-lt"/>
              <a:ea typeface="+mn-ea"/>
              <a:cs typeface="+mn-cs"/>
            </a:rPr>
            <a:t>Período: 2005 -  Noviembre 2015</a:t>
          </a:r>
          <a:endParaRPr lang="es-DO" sz="3200">
            <a:effectLst/>
          </a:endParaRPr>
        </a:p>
      </xdr:txBody>
    </xdr:sp>
    <xdr:clientData/>
  </xdr:twoCellAnchor>
  <xdr:oneCellAnchor>
    <xdr:from>
      <xdr:col>0</xdr:col>
      <xdr:colOff>515471</xdr:colOff>
      <xdr:row>0</xdr:row>
      <xdr:rowOff>156882</xdr:rowOff>
    </xdr:from>
    <xdr:ext cx="693728" cy="535123"/>
    <xdr:pic>
      <xdr:nvPicPr>
        <xdr:cNvPr id="6"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15471" y="156882"/>
          <a:ext cx="693728" cy="535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638734</xdr:colOff>
      <xdr:row>51</xdr:row>
      <xdr:rowOff>112059</xdr:rowOff>
    </xdr:from>
    <xdr:to>
      <xdr:col>6</xdr:col>
      <xdr:colOff>134470</xdr:colOff>
      <xdr:row>53</xdr:row>
      <xdr:rowOff>179294</xdr:rowOff>
    </xdr:to>
    <xdr:sp macro="" textlink="">
      <xdr:nvSpPr>
        <xdr:cNvPr id="2" name="CuadroTexto 1"/>
        <xdr:cNvSpPr txBox="1"/>
      </xdr:nvSpPr>
      <xdr:spPr>
        <a:xfrm>
          <a:off x="638734" y="10836088"/>
          <a:ext cx="4840942" cy="44823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100"/>
            <a:t>Fuente: BCRD, portal</a:t>
          </a:r>
          <a:r>
            <a:rPr lang="es-ES" sz="1100" baseline="0"/>
            <a:t> SIPEN</a:t>
          </a:r>
          <a:endParaRPr lang="es-ES" sz="1100"/>
        </a:p>
      </xdr:txBody>
    </xdr:sp>
    <xdr:clientData/>
  </xdr:twoCellAnchor>
</xdr:wsDr>
</file>

<file path=xl/drawings/drawing61.xml><?xml version="1.0" encoding="utf-8"?>
<c:userShapes xmlns:c="http://schemas.openxmlformats.org/drawingml/2006/chart">
  <cdr:relSizeAnchor xmlns:cdr="http://schemas.openxmlformats.org/drawingml/2006/chartDrawing">
    <cdr:from>
      <cdr:x>0.16967</cdr:x>
      <cdr:y>0.01887</cdr:y>
    </cdr:from>
    <cdr:to>
      <cdr:x>0.86494</cdr:x>
      <cdr:y>0.09186</cdr:y>
    </cdr:to>
    <cdr:sp macro="" textlink="">
      <cdr:nvSpPr>
        <cdr:cNvPr id="2" name="1 CuadroTexto"/>
        <cdr:cNvSpPr txBox="1"/>
      </cdr:nvSpPr>
      <cdr:spPr>
        <a:xfrm xmlns:a="http://schemas.openxmlformats.org/drawingml/2006/main">
          <a:off x="2055312" y="140436"/>
          <a:ext cx="8422187" cy="543097"/>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eaLnBrk="1" fontAlgn="auto" latinLnBrk="0" hangingPunct="1"/>
          <a:r>
            <a:rPr lang="es-DO" sz="1600" b="1">
              <a:effectLst/>
              <a:latin typeface="+mn-lt"/>
              <a:ea typeface="+mn-ea"/>
              <a:cs typeface="+mn-cs"/>
            </a:rPr>
            <a:t>Comparación anual del número de Afiliados Cotizantes con la  Población Ocupada Formal</a:t>
          </a:r>
          <a:endParaRPr lang="es-ES" sz="2400">
            <a:effectLst/>
          </a:endParaRPr>
        </a:p>
      </cdr:txBody>
    </cdr:sp>
  </cdr:relSizeAnchor>
</c:userShapes>
</file>

<file path=xl/drawings/drawing62.xml><?xml version="1.0" encoding="utf-8"?>
<xdr:wsDr xmlns:xdr="http://schemas.openxmlformats.org/drawingml/2006/spreadsheetDrawing" xmlns:a="http://schemas.openxmlformats.org/drawingml/2006/main">
  <xdr:twoCellAnchor>
    <xdr:from>
      <xdr:col>0</xdr:col>
      <xdr:colOff>0</xdr:colOff>
      <xdr:row>14</xdr:row>
      <xdr:rowOff>40339</xdr:rowOff>
    </xdr:from>
    <xdr:to>
      <xdr:col>11</xdr:col>
      <xdr:colOff>2326821</xdr:colOff>
      <xdr:row>38</xdr:row>
      <xdr:rowOff>176893</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2490106</xdr:colOff>
      <xdr:row>1</xdr:row>
      <xdr:rowOff>54429</xdr:rowOff>
    </xdr:to>
    <xdr:sp macro="" textlink="">
      <xdr:nvSpPr>
        <xdr:cNvPr id="5" name="4 Rectángulo redondeado"/>
        <xdr:cNvSpPr/>
      </xdr:nvSpPr>
      <xdr:spPr>
        <a:xfrm>
          <a:off x="0" y="0"/>
          <a:ext cx="14178642" cy="1129393"/>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Cotizantes del SVDS RC por Rango de Edad</a:t>
          </a:r>
        </a:p>
        <a:p>
          <a:pPr algn="ctr" eaLnBrk="1" fontAlgn="auto" latinLnBrk="0" hangingPunct="1"/>
          <a:r>
            <a:rPr lang="es-DO" sz="1800" b="1">
              <a:solidFill>
                <a:schemeClr val="lt1"/>
              </a:solidFill>
              <a:effectLst/>
              <a:latin typeface="+mn-lt"/>
              <a:ea typeface="+mn-ea"/>
              <a:cs typeface="+mn-cs"/>
            </a:rPr>
            <a:t>Periodo: Noviembre 2015</a:t>
          </a:r>
          <a:endParaRPr lang="es-DO" sz="4000">
            <a:effectLst/>
          </a:endParaRPr>
        </a:p>
      </xdr:txBody>
    </xdr:sp>
    <xdr:clientData/>
  </xdr:twoCellAnchor>
  <xdr:twoCellAnchor editAs="oneCell">
    <xdr:from>
      <xdr:col>0</xdr:col>
      <xdr:colOff>503467</xdr:colOff>
      <xdr:row>0</xdr:row>
      <xdr:rowOff>163287</xdr:rowOff>
    </xdr:from>
    <xdr:to>
      <xdr:col>1</xdr:col>
      <xdr:colOff>24144</xdr:colOff>
      <xdr:row>0</xdr:row>
      <xdr:rowOff>762001</xdr:rowOff>
    </xdr:to>
    <xdr:pic>
      <xdr:nvPicPr>
        <xdr:cNvPr id="7"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03467" y="163287"/>
          <a:ext cx="772534" cy="5987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3.xml><?xml version="1.0" encoding="utf-8"?>
<c:userShapes xmlns:c="http://schemas.openxmlformats.org/drawingml/2006/chart">
  <cdr:relSizeAnchor xmlns:cdr="http://schemas.openxmlformats.org/drawingml/2006/chartDrawing">
    <cdr:from>
      <cdr:x>0.03916</cdr:x>
      <cdr:y>0.92586</cdr:y>
    </cdr:from>
    <cdr:to>
      <cdr:x>0.35626</cdr:x>
      <cdr:y>0.98669</cdr:y>
    </cdr:to>
    <cdr:sp macro="" textlink="">
      <cdr:nvSpPr>
        <cdr:cNvPr id="2" name="CuadroTexto 1"/>
        <cdr:cNvSpPr txBox="1"/>
      </cdr:nvSpPr>
      <cdr:spPr>
        <a:xfrm xmlns:a="http://schemas.openxmlformats.org/drawingml/2006/main">
          <a:off x="557893" y="6627161"/>
          <a:ext cx="4517571" cy="43542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100"/>
            <a:t>Fuente:</a:t>
          </a:r>
          <a:r>
            <a:rPr lang="es-ES" sz="1100" baseline="0"/>
            <a:t> Sipen</a:t>
          </a:r>
          <a:endParaRPr lang="es-ES" sz="1100"/>
        </a:p>
      </cdr:txBody>
    </cdr:sp>
  </cdr:relSizeAnchor>
</c:userShapes>
</file>

<file path=xl/drawings/drawing64.xml><?xml version="1.0" encoding="utf-8"?>
<xdr:wsDr xmlns:xdr="http://schemas.openxmlformats.org/drawingml/2006/spreadsheetDrawing" xmlns:a="http://schemas.openxmlformats.org/drawingml/2006/main">
  <xdr:twoCellAnchor>
    <xdr:from>
      <xdr:col>0</xdr:col>
      <xdr:colOff>0</xdr:colOff>
      <xdr:row>14</xdr:row>
      <xdr:rowOff>202407</xdr:rowOff>
    </xdr:from>
    <xdr:to>
      <xdr:col>11</xdr:col>
      <xdr:colOff>1183822</xdr:colOff>
      <xdr:row>37</xdr:row>
      <xdr:rowOff>163286</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1333500</xdr:colOff>
      <xdr:row>1</xdr:row>
      <xdr:rowOff>27214</xdr:rowOff>
    </xdr:to>
    <xdr:sp macro="" textlink="">
      <xdr:nvSpPr>
        <xdr:cNvPr id="4" name="3 Rectángulo redondeado"/>
        <xdr:cNvSpPr/>
      </xdr:nvSpPr>
      <xdr:spPr>
        <a:xfrm>
          <a:off x="0" y="0"/>
          <a:ext cx="12504964" cy="966107"/>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Cotizantes del SVDS RC por Cantidad de Salario Mínimo Cotizable</a:t>
          </a:r>
        </a:p>
        <a:p>
          <a:pPr algn="ctr" eaLnBrk="1" fontAlgn="auto" latinLnBrk="0" hangingPunct="1"/>
          <a:r>
            <a:rPr lang="es-DO" sz="1800" b="1">
              <a:solidFill>
                <a:schemeClr val="lt1"/>
              </a:solidFill>
              <a:effectLst/>
              <a:latin typeface="+mn-lt"/>
              <a:ea typeface="+mn-ea"/>
              <a:cs typeface="+mn-cs"/>
            </a:rPr>
            <a:t>Período: Noviembre 2015</a:t>
          </a:r>
          <a:endParaRPr lang="es-DO" sz="4000">
            <a:effectLst/>
          </a:endParaRPr>
        </a:p>
      </xdr:txBody>
    </xdr:sp>
    <xdr:clientData/>
  </xdr:twoCellAnchor>
  <xdr:twoCellAnchor editAs="oneCell">
    <xdr:from>
      <xdr:col>0</xdr:col>
      <xdr:colOff>559594</xdr:colOff>
      <xdr:row>0</xdr:row>
      <xdr:rowOff>297656</xdr:rowOff>
    </xdr:from>
    <xdr:to>
      <xdr:col>0</xdr:col>
      <xdr:colOff>1273969</xdr:colOff>
      <xdr:row>0</xdr:row>
      <xdr:rowOff>773906</xdr:rowOff>
    </xdr:to>
    <xdr:pic>
      <xdr:nvPicPr>
        <xdr:cNvPr id="5" name="5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9594" y="297656"/>
          <a:ext cx="714375"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5.xml><?xml version="1.0" encoding="utf-8"?>
<c:userShapes xmlns:c="http://schemas.openxmlformats.org/drawingml/2006/chart">
  <cdr:relSizeAnchor xmlns:cdr="http://schemas.openxmlformats.org/drawingml/2006/chartDrawing">
    <cdr:from>
      <cdr:x>0.03963</cdr:x>
      <cdr:y>0.90659</cdr:y>
    </cdr:from>
    <cdr:to>
      <cdr:x>0.79865</cdr:x>
      <cdr:y>0.9682</cdr:y>
    </cdr:to>
    <cdr:sp macro="" textlink="">
      <cdr:nvSpPr>
        <cdr:cNvPr id="2" name="1 CuadroTexto"/>
        <cdr:cNvSpPr txBox="1"/>
      </cdr:nvSpPr>
      <cdr:spPr>
        <a:xfrm xmlns:a="http://schemas.openxmlformats.org/drawingml/2006/main">
          <a:off x="568941" y="6206576"/>
          <a:ext cx="10896139" cy="42180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400" b="1"/>
            <a:t>Fuente: </a:t>
          </a:r>
          <a:r>
            <a:rPr lang="en-US" sz="1400"/>
            <a:t>Portal de SIPEN</a:t>
          </a:r>
        </a:p>
        <a:p xmlns:a="http://schemas.openxmlformats.org/drawingml/2006/main">
          <a:r>
            <a:rPr lang="en-US" sz="1400">
              <a:solidFill>
                <a:sysClr val="windowText" lastClr="000000"/>
              </a:solidFill>
            </a:rPr>
            <a:t>)</a:t>
          </a:r>
        </a:p>
      </cdr:txBody>
    </cdr:sp>
  </cdr:relSizeAnchor>
</c:userShapes>
</file>

<file path=xl/drawings/drawing66.xml><?xml version="1.0" encoding="utf-8"?>
<xdr:wsDr xmlns:xdr="http://schemas.openxmlformats.org/drawingml/2006/spreadsheetDrawing" xmlns:a="http://schemas.openxmlformats.org/drawingml/2006/main">
  <xdr:twoCellAnchor>
    <xdr:from>
      <xdr:col>0</xdr:col>
      <xdr:colOff>0</xdr:colOff>
      <xdr:row>5</xdr:row>
      <xdr:rowOff>176893</xdr:rowOff>
    </xdr:from>
    <xdr:to>
      <xdr:col>11</xdr:col>
      <xdr:colOff>979713</xdr:colOff>
      <xdr:row>42</xdr:row>
      <xdr:rowOff>108857</xdr:rowOff>
    </xdr:to>
    <xdr:graphicFrame macro="">
      <xdr:nvGraphicFramePr>
        <xdr:cNvPr id="3" name="2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11205</xdr:colOff>
      <xdr:row>1</xdr:row>
      <xdr:rowOff>44823</xdr:rowOff>
    </xdr:to>
    <xdr:sp macro="" textlink="">
      <xdr:nvSpPr>
        <xdr:cNvPr id="4" name="3 Rectángulo redondeado"/>
        <xdr:cNvSpPr/>
      </xdr:nvSpPr>
      <xdr:spPr>
        <a:xfrm>
          <a:off x="0" y="0"/>
          <a:ext cx="12830734" cy="90767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de Vejez, Discapacidad y Sobrevivencia (SVDS)</a:t>
          </a:r>
        </a:p>
        <a:p>
          <a:pPr algn="ctr" eaLnBrk="1" fontAlgn="auto" latinLnBrk="0" hangingPunct="1"/>
          <a:r>
            <a:rPr lang="es-DO" sz="1600" b="1">
              <a:solidFill>
                <a:schemeClr val="lt1"/>
              </a:solidFill>
              <a:effectLst/>
              <a:latin typeface="+mn-lt"/>
              <a:ea typeface="+mn-ea"/>
              <a:cs typeface="+mn-cs"/>
            </a:rPr>
            <a:t>Distribución de</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Cotizantes por AFP's y Fondos de Reparto</a:t>
          </a:r>
        </a:p>
        <a:p>
          <a:pPr algn="ctr" eaLnBrk="1" fontAlgn="auto" latinLnBrk="0" hangingPunct="1"/>
          <a:r>
            <a:rPr lang="es-DO" sz="1600" b="1">
              <a:solidFill>
                <a:schemeClr val="lt1"/>
              </a:solidFill>
              <a:effectLst/>
              <a:latin typeface="+mn-lt"/>
              <a:ea typeface="+mn-ea"/>
              <a:cs typeface="+mn-cs"/>
            </a:rPr>
            <a:t>Período: Noviembre 2015</a:t>
          </a:r>
          <a:endParaRPr lang="es-DO" sz="3600">
            <a:effectLst/>
          </a:endParaRPr>
        </a:p>
      </xdr:txBody>
    </xdr:sp>
    <xdr:clientData/>
  </xdr:twoCellAnchor>
  <xdr:twoCellAnchor editAs="oneCell">
    <xdr:from>
      <xdr:col>0</xdr:col>
      <xdr:colOff>437029</xdr:colOff>
      <xdr:row>0</xdr:row>
      <xdr:rowOff>201706</xdr:rowOff>
    </xdr:from>
    <xdr:to>
      <xdr:col>1</xdr:col>
      <xdr:colOff>362286</xdr:colOff>
      <xdr:row>0</xdr:row>
      <xdr:rowOff>789214</xdr:rowOff>
    </xdr:to>
    <xdr:pic>
      <xdr:nvPicPr>
        <xdr:cNvPr id="6" name="5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37029" y="201706"/>
          <a:ext cx="768900" cy="5875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7.xml><?xml version="1.0" encoding="utf-8"?>
<c:userShapes xmlns:c="http://schemas.openxmlformats.org/drawingml/2006/chart">
  <cdr:relSizeAnchor xmlns:cdr="http://schemas.openxmlformats.org/drawingml/2006/chartDrawing">
    <cdr:from>
      <cdr:x>0.01805</cdr:x>
      <cdr:y>0.94343</cdr:y>
    </cdr:from>
    <cdr:to>
      <cdr:x>0.81877</cdr:x>
      <cdr:y>1</cdr:y>
    </cdr:to>
    <cdr:sp macro="" textlink="">
      <cdr:nvSpPr>
        <cdr:cNvPr id="3" name="1 CuadroTexto"/>
        <cdr:cNvSpPr txBox="1"/>
      </cdr:nvSpPr>
      <cdr:spPr>
        <a:xfrm xmlns:a="http://schemas.openxmlformats.org/drawingml/2006/main">
          <a:off x="227693" y="7007677"/>
          <a:ext cx="10100129" cy="4202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400" b="1"/>
            <a:t>Fuente: </a:t>
          </a:r>
          <a:r>
            <a:rPr lang="en-US" sz="1400"/>
            <a:t>Portal de SIPEN</a:t>
          </a:r>
        </a:p>
      </cdr:txBody>
    </cdr:sp>
  </cdr:relSizeAnchor>
</c:userShapes>
</file>

<file path=xl/drawings/drawing68.xml><?xml version="1.0" encoding="utf-8"?>
<xdr:wsDr xmlns:xdr="http://schemas.openxmlformats.org/drawingml/2006/spreadsheetDrawing" xmlns:a="http://schemas.openxmlformats.org/drawingml/2006/main">
  <xdr:twoCellAnchor>
    <xdr:from>
      <xdr:col>0</xdr:col>
      <xdr:colOff>0</xdr:colOff>
      <xdr:row>17</xdr:row>
      <xdr:rowOff>38099</xdr:rowOff>
    </xdr:from>
    <xdr:to>
      <xdr:col>13</xdr:col>
      <xdr:colOff>676275</xdr:colOff>
      <xdr:row>48</xdr:row>
      <xdr:rowOff>95249</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289025</xdr:colOff>
      <xdr:row>44</xdr:row>
      <xdr:rowOff>134780</xdr:rowOff>
    </xdr:from>
    <xdr:to>
      <xdr:col>2</xdr:col>
      <xdr:colOff>590964</xdr:colOff>
      <xdr:row>46</xdr:row>
      <xdr:rowOff>103533</xdr:rowOff>
    </xdr:to>
    <xdr:sp macro="" textlink="">
      <xdr:nvSpPr>
        <xdr:cNvPr id="3" name="2 CuadroTexto"/>
        <xdr:cNvSpPr txBox="1"/>
      </xdr:nvSpPr>
      <xdr:spPr>
        <a:xfrm>
          <a:off x="289025" y="7126130"/>
          <a:ext cx="1721164" cy="25450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b="1"/>
            <a:t>Fuente:  </a:t>
          </a:r>
          <a:r>
            <a:rPr lang="en-US" sz="900"/>
            <a:t>Banco Central, SIPEN</a:t>
          </a:r>
        </a:p>
        <a:p>
          <a:endParaRPr lang="en-US" sz="1100"/>
        </a:p>
      </xdr:txBody>
    </xdr:sp>
    <xdr:clientData/>
  </xdr:twoCellAnchor>
  <xdr:twoCellAnchor>
    <xdr:from>
      <xdr:col>0</xdr:col>
      <xdr:colOff>0</xdr:colOff>
      <xdr:row>0</xdr:row>
      <xdr:rowOff>0</xdr:rowOff>
    </xdr:from>
    <xdr:to>
      <xdr:col>14</xdr:col>
      <xdr:colOff>9525</xdr:colOff>
      <xdr:row>1</xdr:row>
      <xdr:rowOff>0</xdr:rowOff>
    </xdr:to>
    <xdr:sp macro="" textlink="">
      <xdr:nvSpPr>
        <xdr:cNvPr id="4" name="3 Rectángulo redondeado"/>
        <xdr:cNvSpPr/>
      </xdr:nvSpPr>
      <xdr:spPr>
        <a:xfrm>
          <a:off x="0" y="0"/>
          <a:ext cx="9029700" cy="8382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400" b="1">
              <a:solidFill>
                <a:schemeClr val="lt1"/>
              </a:solidFill>
              <a:effectLst/>
              <a:latin typeface="+mn-lt"/>
              <a:ea typeface="+mn-ea"/>
              <a:cs typeface="+mn-cs"/>
            </a:rPr>
            <a:t>Seguro de Vejez. Discapacidad y Sobrevivencia (SVDS)</a:t>
          </a:r>
        </a:p>
        <a:p>
          <a:pPr algn="ctr" eaLnBrk="1" fontAlgn="auto" latinLnBrk="0" hangingPunct="1"/>
          <a:r>
            <a:rPr lang="es-DO" sz="1400" b="1">
              <a:solidFill>
                <a:schemeClr val="lt1"/>
              </a:solidFill>
              <a:effectLst/>
              <a:latin typeface="+mn-lt"/>
              <a:ea typeface="+mn-ea"/>
              <a:cs typeface="+mn-cs"/>
            </a:rPr>
            <a:t>Población Económicamente Activa Afiliada al SVDS por Género    </a:t>
          </a:r>
          <a:br>
            <a:rPr lang="es-DO" sz="1400" b="1">
              <a:solidFill>
                <a:schemeClr val="lt1"/>
              </a:solidFill>
              <a:effectLst/>
              <a:latin typeface="+mn-lt"/>
              <a:ea typeface="+mn-ea"/>
              <a:cs typeface="+mn-cs"/>
            </a:rPr>
          </a:br>
          <a:r>
            <a:rPr lang="es-DO" sz="1400" b="1">
              <a:solidFill>
                <a:schemeClr val="lt1"/>
              </a:solidFill>
              <a:effectLst/>
              <a:latin typeface="+mn-lt"/>
              <a:ea typeface="+mn-ea"/>
              <a:cs typeface="+mn-cs"/>
            </a:rPr>
            <a:t> Período: 2005 -  Noviembre 2015</a:t>
          </a:r>
          <a:endParaRPr lang="es-DO" sz="3200">
            <a:effectLst/>
          </a:endParaRPr>
        </a:p>
      </xdr:txBody>
    </xdr:sp>
    <xdr:clientData/>
  </xdr:twoCellAnchor>
  <xdr:twoCellAnchor editAs="oneCell">
    <xdr:from>
      <xdr:col>0</xdr:col>
      <xdr:colOff>390526</xdr:colOff>
      <xdr:row>0</xdr:row>
      <xdr:rowOff>180975</xdr:rowOff>
    </xdr:from>
    <xdr:to>
      <xdr:col>1</xdr:col>
      <xdr:colOff>457201</xdr:colOff>
      <xdr:row>0</xdr:row>
      <xdr:rowOff>629386</xdr:rowOff>
    </xdr:to>
    <xdr:pic>
      <xdr:nvPicPr>
        <xdr:cNvPr id="5" name="1 Imagen">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390526" y="180975"/>
          <a:ext cx="628650" cy="448411"/>
        </a:xfrm>
        <a:prstGeom prst="rect">
          <a:avLst/>
        </a:prstGeom>
      </xdr:spPr>
    </xdr:pic>
    <xdr:clientData/>
  </xdr:twoCellAnchor>
</xdr:wsDr>
</file>

<file path=xl/drawings/drawing69.xml><?xml version="1.0" encoding="utf-8"?>
<xdr:wsDr xmlns:xdr="http://schemas.openxmlformats.org/drawingml/2006/spreadsheetDrawing" xmlns:a="http://schemas.openxmlformats.org/drawingml/2006/main">
  <xdr:twoCellAnchor>
    <xdr:from>
      <xdr:col>0</xdr:col>
      <xdr:colOff>54429</xdr:colOff>
      <xdr:row>18</xdr:row>
      <xdr:rowOff>95251</xdr:rowOff>
    </xdr:from>
    <xdr:to>
      <xdr:col>14</xdr:col>
      <xdr:colOff>592675</xdr:colOff>
      <xdr:row>56</xdr:row>
      <xdr:rowOff>161978</xdr:rowOff>
    </xdr:to>
    <xdr:graphicFrame macro="">
      <xdr:nvGraphicFramePr>
        <xdr:cNvPr id="3"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13606</xdr:colOff>
      <xdr:row>0</xdr:row>
      <xdr:rowOff>843642</xdr:rowOff>
    </xdr:to>
    <xdr:sp macro="" textlink="">
      <xdr:nvSpPr>
        <xdr:cNvPr id="4" name="3 Rectángulo redondeado"/>
        <xdr:cNvSpPr/>
      </xdr:nvSpPr>
      <xdr:spPr>
        <a:xfrm>
          <a:off x="0" y="0"/>
          <a:ext cx="13239749" cy="84364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400" b="1">
              <a:solidFill>
                <a:schemeClr val="lt1"/>
              </a:solidFill>
              <a:effectLst/>
              <a:latin typeface="+mn-lt"/>
              <a:ea typeface="+mn-ea"/>
              <a:cs typeface="+mn-cs"/>
            </a:rPr>
            <a:t>Seguro de Vejez, Discapacidad y Sobrevivencia (SVDS)</a:t>
          </a:r>
        </a:p>
        <a:p>
          <a:pPr algn="ctr" eaLnBrk="1" fontAlgn="auto" latinLnBrk="0" hangingPunct="1"/>
          <a:r>
            <a:rPr lang="es-DO" sz="1400" b="1">
              <a:solidFill>
                <a:schemeClr val="lt1"/>
              </a:solidFill>
              <a:effectLst/>
              <a:latin typeface="+mn-lt"/>
              <a:ea typeface="+mn-ea"/>
              <a:cs typeface="+mn-cs"/>
            </a:rPr>
            <a:t>Afiliados y Cotizantes del SVDS por Género</a:t>
          </a:r>
        </a:p>
        <a:p>
          <a:pPr algn="ctr" eaLnBrk="1" fontAlgn="auto" latinLnBrk="0" hangingPunct="1"/>
          <a:r>
            <a:rPr lang="es-DO" sz="1400" b="1">
              <a:solidFill>
                <a:schemeClr val="lt1"/>
              </a:solidFill>
              <a:effectLst/>
              <a:latin typeface="+mn-lt"/>
              <a:ea typeface="+mn-ea"/>
              <a:cs typeface="+mn-cs"/>
            </a:rPr>
            <a:t>Periodo: Diciembre 2003 -  Noviembre 2015</a:t>
          </a:r>
          <a:endParaRPr lang="es-DO" sz="1400">
            <a:effectLst/>
          </a:endParaRPr>
        </a:p>
      </xdr:txBody>
    </xdr:sp>
    <xdr:clientData/>
  </xdr:twoCellAnchor>
  <xdr:twoCellAnchor editAs="oneCell">
    <xdr:from>
      <xdr:col>0</xdr:col>
      <xdr:colOff>523876</xdr:colOff>
      <xdr:row>0</xdr:row>
      <xdr:rowOff>180975</xdr:rowOff>
    </xdr:from>
    <xdr:to>
      <xdr:col>1</xdr:col>
      <xdr:colOff>411511</xdr:colOff>
      <xdr:row>0</xdr:row>
      <xdr:rowOff>609600</xdr:rowOff>
    </xdr:to>
    <xdr:pic>
      <xdr:nvPicPr>
        <xdr:cNvPr id="6"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23876" y="180975"/>
          <a:ext cx="64963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3</xdr:col>
      <xdr:colOff>122465</xdr:colOff>
      <xdr:row>7</xdr:row>
      <xdr:rowOff>190499</xdr:rowOff>
    </xdr:from>
    <xdr:to>
      <xdr:col>9</xdr:col>
      <xdr:colOff>639536</xdr:colOff>
      <xdr:row>37</xdr:row>
      <xdr:rowOff>149678</xdr:rowOff>
    </xdr:to>
    <xdr:pic>
      <xdr:nvPicPr>
        <xdr:cNvPr id="5" name="4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408465" y="1523999"/>
          <a:ext cx="5225142" cy="5674179"/>
        </a:xfrm>
        <a:prstGeom prst="rect">
          <a:avLst/>
        </a:prstGeom>
        <a:noFill/>
        <a:ln>
          <a:noFill/>
        </a:ln>
      </xdr:spPr>
    </xdr:pic>
    <xdr:clientData/>
  </xdr:twoCellAnchor>
  <xdr:twoCellAnchor>
    <xdr:from>
      <xdr:col>0</xdr:col>
      <xdr:colOff>704369</xdr:colOff>
      <xdr:row>10</xdr:row>
      <xdr:rowOff>143276</xdr:rowOff>
    </xdr:from>
    <xdr:to>
      <xdr:col>12</xdr:col>
      <xdr:colOff>285750</xdr:colOff>
      <xdr:row>33</xdr:row>
      <xdr:rowOff>176893</xdr:rowOff>
    </xdr:to>
    <xdr:sp macro="" textlink="">
      <xdr:nvSpPr>
        <xdr:cNvPr id="3" name="2 CuadroTexto"/>
        <xdr:cNvSpPr txBox="1"/>
      </xdr:nvSpPr>
      <xdr:spPr>
        <a:xfrm>
          <a:off x="704369" y="2048276"/>
          <a:ext cx="8861452" cy="44151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800" b="1">
              <a:solidFill>
                <a:schemeClr val="accent3">
                  <a:lumMod val="50000"/>
                </a:schemeClr>
              </a:solidFill>
              <a:latin typeface="+mn-lt"/>
              <a:ea typeface="+mn-ea"/>
              <a:cs typeface="+mn-cs"/>
            </a:rPr>
            <a:t>Estadísticas del Sistema Dominicano de la Seguridad Social (SDSS)</a:t>
          </a:r>
        </a:p>
      </xdr:txBody>
    </xdr:sp>
    <xdr:clientData/>
  </xdr:twoCellAnchor>
  <xdr:twoCellAnchor editAs="oneCell">
    <xdr:from>
      <xdr:col>0</xdr:col>
      <xdr:colOff>390527</xdr:colOff>
      <xdr:row>2</xdr:row>
      <xdr:rowOff>66676</xdr:rowOff>
    </xdr:from>
    <xdr:to>
      <xdr:col>2</xdr:col>
      <xdr:colOff>108857</xdr:colOff>
      <xdr:row>6</xdr:row>
      <xdr:rowOff>0</xdr:rowOff>
    </xdr:to>
    <xdr:pic>
      <xdr:nvPicPr>
        <xdr:cNvPr id="4" name="1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4752" b="26507"/>
        <a:stretch/>
      </xdr:blipFill>
      <xdr:spPr bwMode="auto">
        <a:xfrm>
          <a:off x="390527" y="447676"/>
          <a:ext cx="1242330" cy="6953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0.xml><?xml version="1.0" encoding="utf-8"?>
<c:userShapes xmlns:c="http://schemas.openxmlformats.org/drawingml/2006/chart">
  <cdr:relSizeAnchor xmlns:cdr="http://schemas.openxmlformats.org/drawingml/2006/chartDrawing">
    <cdr:from>
      <cdr:x>0.06552</cdr:x>
      <cdr:y>0.94114</cdr:y>
    </cdr:from>
    <cdr:to>
      <cdr:x>0.19892</cdr:x>
      <cdr:y>0.98757</cdr:y>
    </cdr:to>
    <cdr:sp macro="" textlink="">
      <cdr:nvSpPr>
        <cdr:cNvPr id="2" name="2 CuadroTexto"/>
        <cdr:cNvSpPr txBox="1"/>
      </cdr:nvSpPr>
      <cdr:spPr>
        <a:xfrm xmlns:a="http://schemas.openxmlformats.org/drawingml/2006/main">
          <a:off x="894443" y="7112907"/>
          <a:ext cx="1820946" cy="350935"/>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050" b="1"/>
            <a:t>Fuente: </a:t>
          </a:r>
          <a:r>
            <a:rPr lang="en-US" sz="1050"/>
            <a:t>SIPEN</a:t>
          </a:r>
        </a:p>
        <a:p xmlns:a="http://schemas.openxmlformats.org/drawingml/2006/main">
          <a:endParaRPr lang="en-US" sz="1400"/>
        </a:p>
      </cdr:txBody>
    </cdr:sp>
  </cdr:relSizeAnchor>
</c:userShapes>
</file>

<file path=xl/drawings/drawing71.xml><?xml version="1.0" encoding="utf-8"?>
<xdr:wsDr xmlns:xdr="http://schemas.openxmlformats.org/drawingml/2006/spreadsheetDrawing" xmlns:a="http://schemas.openxmlformats.org/drawingml/2006/main">
  <xdr:twoCellAnchor>
    <xdr:from>
      <xdr:col>0</xdr:col>
      <xdr:colOff>0</xdr:colOff>
      <xdr:row>16</xdr:row>
      <xdr:rowOff>136073</xdr:rowOff>
    </xdr:from>
    <xdr:to>
      <xdr:col>16</xdr:col>
      <xdr:colOff>987136</xdr:colOff>
      <xdr:row>56</xdr:row>
      <xdr:rowOff>34637</xdr:rowOff>
    </xdr:to>
    <xdr:graphicFrame macro="">
      <xdr:nvGraphicFramePr>
        <xdr:cNvPr id="2" name="5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17</xdr:col>
      <xdr:colOff>17318</xdr:colOff>
      <xdr:row>0</xdr:row>
      <xdr:rowOff>1350818</xdr:rowOff>
    </xdr:to>
    <xdr:sp macro="" textlink="">
      <xdr:nvSpPr>
        <xdr:cNvPr id="4" name="3 Rectángulo redondeado"/>
        <xdr:cNvSpPr/>
      </xdr:nvSpPr>
      <xdr:spPr>
        <a:xfrm>
          <a:off x="0" y="0"/>
          <a:ext cx="17318182" cy="13508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Seguro de Vejez, Discapacidad y Sobrevivencia (SVDS)</a:t>
          </a:r>
        </a:p>
        <a:p>
          <a:pPr algn="ctr" eaLnBrk="1" fontAlgn="auto" latinLnBrk="0" hangingPunct="1"/>
          <a:r>
            <a:rPr lang="es-DO" sz="2400" b="1">
              <a:solidFill>
                <a:schemeClr val="lt1"/>
              </a:solidFill>
              <a:effectLst/>
              <a:latin typeface="+mn-lt"/>
              <a:ea typeface="+mn-ea"/>
              <a:cs typeface="+mn-cs"/>
            </a:rPr>
            <a:t>Traspasos Totales por Año</a:t>
          </a:r>
        </a:p>
        <a:p>
          <a:pPr algn="ctr" eaLnBrk="1" fontAlgn="auto" latinLnBrk="0" hangingPunct="1"/>
          <a:r>
            <a:rPr lang="es-DO" sz="2400" b="1">
              <a:solidFill>
                <a:schemeClr val="lt1"/>
              </a:solidFill>
              <a:effectLst/>
              <a:latin typeface="+mn-lt"/>
              <a:ea typeface="+mn-ea"/>
              <a:cs typeface="+mn-cs"/>
            </a:rPr>
            <a:t>Período:  2005 - Noviembre 2015</a:t>
          </a:r>
          <a:endParaRPr lang="es-DO" sz="4800">
            <a:effectLst/>
          </a:endParaRPr>
        </a:p>
      </xdr:txBody>
    </xdr:sp>
    <xdr:clientData/>
  </xdr:twoCellAnchor>
  <xdr:twoCellAnchor editAs="oneCell">
    <xdr:from>
      <xdr:col>0</xdr:col>
      <xdr:colOff>675409</xdr:colOff>
      <xdr:row>0</xdr:row>
      <xdr:rowOff>329046</xdr:rowOff>
    </xdr:from>
    <xdr:to>
      <xdr:col>1</xdr:col>
      <xdr:colOff>551585</xdr:colOff>
      <xdr:row>0</xdr:row>
      <xdr:rowOff>1066766</xdr:rowOff>
    </xdr:to>
    <xdr:pic>
      <xdr:nvPicPr>
        <xdr:cNvPr id="5" name="3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75409" y="329046"/>
          <a:ext cx="1053812" cy="737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675409</xdr:colOff>
      <xdr:row>0</xdr:row>
      <xdr:rowOff>329045</xdr:rowOff>
    </xdr:from>
    <xdr:to>
      <xdr:col>1</xdr:col>
      <xdr:colOff>463740</xdr:colOff>
      <xdr:row>0</xdr:row>
      <xdr:rowOff>1018061</xdr:rowOff>
    </xdr:to>
    <xdr:pic>
      <xdr:nvPicPr>
        <xdr:cNvPr id="6" name="1 Imagen">
          <a:hlinkClick xmlns:r="http://schemas.openxmlformats.org/officeDocument/2006/relationships" r:id="rId4"/>
        </xdr:cNvPr>
        <xdr:cNvPicPr>
          <a:picLocks noChangeAspect="1"/>
        </xdr:cNvPicPr>
      </xdr:nvPicPr>
      <xdr:blipFill>
        <a:blip xmlns:r="http://schemas.openxmlformats.org/officeDocument/2006/relationships" r:embed="rId5"/>
        <a:stretch>
          <a:fillRect/>
        </a:stretch>
      </xdr:blipFill>
      <xdr:spPr>
        <a:xfrm>
          <a:off x="675409" y="329045"/>
          <a:ext cx="965967" cy="689016"/>
        </a:xfrm>
        <a:prstGeom prst="rect">
          <a:avLst/>
        </a:prstGeom>
      </xdr:spPr>
    </xdr:pic>
    <xdr:clientData/>
  </xdr:twoCellAnchor>
</xdr:wsDr>
</file>

<file path=xl/drawings/drawing72.xml><?xml version="1.0" encoding="utf-8"?>
<c:userShapes xmlns:c="http://schemas.openxmlformats.org/drawingml/2006/chart">
  <cdr:relSizeAnchor xmlns:cdr="http://schemas.openxmlformats.org/drawingml/2006/chartDrawing">
    <cdr:from>
      <cdr:x>0.05601</cdr:x>
      <cdr:y>0.92278</cdr:y>
    </cdr:from>
    <cdr:to>
      <cdr:x>0.17572</cdr:x>
      <cdr:y>0.98381</cdr:y>
    </cdr:to>
    <cdr:sp macro="" textlink="">
      <cdr:nvSpPr>
        <cdr:cNvPr id="2" name="1 CuadroTexto"/>
        <cdr:cNvSpPr txBox="1"/>
      </cdr:nvSpPr>
      <cdr:spPr>
        <a:xfrm xmlns:a="http://schemas.openxmlformats.org/drawingml/2006/main">
          <a:off x="796414" y="6253089"/>
          <a:ext cx="1702231" cy="41358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600" b="1"/>
            <a:t>Fuente: </a:t>
          </a:r>
          <a:r>
            <a:rPr lang="en-US" sz="1600"/>
            <a:t>SIPEN</a:t>
          </a:r>
        </a:p>
      </cdr:txBody>
    </cdr:sp>
  </cdr:relSizeAnchor>
</c:userShapes>
</file>

<file path=xl/drawings/drawing73.xml><?xml version="1.0" encoding="utf-8"?>
<xdr:wsDr xmlns:xdr="http://schemas.openxmlformats.org/drawingml/2006/spreadsheetDrawing" xmlns:a="http://schemas.openxmlformats.org/drawingml/2006/main">
  <xdr:twoCellAnchor>
    <xdr:from>
      <xdr:col>8</xdr:col>
      <xdr:colOff>707571</xdr:colOff>
      <xdr:row>16</xdr:row>
      <xdr:rowOff>176893</xdr:rowOff>
    </xdr:from>
    <xdr:to>
      <xdr:col>16</xdr:col>
      <xdr:colOff>942094</xdr:colOff>
      <xdr:row>51</xdr:row>
      <xdr:rowOff>176092</xdr:rowOff>
    </xdr:to>
    <xdr:graphicFrame macro="">
      <xdr:nvGraphicFramePr>
        <xdr:cNvPr id="2" name="1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27215</xdr:colOff>
      <xdr:row>16</xdr:row>
      <xdr:rowOff>149678</xdr:rowOff>
    </xdr:from>
    <xdr:to>
      <xdr:col>8</xdr:col>
      <xdr:colOff>721180</xdr:colOff>
      <xdr:row>49</xdr:row>
      <xdr:rowOff>172811</xdr:rowOff>
    </xdr:to>
    <xdr:graphicFrame macro="">
      <xdr:nvGraphicFramePr>
        <xdr:cNvPr id="3" name="1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0</xdr:row>
      <xdr:rowOff>13607</xdr:rowOff>
    </xdr:from>
    <xdr:to>
      <xdr:col>16</xdr:col>
      <xdr:colOff>993322</xdr:colOff>
      <xdr:row>0</xdr:row>
      <xdr:rowOff>1047750</xdr:rowOff>
    </xdr:to>
    <xdr:sp macro="" textlink="">
      <xdr:nvSpPr>
        <xdr:cNvPr id="5" name="4 Rectángulo redondeado"/>
        <xdr:cNvSpPr/>
      </xdr:nvSpPr>
      <xdr:spPr>
        <a:xfrm>
          <a:off x="0" y="13607"/>
          <a:ext cx="15294429" cy="1034143"/>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Traspasos Recibidos en Entidades de CCI/ Reparto</a:t>
          </a:r>
        </a:p>
        <a:p>
          <a:pPr algn="ctr" eaLnBrk="1" fontAlgn="auto" latinLnBrk="0" hangingPunct="1"/>
          <a:r>
            <a:rPr lang="es-DO" sz="1800" b="1">
              <a:solidFill>
                <a:schemeClr val="lt1"/>
              </a:solidFill>
              <a:effectLst/>
              <a:latin typeface="+mn-lt"/>
              <a:ea typeface="+mn-ea"/>
              <a:cs typeface="+mn-cs"/>
            </a:rPr>
            <a:t>Período:  2005 - Noviembre 2015</a:t>
          </a:r>
          <a:endParaRPr lang="es-DO" sz="4000">
            <a:effectLst/>
          </a:endParaRPr>
        </a:p>
      </xdr:txBody>
    </xdr:sp>
    <xdr:clientData/>
  </xdr:twoCellAnchor>
  <xdr:twoCellAnchor editAs="oneCell">
    <xdr:from>
      <xdr:col>0</xdr:col>
      <xdr:colOff>625929</xdr:colOff>
      <xdr:row>0</xdr:row>
      <xdr:rowOff>258536</xdr:rowOff>
    </xdr:from>
    <xdr:to>
      <xdr:col>0</xdr:col>
      <xdr:colOff>1442585</xdr:colOff>
      <xdr:row>0</xdr:row>
      <xdr:rowOff>816429</xdr:rowOff>
    </xdr:to>
    <xdr:pic>
      <xdr:nvPicPr>
        <xdr:cNvPr id="6" name="5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25929" y="258536"/>
          <a:ext cx="820367" cy="5578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108857</xdr:colOff>
      <xdr:row>49</xdr:row>
      <xdr:rowOff>68035</xdr:rowOff>
    </xdr:from>
    <xdr:to>
      <xdr:col>2</xdr:col>
      <xdr:colOff>655039</xdr:colOff>
      <xdr:row>51</xdr:row>
      <xdr:rowOff>145893</xdr:rowOff>
    </xdr:to>
    <xdr:sp macro="" textlink="">
      <xdr:nvSpPr>
        <xdr:cNvPr id="7" name="1 CuadroTexto"/>
        <xdr:cNvSpPr txBox="1"/>
      </xdr:nvSpPr>
      <xdr:spPr>
        <a:xfrm>
          <a:off x="108857" y="10763249"/>
          <a:ext cx="2056575" cy="458858"/>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en-US" sz="1600" b="1"/>
            <a:t>Fuente: </a:t>
          </a:r>
          <a:r>
            <a:rPr lang="en-US" sz="1600"/>
            <a:t>SIPEN</a:t>
          </a:r>
        </a:p>
      </xdr:txBody>
    </xdr:sp>
    <xdr:clientData/>
  </xdr:twoCellAnchor>
</xdr:wsDr>
</file>

<file path=xl/drawings/drawing74.xml><?xml version="1.0" encoding="utf-8"?>
<xdr:wsDr xmlns:xdr="http://schemas.openxmlformats.org/drawingml/2006/spreadsheetDrawing" xmlns:a="http://schemas.openxmlformats.org/drawingml/2006/main">
  <xdr:twoCellAnchor>
    <xdr:from>
      <xdr:col>0</xdr:col>
      <xdr:colOff>28573</xdr:colOff>
      <xdr:row>16</xdr:row>
      <xdr:rowOff>176893</xdr:rowOff>
    </xdr:from>
    <xdr:to>
      <xdr:col>9</xdr:col>
      <xdr:colOff>176891</xdr:colOff>
      <xdr:row>52</xdr:row>
      <xdr:rowOff>57150</xdr:rowOff>
    </xdr:to>
    <xdr:graphicFrame macro="">
      <xdr:nvGraphicFramePr>
        <xdr:cNvPr id="3" name="8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136072</xdr:colOff>
      <xdr:row>16</xdr:row>
      <xdr:rowOff>149679</xdr:rowOff>
    </xdr:from>
    <xdr:to>
      <xdr:col>16</xdr:col>
      <xdr:colOff>830036</xdr:colOff>
      <xdr:row>52</xdr:row>
      <xdr:rowOff>95249</xdr:rowOff>
    </xdr:to>
    <xdr:graphicFrame macro="">
      <xdr:nvGraphicFramePr>
        <xdr:cNvPr id="4" name="9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0</xdr:row>
      <xdr:rowOff>0</xdr:rowOff>
    </xdr:from>
    <xdr:to>
      <xdr:col>17</xdr:col>
      <xdr:colOff>13607</xdr:colOff>
      <xdr:row>1</xdr:row>
      <xdr:rowOff>40821</xdr:rowOff>
    </xdr:to>
    <xdr:sp macro="" textlink="">
      <xdr:nvSpPr>
        <xdr:cNvPr id="5" name="4 Rectángulo redondeado"/>
        <xdr:cNvSpPr/>
      </xdr:nvSpPr>
      <xdr:spPr>
        <a:xfrm>
          <a:off x="0" y="0"/>
          <a:ext cx="13117286" cy="104775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Traspasos Cedidos en Entidades de CCI / Reparto</a:t>
          </a:r>
        </a:p>
        <a:p>
          <a:pPr algn="ctr" eaLnBrk="1" fontAlgn="auto" latinLnBrk="0" hangingPunct="1"/>
          <a:r>
            <a:rPr lang="es-DO" sz="1800" b="1">
              <a:solidFill>
                <a:schemeClr val="lt1"/>
              </a:solidFill>
              <a:effectLst/>
              <a:latin typeface="+mn-lt"/>
              <a:ea typeface="+mn-ea"/>
              <a:cs typeface="+mn-cs"/>
            </a:rPr>
            <a:t>Período: 2005 - Noviembre</a:t>
          </a:r>
          <a:r>
            <a:rPr lang="es-DO" sz="1800" b="1" baseline="0">
              <a:solidFill>
                <a:schemeClr val="lt1"/>
              </a:solidFill>
              <a:effectLst/>
              <a:latin typeface="+mn-lt"/>
              <a:ea typeface="+mn-ea"/>
              <a:cs typeface="+mn-cs"/>
            </a:rPr>
            <a:t> </a:t>
          </a:r>
          <a:r>
            <a:rPr lang="es-DO" sz="1800" b="1">
              <a:solidFill>
                <a:schemeClr val="lt1"/>
              </a:solidFill>
              <a:effectLst/>
              <a:latin typeface="+mn-lt"/>
              <a:ea typeface="+mn-ea"/>
              <a:cs typeface="+mn-cs"/>
            </a:rPr>
            <a:t>2015</a:t>
          </a:r>
          <a:endParaRPr lang="es-DO" sz="4000">
            <a:effectLst/>
          </a:endParaRPr>
        </a:p>
      </xdr:txBody>
    </xdr:sp>
    <xdr:clientData/>
  </xdr:twoCellAnchor>
  <xdr:twoCellAnchor editAs="oneCell">
    <xdr:from>
      <xdr:col>0</xdr:col>
      <xdr:colOff>421822</xdr:colOff>
      <xdr:row>0</xdr:row>
      <xdr:rowOff>235849</xdr:rowOff>
    </xdr:from>
    <xdr:to>
      <xdr:col>1</xdr:col>
      <xdr:colOff>103350</xdr:colOff>
      <xdr:row>0</xdr:row>
      <xdr:rowOff>789214</xdr:rowOff>
    </xdr:to>
    <xdr:pic>
      <xdr:nvPicPr>
        <xdr:cNvPr id="7" name="6 Imagen" descr="logo_2x4.bmp">
          <a:hlinkClick xmlns:r="http://schemas.openxmlformats.org/officeDocument/2006/relationships" r:id="rId3"/>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21822" y="235849"/>
          <a:ext cx="810921" cy="5533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5.xml><?xml version="1.0" encoding="utf-8"?>
<c:userShapes xmlns:c="http://schemas.openxmlformats.org/drawingml/2006/chart">
  <cdr:relSizeAnchor xmlns:cdr="http://schemas.openxmlformats.org/drawingml/2006/chartDrawing">
    <cdr:from>
      <cdr:x>0.02266</cdr:x>
      <cdr:y>0.93231</cdr:y>
    </cdr:from>
    <cdr:to>
      <cdr:x>0.31449</cdr:x>
      <cdr:y>1</cdr:y>
    </cdr:to>
    <cdr:sp macro="" textlink="">
      <cdr:nvSpPr>
        <cdr:cNvPr id="2" name="1 CuadroTexto"/>
        <cdr:cNvSpPr txBox="1"/>
      </cdr:nvSpPr>
      <cdr:spPr>
        <a:xfrm xmlns:a="http://schemas.openxmlformats.org/drawingml/2006/main">
          <a:off x="159657" y="6320221"/>
          <a:ext cx="2056575" cy="4588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b="1"/>
            <a:t>Fuente: </a:t>
          </a:r>
          <a:r>
            <a:rPr lang="en-US" sz="1600"/>
            <a:t>SIPEN</a:t>
          </a:r>
        </a:p>
      </cdr:txBody>
    </cdr:sp>
  </cdr:relSizeAnchor>
</c:userShapes>
</file>

<file path=xl/drawings/drawing76.xml><?xml version="1.0" encoding="utf-8"?>
<xdr:wsDr xmlns:xdr="http://schemas.openxmlformats.org/drawingml/2006/spreadsheetDrawing" xmlns:a="http://schemas.openxmlformats.org/drawingml/2006/main">
  <xdr:twoCellAnchor>
    <xdr:from>
      <xdr:col>0</xdr:col>
      <xdr:colOff>0</xdr:colOff>
      <xdr:row>16</xdr:row>
      <xdr:rowOff>40821</xdr:rowOff>
    </xdr:from>
    <xdr:to>
      <xdr:col>10</xdr:col>
      <xdr:colOff>340179</xdr:colOff>
      <xdr:row>49</xdr:row>
      <xdr:rowOff>149678</xdr:rowOff>
    </xdr:to>
    <xdr:graphicFrame macro="">
      <xdr:nvGraphicFramePr>
        <xdr:cNvPr id="2" name="5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272145</xdr:colOff>
      <xdr:row>16</xdr:row>
      <xdr:rowOff>40821</xdr:rowOff>
    </xdr:from>
    <xdr:to>
      <xdr:col>18</xdr:col>
      <xdr:colOff>598716</xdr:colOff>
      <xdr:row>49</xdr:row>
      <xdr:rowOff>163286</xdr:rowOff>
    </xdr:to>
    <xdr:graphicFrame macro="">
      <xdr:nvGraphicFramePr>
        <xdr:cNvPr id="3"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0</xdr:row>
      <xdr:rowOff>1</xdr:rowOff>
    </xdr:from>
    <xdr:to>
      <xdr:col>18</xdr:col>
      <xdr:colOff>761999</xdr:colOff>
      <xdr:row>1</xdr:row>
      <xdr:rowOff>27215</xdr:rowOff>
    </xdr:to>
    <xdr:sp macro="" textlink="">
      <xdr:nvSpPr>
        <xdr:cNvPr id="5" name="4 Rectángulo redondeado"/>
        <xdr:cNvSpPr/>
      </xdr:nvSpPr>
      <xdr:spPr>
        <a:xfrm>
          <a:off x="0" y="1"/>
          <a:ext cx="16559892" cy="104775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Traspasos Netos en  Entidades de CCI (Reparto)</a:t>
          </a:r>
        </a:p>
        <a:p>
          <a:pPr algn="ctr" eaLnBrk="1" fontAlgn="auto" latinLnBrk="0" hangingPunct="1"/>
          <a:r>
            <a:rPr lang="es-DO" sz="1800" b="1">
              <a:solidFill>
                <a:schemeClr val="lt1"/>
              </a:solidFill>
              <a:effectLst/>
              <a:latin typeface="+mn-lt"/>
              <a:ea typeface="+mn-ea"/>
              <a:cs typeface="+mn-cs"/>
            </a:rPr>
            <a:t>Período:  2005 - Noviembre 2015</a:t>
          </a:r>
          <a:endParaRPr lang="es-DO" sz="4000">
            <a:effectLst/>
          </a:endParaRPr>
        </a:p>
      </xdr:txBody>
    </xdr:sp>
    <xdr:clientData/>
  </xdr:twoCellAnchor>
  <xdr:twoCellAnchor editAs="oneCell">
    <xdr:from>
      <xdr:col>0</xdr:col>
      <xdr:colOff>503464</xdr:colOff>
      <xdr:row>0</xdr:row>
      <xdr:rowOff>244930</xdr:rowOff>
    </xdr:from>
    <xdr:to>
      <xdr:col>0</xdr:col>
      <xdr:colOff>1385759</xdr:colOff>
      <xdr:row>0</xdr:row>
      <xdr:rowOff>790577</xdr:rowOff>
    </xdr:to>
    <xdr:pic>
      <xdr:nvPicPr>
        <xdr:cNvPr id="7" name="6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03464" y="244930"/>
          <a:ext cx="878584" cy="5456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7.xml><?xml version="1.0" encoding="utf-8"?>
<c:userShapes xmlns:c="http://schemas.openxmlformats.org/drawingml/2006/chart">
  <cdr:relSizeAnchor xmlns:cdr="http://schemas.openxmlformats.org/drawingml/2006/chartDrawing">
    <cdr:from>
      <cdr:x>0.09034</cdr:x>
      <cdr:y>0.92963</cdr:y>
    </cdr:from>
    <cdr:to>
      <cdr:x>0.27599</cdr:x>
      <cdr:y>0.98196</cdr:y>
    </cdr:to>
    <cdr:sp macro="" textlink="">
      <cdr:nvSpPr>
        <cdr:cNvPr id="3" name="2 CuadroTexto"/>
        <cdr:cNvSpPr txBox="1"/>
      </cdr:nvSpPr>
      <cdr:spPr>
        <a:xfrm xmlns:a="http://schemas.openxmlformats.org/drawingml/2006/main">
          <a:off x="766081" y="6171768"/>
          <a:ext cx="1574348" cy="34741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400" b="1"/>
            <a:t>Fuente: </a:t>
          </a:r>
          <a:r>
            <a:rPr lang="en-US" sz="1400"/>
            <a:t>SIPEN </a:t>
          </a:r>
        </a:p>
      </cdr:txBody>
    </cdr:sp>
  </cdr:relSizeAnchor>
</c:userShapes>
</file>

<file path=xl/drawings/drawing78.xml><?xml version="1.0" encoding="utf-8"?>
<xdr:wsDr xmlns:xdr="http://schemas.openxmlformats.org/drawingml/2006/spreadsheetDrawing" xmlns:a="http://schemas.openxmlformats.org/drawingml/2006/main">
  <xdr:twoCellAnchor editAs="oneCell">
    <xdr:from>
      <xdr:col>11</xdr:col>
      <xdr:colOff>0</xdr:colOff>
      <xdr:row>30</xdr:row>
      <xdr:rowOff>0</xdr:rowOff>
    </xdr:from>
    <xdr:to>
      <xdr:col>11</xdr:col>
      <xdr:colOff>9525</xdr:colOff>
      <xdr:row>30</xdr:row>
      <xdr:rowOff>9525</xdr:rowOff>
    </xdr:to>
    <xdr:pic>
      <xdr:nvPicPr>
        <xdr:cNvPr id="3" name="3 Imagen" descr="https://www.skymall.com/images/shop/borders/spac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115925" y="18478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xdr:colOff>
      <xdr:row>0</xdr:row>
      <xdr:rowOff>0</xdr:rowOff>
    </xdr:from>
    <xdr:to>
      <xdr:col>10</xdr:col>
      <xdr:colOff>1129393</xdr:colOff>
      <xdr:row>0</xdr:row>
      <xdr:rowOff>1115786</xdr:rowOff>
    </xdr:to>
    <xdr:sp macro="" textlink="">
      <xdr:nvSpPr>
        <xdr:cNvPr id="56" name="4 Rectángulo redondeado"/>
        <xdr:cNvSpPr/>
      </xdr:nvSpPr>
      <xdr:spPr>
        <a:xfrm>
          <a:off x="1" y="0"/>
          <a:ext cx="14205856" cy="111578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Distribución de Afiliados de las AFP por Provincia</a:t>
          </a:r>
        </a:p>
        <a:p>
          <a:pPr algn="ctr" eaLnBrk="1" fontAlgn="auto" latinLnBrk="0" hangingPunct="1"/>
          <a:r>
            <a:rPr lang="es-DO" sz="1800" b="1">
              <a:solidFill>
                <a:schemeClr val="lt1"/>
              </a:solidFill>
              <a:effectLst/>
              <a:latin typeface="+mn-lt"/>
              <a:ea typeface="+mn-ea"/>
              <a:cs typeface="+mn-cs"/>
            </a:rPr>
            <a:t>Septiembre de 2015</a:t>
          </a:r>
          <a:endParaRPr lang="es-DO" sz="4000">
            <a:effectLst/>
          </a:endParaRPr>
        </a:p>
      </xdr:txBody>
    </xdr:sp>
    <xdr:clientData/>
  </xdr:twoCellAnchor>
  <xdr:twoCellAnchor editAs="oneCell">
    <xdr:from>
      <xdr:col>0</xdr:col>
      <xdr:colOff>394607</xdr:colOff>
      <xdr:row>0</xdr:row>
      <xdr:rowOff>217714</xdr:rowOff>
    </xdr:from>
    <xdr:to>
      <xdr:col>0</xdr:col>
      <xdr:colOff>1247776</xdr:colOff>
      <xdr:row>0</xdr:row>
      <xdr:rowOff>817789</xdr:rowOff>
    </xdr:to>
    <xdr:pic>
      <xdr:nvPicPr>
        <xdr:cNvPr id="57" name="3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4607" y="217714"/>
          <a:ext cx="853169"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9.xml><?xml version="1.0" encoding="utf-8"?>
<xdr:wsDr xmlns:xdr="http://schemas.openxmlformats.org/drawingml/2006/spreadsheetDrawing" xmlns:a="http://schemas.openxmlformats.org/drawingml/2006/main">
  <xdr:twoCellAnchor editAs="oneCell">
    <xdr:from>
      <xdr:col>3</xdr:col>
      <xdr:colOff>488672</xdr:colOff>
      <xdr:row>6</xdr:row>
      <xdr:rowOff>6334</xdr:rowOff>
    </xdr:from>
    <xdr:to>
      <xdr:col>8</xdr:col>
      <xdr:colOff>437029</xdr:colOff>
      <xdr:row>28</xdr:row>
      <xdr:rowOff>145676</xdr:rowOff>
    </xdr:to>
    <xdr:pic>
      <xdr:nvPicPr>
        <xdr:cNvPr id="5" name="4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774672" y="1149334"/>
          <a:ext cx="3590269" cy="4330342"/>
        </a:xfrm>
        <a:prstGeom prst="rect">
          <a:avLst/>
        </a:prstGeom>
        <a:noFill/>
        <a:ln>
          <a:noFill/>
        </a:ln>
      </xdr:spPr>
    </xdr:pic>
    <xdr:clientData/>
  </xdr:twoCellAnchor>
  <xdr:twoCellAnchor>
    <xdr:from>
      <xdr:col>0</xdr:col>
      <xdr:colOff>123265</xdr:colOff>
      <xdr:row>8</xdr:row>
      <xdr:rowOff>11205</xdr:rowOff>
    </xdr:from>
    <xdr:to>
      <xdr:col>11</xdr:col>
      <xdr:colOff>493059</xdr:colOff>
      <xdr:row>23</xdr:row>
      <xdr:rowOff>156882</xdr:rowOff>
    </xdr:to>
    <xdr:sp macro="" textlink="">
      <xdr:nvSpPr>
        <xdr:cNvPr id="3" name="2 CuadroTexto"/>
        <xdr:cNvSpPr txBox="1"/>
      </xdr:nvSpPr>
      <xdr:spPr>
        <a:xfrm>
          <a:off x="123265" y="1535205"/>
          <a:ext cx="8583706" cy="30031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latin typeface="+mn-lt"/>
              <a:ea typeface="+mn-ea"/>
              <a:cs typeface="+mn-cs"/>
            </a:rPr>
            <a:t>Afiliación del Seguro de Riesgos L</a:t>
          </a:r>
          <a:r>
            <a:rPr lang="es-DO" sz="3200" b="1">
              <a:solidFill>
                <a:schemeClr val="accent3">
                  <a:lumMod val="50000"/>
                </a:schemeClr>
              </a:solidFill>
            </a:rPr>
            <a:t>aborales del RC</a:t>
          </a:r>
        </a:p>
      </xdr:txBody>
    </xdr:sp>
    <xdr:clientData/>
  </xdr:twoCellAnchor>
  <xdr:twoCellAnchor editAs="oneCell">
    <xdr:from>
      <xdr:col>0</xdr:col>
      <xdr:colOff>240196</xdr:colOff>
      <xdr:row>1</xdr:row>
      <xdr:rowOff>182218</xdr:rowOff>
    </xdr:from>
    <xdr:to>
      <xdr:col>1</xdr:col>
      <xdr:colOff>552270</xdr:colOff>
      <xdr:row>5</xdr:row>
      <xdr:rowOff>182218</xdr:rowOff>
    </xdr:to>
    <xdr:pic>
      <xdr:nvPicPr>
        <xdr:cNvPr id="4" name="4 Imagen" descr="logo_2x4.bmp"/>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40196" y="372718"/>
          <a:ext cx="1074074"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0</xdr:row>
      <xdr:rowOff>1</xdr:rowOff>
    </xdr:from>
    <xdr:to>
      <xdr:col>14</xdr:col>
      <xdr:colOff>0</xdr:colOff>
      <xdr:row>45</xdr:row>
      <xdr:rowOff>168088</xdr:rowOff>
    </xdr:to>
    <xdr:sp macro="" textlink="">
      <xdr:nvSpPr>
        <xdr:cNvPr id="2" name="1 CuadroTexto"/>
        <xdr:cNvSpPr txBox="1"/>
      </xdr:nvSpPr>
      <xdr:spPr>
        <a:xfrm>
          <a:off x="0" y="1"/>
          <a:ext cx="11474824" cy="8919881"/>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1" i="0" u="none" strike="noStrike" baseline="0">
              <a:solidFill>
                <a:schemeClr val="dk1"/>
              </a:solidFill>
              <a:latin typeface="+mn-lt"/>
              <a:ea typeface="+mn-ea"/>
              <a:cs typeface="+mn-cs"/>
            </a:rPr>
            <a:t>La Ley 87-01: </a:t>
          </a:r>
          <a:r>
            <a:rPr lang="es-DO" sz="1400" b="0" i="0" u="none" strike="noStrike" baseline="0">
              <a:solidFill>
                <a:schemeClr val="dk1"/>
              </a:solidFill>
              <a:latin typeface="+mn-lt"/>
              <a:ea typeface="+mn-ea"/>
              <a:cs typeface="+mn-cs"/>
            </a:rPr>
            <a:t>Crea el Sistema Dominicano  de Seguridad Social en el marco de la  Constitución de la República, para  regular  y desarrollar los derechos y deberes recíprocos del Estado y de los ciudadanos en lo concerniente al  financiamiento para la protección de la población contra los riesgos de vejez, discapacidad, infancia  y riesgos laborales.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i="0" u="none" strike="noStrike" baseline="0">
            <a:solidFill>
              <a:schemeClr val="dk1"/>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i="0" u="none" strike="noStrike" baseline="0">
              <a:solidFill>
                <a:schemeClr val="dk1"/>
              </a:solidFill>
              <a:latin typeface="+mn-lt"/>
              <a:ea typeface="+mn-ea"/>
              <a:cs typeface="+mn-cs"/>
            </a:rPr>
            <a:t>El SDSS comprende a todas las  instituciones públicas , privadas  y mixta  que realizan actividades principales o complementarias de seguridad social, en los recursos físicos y humanos, excepto la institución regida por la Ley 340-98, que crea  el Instituto de Previsión Social del Congresista Dominicano.</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i="0" u="none" strike="noStrike" baseline="0">
            <a:solidFill>
              <a:schemeClr val="dk1"/>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b="0" i="0" u="none" strike="noStrike" baseline="0" smtClean="0">
              <a:solidFill>
                <a:schemeClr val="dk1"/>
              </a:solidFill>
              <a:latin typeface="+mn-lt"/>
              <a:ea typeface="+mn-ea"/>
              <a:cs typeface="+mn-cs"/>
            </a:rPr>
            <a:t>De acuerdo a lo establecido en el artículo 7 de la Ley 87-01 el Sistema Dominicano de Seguridad Social (SDSS) está integrado por tres regímenes de financiamiento</a:t>
          </a:r>
          <a:r>
            <a:rPr lang="en-US" sz="1400" b="1" i="0" u="none" strike="noStrike" baseline="0" smtClean="0">
              <a:solidFill>
                <a:schemeClr val="dk1"/>
              </a:solidFill>
              <a:latin typeface="+mn-lt"/>
              <a:ea typeface="+mn-ea"/>
              <a:cs typeface="+mn-cs"/>
            </a:rPr>
            <a:t>:</a:t>
          </a:r>
        </a:p>
        <a:p>
          <a:endParaRPr lang="es-DO" sz="1400" b="1">
            <a:solidFill>
              <a:sysClr val="windowText" lastClr="000000"/>
            </a:solidFill>
            <a:latin typeface="+mn-lt"/>
          </a:endParaRPr>
        </a:p>
        <a:p>
          <a:r>
            <a:rPr lang="es-DO" sz="1400" b="1">
              <a:solidFill>
                <a:sysClr val="windowText" lastClr="000000"/>
              </a:solidFill>
              <a:latin typeface="+mn-lt"/>
            </a:rPr>
            <a:t>Régimen</a:t>
          </a:r>
          <a:r>
            <a:rPr lang="es-DO" sz="1400" b="1" baseline="0">
              <a:solidFill>
                <a:sysClr val="windowText" lastClr="000000"/>
              </a:solidFill>
              <a:latin typeface="+mn-lt"/>
            </a:rPr>
            <a:t> Contributivo</a:t>
          </a:r>
          <a:r>
            <a:rPr lang="es-DO" sz="1400" b="1" baseline="0">
              <a:solidFill>
                <a:schemeClr val="accent3">
                  <a:lumMod val="50000"/>
                </a:schemeClr>
              </a:solidFill>
              <a:latin typeface="+mn-lt"/>
            </a:rPr>
            <a:t>.- </a:t>
          </a:r>
          <a:r>
            <a:rPr lang="en-US" sz="1400" b="0" i="0" u="none" strike="noStrike" baseline="0" smtClean="0">
              <a:solidFill>
                <a:schemeClr val="dk1"/>
              </a:solidFill>
              <a:latin typeface="+mn-lt"/>
              <a:ea typeface="+mn-ea"/>
              <a:cs typeface="+mn-cs"/>
            </a:rPr>
            <a:t>Comprende a los trabajadores asalariados públicos y privados y a los empleadores, financiado por los trabajadores y empleadores, incluyendo al Estado como empleador.</a:t>
          </a:r>
        </a:p>
        <a:p>
          <a:endParaRPr lang="en-US" sz="1400" b="0" i="0" u="none" strike="noStrike" baseline="0" smtClean="0">
            <a:solidFill>
              <a:schemeClr val="dk1"/>
            </a:solidFill>
            <a:latin typeface="+mn-lt"/>
            <a:ea typeface="+mn-ea"/>
            <a:cs typeface="+mn-cs"/>
          </a:endParaRPr>
        </a:p>
        <a:p>
          <a:r>
            <a:rPr lang="en-US" sz="1400" b="1" i="0" u="none" strike="noStrike" baseline="0" smtClean="0">
              <a:solidFill>
                <a:schemeClr val="dk1"/>
              </a:solidFill>
              <a:latin typeface="+mn-lt"/>
              <a:ea typeface="+mn-ea"/>
              <a:cs typeface="+mn-cs"/>
            </a:rPr>
            <a:t>Régimen Subsidiado</a:t>
          </a:r>
          <a:r>
            <a:rPr lang="en-US" sz="1400" b="0" i="0" u="none" strike="noStrike" baseline="0" smtClean="0">
              <a:solidFill>
                <a:schemeClr val="dk1"/>
              </a:solidFill>
              <a:latin typeface="+mn-lt"/>
              <a:ea typeface="+mn-ea"/>
              <a:cs typeface="+mn-cs"/>
            </a:rPr>
            <a:t>.-  Protege a los trabajadores por cuenta propia con ingresos inestables e inferiores al salario mínimo nacional, así como a los desempleados, discapacitados e indigentes, financiado fundamentalmente por el Estado Dominicano.</a:t>
          </a:r>
        </a:p>
        <a:p>
          <a:endParaRPr lang="en-US" sz="1400" b="0" i="0" u="none" strike="noStrike" baseline="0" smtClean="0">
            <a:solidFill>
              <a:schemeClr val="dk1"/>
            </a:solidFill>
            <a:latin typeface="+mn-lt"/>
            <a:ea typeface="+mn-ea"/>
            <a:cs typeface="+mn-cs"/>
          </a:endParaRPr>
        </a:p>
        <a:p>
          <a:r>
            <a:rPr lang="en-US" sz="1400" b="1" i="0" u="none" strike="noStrike" baseline="0" smtClean="0">
              <a:solidFill>
                <a:schemeClr val="dk1"/>
              </a:solidFill>
              <a:latin typeface="+mn-lt"/>
              <a:ea typeface="+mn-ea"/>
              <a:cs typeface="+mn-cs"/>
            </a:rPr>
            <a:t>Régimen Contributivo Subsidiado.- </a:t>
          </a:r>
          <a:r>
            <a:rPr lang="en-US" sz="1400" b="0" i="0" u="none" strike="noStrike" baseline="0" smtClean="0">
              <a:solidFill>
                <a:schemeClr val="dk1"/>
              </a:solidFill>
              <a:latin typeface="+mn-lt"/>
              <a:ea typeface="+mn-ea"/>
              <a:cs typeface="+mn-cs"/>
            </a:rPr>
            <a:t>Protegerá a los profesionales y técnicos independientes y a los trabajadores por cuenta propia con ingresos promedio, iguales o superiores a un salario mínimo nacional, financiado con aportes del trabajador y un subsidio estatal para suplir la falta de empleador. </a:t>
          </a:r>
        </a:p>
        <a:p>
          <a:endParaRPr lang="en-US" sz="1400" b="0" i="0" u="none" strike="noStrike" baseline="0" smtClean="0">
            <a:solidFill>
              <a:schemeClr val="dk1"/>
            </a:solidFill>
            <a:latin typeface="+mn-lt"/>
            <a:ea typeface="+mn-ea"/>
            <a:cs typeface="+mn-cs"/>
          </a:endParaRPr>
        </a:p>
        <a:p>
          <a:r>
            <a:rPr lang="es-DO" sz="1400" b="0" i="0" u="none" strike="noStrike" baseline="0">
              <a:solidFill>
                <a:schemeClr val="dk1"/>
              </a:solidFill>
              <a:latin typeface="+mn-lt"/>
              <a:ea typeface="+mn-ea"/>
              <a:cs typeface="+mn-cs"/>
            </a:rPr>
            <a:t>Tienen derecho a ser afiliados al Sistema dominicano de Seguridad  Social  todos los ciudadanos  dominicanos y los residentes legales en el territorio nacional . Las normas complementarias de la Ley 87-01 regularán la inclusión de los dominicanos residentes en el exterior.</a:t>
          </a:r>
        </a:p>
        <a:p>
          <a:endParaRPr lang="es-DO" sz="1400" b="0" i="0" u="none" strike="noStrike" baseline="0">
            <a:solidFill>
              <a:schemeClr val="dk1"/>
            </a:solidFill>
            <a:latin typeface="+mn-lt"/>
            <a:ea typeface="+mn-ea"/>
            <a:cs typeface="+mn-cs"/>
          </a:endParaRPr>
        </a:p>
        <a:p>
          <a:r>
            <a:rPr lang="es-DO" sz="1400" b="1" i="0" u="none" strike="noStrike" baseline="0">
              <a:solidFill>
                <a:schemeClr val="dk1"/>
              </a:solidFill>
              <a:latin typeface="+mn-lt"/>
              <a:ea typeface="+mn-ea"/>
              <a:cs typeface="+mn-cs"/>
            </a:rPr>
            <a:t>El Sistema Dominicano de Seguridad Social Proporciona Tres Tipos de Aseguramiento:</a:t>
          </a:r>
        </a:p>
        <a:p>
          <a:endParaRPr lang="es-DO" sz="1400" b="0" i="0" u="none" strike="noStrike" baseline="0">
            <a:solidFill>
              <a:schemeClr val="dk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s-DO" sz="1400" b="1" i="0" u="none" strike="noStrike" baseline="0">
              <a:solidFill>
                <a:schemeClr val="dk1"/>
              </a:solidFill>
              <a:latin typeface="+mn-lt"/>
              <a:ea typeface="+mn-ea"/>
              <a:cs typeface="+mn-cs"/>
            </a:rPr>
            <a:t>Seguro Familiar de Salud (SFS) .- </a:t>
          </a:r>
          <a:r>
            <a:rPr lang="en-US" sz="1400" b="0" i="0" u="none" strike="noStrike" baseline="0">
              <a:solidFill>
                <a:schemeClr val="dk1"/>
              </a:solidFill>
              <a:latin typeface="+mn-lt"/>
              <a:ea typeface="+mn-ea"/>
              <a:cs typeface="+mn-cs"/>
            </a:rPr>
            <a:t>Tiene por finalidad la protección integral  de la salud física y mental del afiliado y su familia , así como alcanzar una cobertura universal sin exclusiones por edad, sexo, condición social, laboral o territorial, garantizando el acceso regular de los grupos sociales más vulnerables y velando por el equilibrio financiero, mediante la racionalización del costo de las prestaciones y de la administración del sistema.</a:t>
          </a:r>
        </a:p>
        <a:p>
          <a:pPr lvl="0"/>
          <a:endParaRPr lang="en-US" sz="1400" b="0" i="0" u="none" strike="noStrike" baseline="0">
            <a:solidFill>
              <a:schemeClr val="dk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sz="1400" b="1" i="0" u="none" strike="noStrike" baseline="0">
              <a:solidFill>
                <a:schemeClr val="dk1"/>
              </a:solidFill>
              <a:latin typeface="+mn-lt"/>
              <a:ea typeface="+mn-ea"/>
              <a:cs typeface="+mn-cs"/>
            </a:rPr>
            <a:t>Seguro de Vejez, Discapacidad y Sobrevivencia.- </a:t>
          </a:r>
          <a:r>
            <a:rPr lang="en-US" sz="1400" b="0" i="0" u="none" strike="noStrike" baseline="0">
              <a:solidFill>
                <a:schemeClr val="dk1"/>
              </a:solidFill>
              <a:latin typeface="+mn-lt"/>
              <a:ea typeface="+mn-ea"/>
              <a:cs typeface="+mn-cs"/>
            </a:rPr>
            <a:t> Tener como objetivo reemplazar la pérdida o reducción del ingreso por vejez, fallecimiento, discapacidad, cesantía en edad avanzada y sobrevivencia.</a:t>
          </a:r>
        </a:p>
        <a:p>
          <a:pPr marL="0" marR="0" lvl="0" indent="0" algn="l" defTabSz="914400" eaLnBrk="1" fontAlgn="auto" latinLnBrk="0" hangingPunct="1">
            <a:lnSpc>
              <a:spcPct val="100000"/>
            </a:lnSpc>
            <a:spcBef>
              <a:spcPts val="0"/>
            </a:spcBef>
            <a:spcAft>
              <a:spcPts val="0"/>
            </a:spcAft>
            <a:buClrTx/>
            <a:buSzTx/>
            <a:buFontTx/>
            <a:buNone/>
            <a:tabLst/>
            <a:defRPr/>
          </a:pPr>
          <a:endParaRPr lang="en-US" sz="1400" b="0" i="0" u="none" strike="noStrike" baseline="0">
            <a:solidFill>
              <a:schemeClr val="dk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sz="1400" b="1" i="0" u="none" strike="noStrike" baseline="0">
              <a:solidFill>
                <a:schemeClr val="dk1"/>
              </a:solidFill>
              <a:latin typeface="+mn-lt"/>
              <a:ea typeface="+mn-ea"/>
              <a:cs typeface="+mn-cs"/>
            </a:rPr>
            <a:t>Seguro de Riesgos Laborales.-  </a:t>
          </a:r>
          <a:r>
            <a:rPr lang="en-US" sz="1400" b="0" i="0" u="none" strike="noStrike" baseline="0">
              <a:solidFill>
                <a:schemeClr val="dk1"/>
              </a:solidFill>
              <a:latin typeface="+mn-lt"/>
              <a:ea typeface="+mn-ea"/>
              <a:cs typeface="+mn-cs"/>
            </a:rPr>
            <a:t>Tiene como propósito prevenir y cubrir los daños ocasionados por accidentes de trabajo y/o enfermedades profesionales. Comprende toda lesión corporal y todo estado mórbido que el trabajador sufra con ocasión o por consecuencia del trabajo que presta por cuenta ajena. Incluye los tratamientos por accidentes de tránsito en horas laborables y/o en la ruta hacia o desde el centro de trabajo.</a:t>
          </a:r>
        </a:p>
      </xdr:txBody>
    </xdr:sp>
    <xdr:clientData/>
  </xdr:twoCellAnchor>
  <xdr:twoCellAnchor>
    <xdr:from>
      <xdr:col>0</xdr:col>
      <xdr:colOff>0</xdr:colOff>
      <xdr:row>0</xdr:row>
      <xdr:rowOff>0</xdr:rowOff>
    </xdr:from>
    <xdr:to>
      <xdr:col>14</xdr:col>
      <xdr:colOff>11205</xdr:colOff>
      <xdr:row>3</xdr:row>
      <xdr:rowOff>168088</xdr:rowOff>
    </xdr:to>
    <xdr:sp macro="" textlink="">
      <xdr:nvSpPr>
        <xdr:cNvPr id="4" name="3 Rectángulo redondeado"/>
        <xdr:cNvSpPr/>
      </xdr:nvSpPr>
      <xdr:spPr>
        <a:xfrm>
          <a:off x="0" y="0"/>
          <a:ext cx="11486029" cy="73958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Sistema Dominicano de Seguridad Social (SDSS)</a:t>
          </a:r>
          <a:endParaRPr lang="es-DO" sz="6600">
            <a:effectLst/>
          </a:endParaRPr>
        </a:p>
      </xdr:txBody>
    </xdr:sp>
    <xdr:clientData/>
  </xdr:twoCellAnchor>
  <xdr:twoCellAnchor editAs="oneCell">
    <xdr:from>
      <xdr:col>0</xdr:col>
      <xdr:colOff>448236</xdr:colOff>
      <xdr:row>0</xdr:row>
      <xdr:rowOff>123265</xdr:rowOff>
    </xdr:from>
    <xdr:to>
      <xdr:col>1</xdr:col>
      <xdr:colOff>414618</xdr:colOff>
      <xdr:row>3</xdr:row>
      <xdr:rowOff>67168</xdr:rowOff>
    </xdr:to>
    <xdr:pic>
      <xdr:nvPicPr>
        <xdr:cNvPr id="6" name="40 Imagen" descr="Logo_2x4.bmp">
          <a:hlinkClick xmlns:r="http://schemas.openxmlformats.org/officeDocument/2006/relationships" r:id="rId1"/>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448236" y="123265"/>
          <a:ext cx="728382" cy="515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0.xml><?xml version="1.0" encoding="utf-8"?>
<xdr:wsDr xmlns:xdr="http://schemas.openxmlformats.org/drawingml/2006/spreadsheetDrawing" xmlns:a="http://schemas.openxmlformats.org/drawingml/2006/main">
  <xdr:twoCellAnchor editAs="oneCell">
    <xdr:from>
      <xdr:col>3</xdr:col>
      <xdr:colOff>176894</xdr:colOff>
      <xdr:row>10</xdr:row>
      <xdr:rowOff>68837</xdr:rowOff>
    </xdr:from>
    <xdr:to>
      <xdr:col>9</xdr:col>
      <xdr:colOff>176893</xdr:colOff>
      <xdr:row>34</xdr:row>
      <xdr:rowOff>27215</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462894" y="1973837"/>
          <a:ext cx="4708070" cy="4530378"/>
        </a:xfrm>
        <a:prstGeom prst="rect">
          <a:avLst/>
        </a:prstGeom>
        <a:noFill/>
        <a:ln>
          <a:noFill/>
        </a:ln>
      </xdr:spPr>
    </xdr:pic>
    <xdr:clientData/>
  </xdr:twoCellAnchor>
  <xdr:twoCellAnchor>
    <xdr:from>
      <xdr:col>0</xdr:col>
      <xdr:colOff>0</xdr:colOff>
      <xdr:row>0</xdr:row>
      <xdr:rowOff>27214</xdr:rowOff>
    </xdr:from>
    <xdr:to>
      <xdr:col>12</xdr:col>
      <xdr:colOff>721179</xdr:colOff>
      <xdr:row>48</xdr:row>
      <xdr:rowOff>122464</xdr:rowOff>
    </xdr:to>
    <xdr:sp macro="" textlink="">
      <xdr:nvSpPr>
        <xdr:cNvPr id="2" name="1 CuadroTexto"/>
        <xdr:cNvSpPr txBox="1"/>
      </xdr:nvSpPr>
      <xdr:spPr>
        <a:xfrm>
          <a:off x="0" y="27214"/>
          <a:ext cx="10382250" cy="9239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i="0" u="none" strike="noStrike" baseline="0">
              <a:solidFill>
                <a:sysClr val="windowText" lastClr="000000"/>
              </a:solidFill>
              <a:latin typeface="+mn-lt"/>
              <a:ea typeface="+mn-ea"/>
              <a:cs typeface="+mn-cs"/>
            </a:rPr>
            <a:t>El propósito del Seguro de Riesgos Laborales es prevenir y cubrir daños ocasionados por accidentes de trabajo  y/o  enfermedades profesionales. Comprenden toda lesión corporal y todo estado mórbido que el trabajador sufra con ocasión o por consecuencia del trabajo que presta por cuenta ajena . Incluye los tratamientos por accidentes de tránsito  en horas laborables y/o en la ruta hacia o desde el centro de trabajo.</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i="0" u="none" strike="noStrike" baseline="0">
            <a:solidFill>
              <a:sysClr val="windowText" lastClr="000000"/>
            </a:solidFill>
            <a:latin typeface="+mn-lt"/>
            <a:ea typeface="+mn-ea"/>
            <a:cs typeface="+mn-cs"/>
          </a:endParaRPr>
        </a:p>
        <a:p>
          <a:r>
            <a:rPr lang="en-US" sz="1400" b="1" i="0" u="none" strike="noStrike" baseline="0" smtClean="0">
              <a:solidFill>
                <a:sysClr val="windowText" lastClr="000000"/>
              </a:solidFill>
              <a:latin typeface="+mn-lt"/>
              <a:ea typeface="+mn-ea"/>
              <a:cs typeface="+mn-cs"/>
            </a:rPr>
            <a:t>Son beneficiarios del Seguro de Riesgos Laborales:</a:t>
          </a:r>
        </a:p>
        <a:p>
          <a:pPr lvl="1"/>
          <a:r>
            <a:rPr lang="en-US" sz="1400" b="0" i="0" u="none" strike="noStrike" baseline="0" smtClean="0">
              <a:solidFill>
                <a:sysClr val="windowText" lastClr="000000"/>
              </a:solidFill>
              <a:latin typeface="+mn-lt"/>
              <a:ea typeface="+mn-ea"/>
              <a:cs typeface="+mn-cs"/>
            </a:rPr>
            <a:t>a) El(la) afiliado(a);</a:t>
          </a:r>
        </a:p>
        <a:p>
          <a:pPr lvl="1"/>
          <a:r>
            <a:rPr lang="en-US" sz="1400" b="0" i="0" u="none" strike="noStrike" baseline="0" smtClean="0">
              <a:solidFill>
                <a:sysClr val="windowText" lastClr="000000"/>
              </a:solidFill>
              <a:latin typeface="+mn-lt"/>
              <a:ea typeface="+mn-ea"/>
              <a:cs typeface="+mn-cs"/>
            </a:rPr>
            <a:t>b) Los dependientes señalados a continuación, en caso de pensión de sobrevivencia;</a:t>
          </a:r>
        </a:p>
        <a:p>
          <a:pPr lvl="1"/>
          <a:r>
            <a:rPr lang="en-US" sz="1400" b="0" i="0" u="none" strike="noStrike" baseline="0" smtClean="0">
              <a:solidFill>
                <a:sysClr val="windowText" lastClr="000000"/>
              </a:solidFill>
              <a:latin typeface="+mn-lt"/>
              <a:ea typeface="+mn-ea"/>
              <a:cs typeface="+mn-cs"/>
            </a:rPr>
            <a:t>c) La(el) esposa(o) del afiliado(a) y del(a) pensionado(a) o, a falta de éste(a) la(el) compañera(o) de vida con quien haya mantenido una vida marital durante los tres años anteriores a su inscripción, o haya procreado hijos, siempre que ambos no tengan impedimento legal para el matrimonio;</a:t>
          </a:r>
        </a:p>
        <a:p>
          <a:pPr lvl="1"/>
          <a:r>
            <a:rPr lang="en-US" sz="1400" b="0" i="0" u="none" strike="noStrike" baseline="0" smtClean="0">
              <a:solidFill>
                <a:sysClr val="windowText" lastClr="000000"/>
              </a:solidFill>
              <a:latin typeface="+mn-lt"/>
              <a:ea typeface="+mn-ea"/>
              <a:cs typeface="+mn-cs"/>
            </a:rPr>
            <a:t>d) Los hijos menores de 18 años del afiliado;</a:t>
          </a:r>
        </a:p>
        <a:p>
          <a:pPr lvl="1"/>
          <a:r>
            <a:rPr lang="en-US" sz="1400" b="0" i="0" u="none" strike="noStrike" baseline="0" smtClean="0">
              <a:solidFill>
                <a:sysClr val="windowText" lastClr="000000"/>
              </a:solidFill>
              <a:latin typeface="+mn-lt"/>
              <a:ea typeface="+mn-ea"/>
              <a:cs typeface="+mn-cs"/>
            </a:rPr>
            <a:t>e) Los hijos menores de 21 años del afiliado que sean estudiantes;</a:t>
          </a:r>
        </a:p>
        <a:p>
          <a:pPr lvl="1"/>
          <a:r>
            <a:rPr lang="en-US" sz="1400" b="0" i="0" u="none" strike="noStrike" baseline="0" smtClean="0">
              <a:solidFill>
                <a:sysClr val="windowText" lastClr="000000"/>
              </a:solidFill>
              <a:latin typeface="+mn-lt"/>
              <a:ea typeface="+mn-ea"/>
              <a:cs typeface="+mn-cs"/>
            </a:rPr>
            <a:t>f ) Los hijos discapacitados, independientemente de su edad, que dependan del afiliado o del pensionado.</a:t>
          </a:r>
        </a:p>
        <a:p>
          <a:pPr lvl="1"/>
          <a:endParaRPr lang="en-US" sz="1400" b="0" i="0" u="none" strike="noStrike" baseline="0" smtClean="0">
            <a:solidFill>
              <a:sysClr val="windowText" lastClr="000000"/>
            </a:solidFill>
            <a:latin typeface="+mn-lt"/>
            <a:ea typeface="+mn-ea"/>
            <a:cs typeface="+mn-cs"/>
          </a:endParaRPr>
        </a:p>
        <a:p>
          <a:pPr indent="0"/>
          <a:r>
            <a:rPr lang="en-US" sz="1400" b="1" i="0" u="none" strike="noStrike" baseline="0" smtClean="0">
              <a:solidFill>
                <a:sysClr val="windowText" lastClr="000000"/>
              </a:solidFill>
              <a:latin typeface="+mn-lt"/>
              <a:ea typeface="+mn-ea"/>
              <a:cs typeface="+mn-cs"/>
            </a:rPr>
            <a:t>El Seguro de Riesgos Laborales cubre los siguientes eventos:</a:t>
          </a:r>
        </a:p>
        <a:p>
          <a:pPr lvl="1" indent="0"/>
          <a:r>
            <a:rPr lang="en-US" sz="1400" b="0" i="0" u="none" strike="noStrike" baseline="0" smtClean="0">
              <a:solidFill>
                <a:sysClr val="windowText" lastClr="000000"/>
              </a:solidFill>
              <a:latin typeface="+mn-lt"/>
              <a:ea typeface="+mn-ea"/>
              <a:cs typeface="+mn-cs"/>
            </a:rPr>
            <a:t>a) Toda lesión corporal y todo estado mórbido que el trabajador o aprendiz sufra por consecuencia del trabajo que realiza;</a:t>
          </a:r>
        </a:p>
        <a:p>
          <a:pPr lvl="1" indent="0"/>
          <a:r>
            <a:rPr lang="en-US" sz="1400" b="0" i="0" u="none" strike="noStrike" baseline="0" smtClean="0">
              <a:solidFill>
                <a:sysClr val="windowText" lastClr="000000"/>
              </a:solidFill>
              <a:latin typeface="+mn-lt"/>
              <a:ea typeface="+mn-ea"/>
              <a:cs typeface="+mn-cs"/>
            </a:rPr>
            <a:t>b) Las lesiones del trabajador durante el tiempo y en el lugar del trabajo, salvo prueba en contrario;</a:t>
          </a:r>
        </a:p>
        <a:p>
          <a:pPr lvl="1" indent="0"/>
          <a:r>
            <a:rPr lang="en-US" sz="1400" b="0" i="0" u="none" strike="noStrike" baseline="0" smtClean="0">
              <a:solidFill>
                <a:sysClr val="windowText" lastClr="000000"/>
              </a:solidFill>
              <a:latin typeface="+mn-lt"/>
              <a:ea typeface="+mn-ea"/>
              <a:cs typeface="+mn-cs"/>
            </a:rPr>
            <a:t>c) Los accidentes de trabajo ocurridos con conexión o por consecuencia de las tareas encomendadas por el empleador, aunque estas fuesen distintas de la categoría profesional del trabajador;</a:t>
          </a:r>
        </a:p>
        <a:p>
          <a:pPr lvl="1" indent="0"/>
          <a:r>
            <a:rPr lang="en-US" sz="1400" b="0" i="0" u="none" strike="noStrike" baseline="0" smtClean="0">
              <a:solidFill>
                <a:sysClr val="windowText" lastClr="000000"/>
              </a:solidFill>
              <a:latin typeface="+mn-lt"/>
              <a:ea typeface="+mn-ea"/>
              <a:cs typeface="+mn-cs"/>
            </a:rPr>
            <a:t>d) Los accidentes acaecidos en actos de salvamento y en otros de naturaleza análoga, cuando unos y otros tengan conexión con el trabajo;</a:t>
          </a:r>
        </a:p>
        <a:p>
          <a:pPr lvl="1" indent="0"/>
          <a:r>
            <a:rPr lang="en-US" sz="1400" b="0" i="0" u="none" strike="noStrike" baseline="0" smtClean="0">
              <a:solidFill>
                <a:sysClr val="windowText" lastClr="000000"/>
              </a:solidFill>
              <a:latin typeface="+mn-lt"/>
              <a:ea typeface="+mn-ea"/>
              <a:cs typeface="+mn-cs"/>
            </a:rPr>
            <a:t>e) Los accidentes de tránsito dentro de la ruta y de la jornada normal de trabajo;</a:t>
          </a:r>
        </a:p>
        <a:p>
          <a:pPr lvl="1" indent="0"/>
          <a:r>
            <a:rPr lang="en-US" sz="1400" b="0" i="0" u="none" strike="noStrike" baseline="0" smtClean="0">
              <a:solidFill>
                <a:sysClr val="windowText" lastClr="000000"/>
              </a:solidFill>
              <a:latin typeface="+mn-lt"/>
              <a:ea typeface="+mn-ea"/>
              <a:cs typeface="+mn-cs"/>
            </a:rPr>
            <a:t>f ) Las enfermedades cuya causa directa provenga del ejercicio de la profesión o el trabajo que realice una persona y que le ocasione discapacidad o muerte.</a:t>
          </a:r>
        </a:p>
        <a:p>
          <a:pPr lvl="1" indent="0"/>
          <a:endParaRPr lang="en-US" sz="1400" b="1" i="0" u="none" strike="noStrike" baseline="0" smtClean="0">
            <a:solidFill>
              <a:sysClr val="windowText" lastClr="000000"/>
            </a:solidFill>
            <a:latin typeface="+mn-lt"/>
            <a:ea typeface="+mn-ea"/>
            <a:cs typeface="+mn-cs"/>
          </a:endParaRPr>
        </a:p>
        <a:p>
          <a:pPr marL="0" lvl="0" indent="0"/>
          <a:r>
            <a:rPr lang="en-US" sz="1400" b="1" i="0" u="none" strike="noStrike" baseline="0" smtClean="0">
              <a:solidFill>
                <a:sysClr val="windowText" lastClr="000000"/>
              </a:solidFill>
              <a:latin typeface="+mn-lt"/>
              <a:ea typeface="+mn-ea"/>
              <a:cs typeface="+mn-cs"/>
            </a:rPr>
            <a:t>El Seguro de Riesgos Laborales garantizará las siguientes prestaciones:</a:t>
          </a:r>
        </a:p>
        <a:p>
          <a:pPr marL="0" lvl="0" indent="0"/>
          <a:r>
            <a:rPr lang="en-US" sz="1400" b="1" i="0" u="none" strike="noStrike" baseline="0" smtClean="0">
              <a:solidFill>
                <a:sysClr val="windowText" lastClr="000000"/>
              </a:solidFill>
              <a:latin typeface="+mn-lt"/>
              <a:ea typeface="+mn-ea"/>
              <a:cs typeface="+mn-cs"/>
            </a:rPr>
            <a:t>I. Prestaciones en especie:</a:t>
          </a:r>
        </a:p>
        <a:p>
          <a:pPr marL="457200" lvl="1" indent="0"/>
          <a:r>
            <a:rPr lang="en-US" sz="1400" b="0" i="0" u="none" strike="noStrike" baseline="0" smtClean="0">
              <a:solidFill>
                <a:sysClr val="windowText" lastClr="000000"/>
              </a:solidFill>
              <a:latin typeface="+mn-lt"/>
              <a:ea typeface="+mn-ea"/>
              <a:cs typeface="+mn-cs"/>
            </a:rPr>
            <a:t>a) Atención médica y asistencia odontológica;</a:t>
          </a:r>
        </a:p>
        <a:p>
          <a:pPr marL="457200" lvl="1" indent="0"/>
          <a:r>
            <a:rPr lang="en-US" sz="1400" b="0" i="0" u="none" strike="noStrike" baseline="0" smtClean="0">
              <a:solidFill>
                <a:sysClr val="windowText" lastClr="000000"/>
              </a:solidFill>
              <a:latin typeface="+mn-lt"/>
              <a:ea typeface="+mn-ea"/>
              <a:cs typeface="+mn-cs"/>
            </a:rPr>
            <a:t>b) Prótesis, anteojos y aparatos ortopédicos, y su reparación.</a:t>
          </a:r>
        </a:p>
        <a:p>
          <a:pPr marL="0" lvl="0" indent="0"/>
          <a:r>
            <a:rPr lang="en-US" sz="1400" b="1" i="0" u="none" strike="noStrike" baseline="0" smtClean="0">
              <a:solidFill>
                <a:sysClr val="windowText" lastClr="000000"/>
              </a:solidFill>
              <a:latin typeface="+mn-lt"/>
              <a:ea typeface="+mn-ea"/>
              <a:cs typeface="+mn-cs"/>
            </a:rPr>
            <a:t>II. Prestaciones en dinero:</a:t>
          </a:r>
        </a:p>
        <a:p>
          <a:pPr marL="457200" lvl="1" indent="0"/>
          <a:r>
            <a:rPr lang="en-US" sz="1400" b="0" i="0" u="none" strike="noStrike" baseline="0" smtClean="0">
              <a:solidFill>
                <a:sysClr val="windowText" lastClr="000000"/>
              </a:solidFill>
              <a:latin typeface="+mn-lt"/>
              <a:ea typeface="+mn-ea"/>
              <a:cs typeface="+mn-cs"/>
            </a:rPr>
            <a:t>a) Subsidio por discapacidad temporal, cuando el riesgo del trabajo hubiese ocasionado una discapacidad temporal para trabajar conforme a lo establecido en el Código de Trabajo;</a:t>
          </a:r>
        </a:p>
        <a:p>
          <a:pPr marL="457200" lvl="1" indent="0"/>
          <a:r>
            <a:rPr lang="en-US" sz="1400" b="0" i="0" u="none" strike="noStrike" baseline="0" smtClean="0">
              <a:solidFill>
                <a:sysClr val="windowText" lastClr="000000"/>
              </a:solidFill>
              <a:latin typeface="+mn-lt"/>
              <a:ea typeface="+mn-ea"/>
              <a:cs typeface="+mn-cs"/>
            </a:rPr>
            <a:t>b) Indemnización por discapacidad;</a:t>
          </a:r>
        </a:p>
        <a:p>
          <a:pPr marL="457200" lvl="1" indent="0"/>
          <a:r>
            <a:rPr lang="en-US" sz="1400" b="0" i="0" u="none" strike="noStrike" baseline="0" smtClean="0">
              <a:solidFill>
                <a:sysClr val="windowText" lastClr="000000"/>
              </a:solidFill>
              <a:latin typeface="+mn-lt"/>
              <a:ea typeface="+mn-ea"/>
              <a:cs typeface="+mn-cs"/>
            </a:rPr>
            <a:t>c) Pensión por discapacidad.</a:t>
          </a:r>
        </a:p>
      </xdr:txBody>
    </xdr:sp>
    <xdr:clientData/>
  </xdr:twoCellAnchor>
  <xdr:twoCellAnchor>
    <xdr:from>
      <xdr:col>0</xdr:col>
      <xdr:colOff>0</xdr:colOff>
      <xdr:row>0</xdr:row>
      <xdr:rowOff>1</xdr:rowOff>
    </xdr:from>
    <xdr:to>
      <xdr:col>12</xdr:col>
      <xdr:colOff>748393</xdr:colOff>
      <xdr:row>4</xdr:row>
      <xdr:rowOff>136071</xdr:rowOff>
    </xdr:to>
    <xdr:sp macro="" textlink="">
      <xdr:nvSpPr>
        <xdr:cNvPr id="5" name="4 Rectángulo redondeado"/>
        <xdr:cNvSpPr/>
      </xdr:nvSpPr>
      <xdr:spPr>
        <a:xfrm>
          <a:off x="0" y="1"/>
          <a:ext cx="10409464" cy="89807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Afiliación al Seguro de Riesgos Laborales(SRL)</a:t>
          </a:r>
        </a:p>
      </xdr:txBody>
    </xdr:sp>
    <xdr:clientData/>
  </xdr:twoCellAnchor>
  <xdr:twoCellAnchor editAs="oneCell">
    <xdr:from>
      <xdr:col>0</xdr:col>
      <xdr:colOff>476251</xdr:colOff>
      <xdr:row>0</xdr:row>
      <xdr:rowOff>149680</xdr:rowOff>
    </xdr:from>
    <xdr:to>
      <xdr:col>1</xdr:col>
      <xdr:colOff>625928</xdr:colOff>
      <xdr:row>3</xdr:row>
      <xdr:rowOff>185544</xdr:rowOff>
    </xdr:to>
    <xdr:pic>
      <xdr:nvPicPr>
        <xdr:cNvPr id="6" name="1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476251" y="149680"/>
          <a:ext cx="911677" cy="6073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1.xml><?xml version="1.0" encoding="utf-8"?>
<xdr:wsDr xmlns:xdr="http://schemas.openxmlformats.org/drawingml/2006/spreadsheetDrawing" xmlns:a="http://schemas.openxmlformats.org/drawingml/2006/main">
  <xdr:twoCellAnchor editAs="oneCell">
    <xdr:from>
      <xdr:col>3</xdr:col>
      <xdr:colOff>154835</xdr:colOff>
      <xdr:row>6</xdr:row>
      <xdr:rowOff>149086</xdr:rowOff>
    </xdr:from>
    <xdr:to>
      <xdr:col>7</xdr:col>
      <xdr:colOff>480391</xdr:colOff>
      <xdr:row>26</xdr:row>
      <xdr:rowOff>9465</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440835" y="1292086"/>
          <a:ext cx="3506078" cy="3670379"/>
        </a:xfrm>
        <a:prstGeom prst="rect">
          <a:avLst/>
        </a:prstGeom>
        <a:noFill/>
        <a:ln>
          <a:noFill/>
        </a:ln>
      </xdr:spPr>
    </xdr:pic>
    <xdr:clientData/>
  </xdr:twoCellAnchor>
  <xdr:twoCellAnchor>
    <xdr:from>
      <xdr:col>0</xdr:col>
      <xdr:colOff>114300</xdr:colOff>
      <xdr:row>3</xdr:row>
      <xdr:rowOff>180975</xdr:rowOff>
    </xdr:from>
    <xdr:to>
      <xdr:col>10</xdr:col>
      <xdr:colOff>533400</xdr:colOff>
      <xdr:row>29</xdr:row>
      <xdr:rowOff>152400</xdr:rowOff>
    </xdr:to>
    <xdr:sp macro="" textlink="">
      <xdr:nvSpPr>
        <xdr:cNvPr id="2" name="1 CuadroTexto"/>
        <xdr:cNvSpPr txBox="1"/>
      </xdr:nvSpPr>
      <xdr:spPr>
        <a:xfrm>
          <a:off x="114300" y="752475"/>
          <a:ext cx="8172450" cy="49244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El Seguro de Riesgos Laborales (SRL) inició en febrero de 2004, al mes de noviembre de 2015 se presenta una afiliación de 1,750,689 trabajadores asalariados,</a:t>
          </a:r>
          <a:r>
            <a:rPr lang="es-DO" sz="1400" b="0" baseline="0">
              <a:solidFill>
                <a:sysClr val="windowText" lastClr="000000"/>
              </a:solidFill>
            </a:rPr>
            <a:t> </a:t>
          </a:r>
          <a:r>
            <a:rPr lang="es-DO" sz="1400" b="0">
              <a:solidFill>
                <a:sysClr val="windowText" lastClr="000000"/>
              </a:solidFill>
            </a:rPr>
            <a:t>equivalente al 89.1% de la población ocupada del sector formal, de acuerdo a los datos de la Encuesta Nacional de Fuerza de Trabajo (ENFT) del Banco Central (BC) del año 2015.</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De acuerdo a la participación de los trabajadores afiliados por rango de edad, al</a:t>
          </a:r>
          <a:r>
            <a:rPr lang="es-DO" sz="1400" b="0" baseline="0">
              <a:solidFill>
                <a:sysClr val="windowText" lastClr="000000"/>
              </a:solidFill>
            </a:rPr>
            <a:t> mes de noviembre </a:t>
          </a:r>
          <a:r>
            <a:rPr lang="es-DO" sz="1400" b="0">
              <a:solidFill>
                <a:sysClr val="windowText" lastClr="000000"/>
              </a:solidFill>
            </a:rPr>
            <a:t>de 2015, el  1.4% de los afiliados al SRL es menor o igual a 19 años;</a:t>
          </a:r>
          <a:r>
            <a:rPr lang="es-DO" sz="1400" b="0" baseline="0">
              <a:solidFill>
                <a:sysClr val="windowText" lastClr="000000"/>
              </a:solidFill>
            </a:rPr>
            <a:t> </a:t>
          </a:r>
          <a:r>
            <a:rPr lang="es-DO" sz="1400" b="0">
              <a:solidFill>
                <a:sysClr val="windowText" lastClr="000000"/>
              </a:solidFill>
            </a:rPr>
            <a:t>el 91.1% está entre las edades de 20 - 59 años y se destaca que el 7.4% es mayor de 60 años.</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El porcentaje de afiliados activos al SRL por tipo de riesgos laborales de las empresas, el 18.5% realizan actividades de riesgos I,  aquel en el cual su gravedad potencial es la de generar lesiones que solo requieren de primeros auxilios); el 37.9% de riesgo de tipo II (cuya gravedad potencial es la de generar lesiones serias no incapacitantes y que solo requieran atención médica o produzcan una incapacidad de corta duración);  y el 43.6% realizan actividades con riesgos de tipo III y IV, que son las categorías de mayor peligro en las cuales los accidentes pueden causar lesiones graves, incapacitantes o pueden ser fatales.</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En cuanto a la composición de la afiliación por sexo al</a:t>
          </a:r>
          <a:r>
            <a:rPr lang="es-DO" sz="1400" b="0" baseline="0">
              <a:solidFill>
                <a:sysClr val="windowText" lastClr="000000"/>
              </a:solidFill>
            </a:rPr>
            <a:t> mes de noviembre </a:t>
          </a:r>
          <a:r>
            <a:rPr lang="es-DO" sz="1400" b="0">
              <a:solidFill>
                <a:sysClr val="windowText" lastClr="000000"/>
              </a:solidFill>
            </a:rPr>
            <a:t>de 2015, habían 972,128 hombres y              778,561 mujeres para una participación de 55.53%  y 44.47% respectivamente.  En ambos sexo la mayor concentración de afiliados se encuentra entre las edades de 20 a 59, observándose por género</a:t>
          </a:r>
          <a:r>
            <a:rPr lang="es-DO" sz="1400" b="0" baseline="0">
              <a:solidFill>
                <a:sysClr val="windowText" lastClr="000000"/>
              </a:solidFill>
            </a:rPr>
            <a:t> que el 90.02% de los hombres y el 92.52% de mujeres están entre las edades antes mencionadas.</a:t>
          </a:r>
          <a:endParaRPr lang="es-DO" sz="1200" b="1">
            <a:solidFill>
              <a:sysClr val="windowText" lastClr="000000"/>
            </a:solidFill>
          </a:endParaRPr>
        </a:p>
      </xdr:txBody>
    </xdr:sp>
    <xdr:clientData/>
  </xdr:twoCellAnchor>
  <xdr:twoCellAnchor>
    <xdr:from>
      <xdr:col>0</xdr:col>
      <xdr:colOff>0</xdr:colOff>
      <xdr:row>0</xdr:row>
      <xdr:rowOff>0</xdr:rowOff>
    </xdr:from>
    <xdr:to>
      <xdr:col>11</xdr:col>
      <xdr:colOff>9525</xdr:colOff>
      <xdr:row>3</xdr:row>
      <xdr:rowOff>99391</xdr:rowOff>
    </xdr:to>
    <xdr:sp macro="" textlink="">
      <xdr:nvSpPr>
        <xdr:cNvPr id="5" name="4 Rectángulo redondeado"/>
        <xdr:cNvSpPr/>
      </xdr:nvSpPr>
      <xdr:spPr>
        <a:xfrm>
          <a:off x="0" y="0"/>
          <a:ext cx="8391525" cy="670891"/>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Sistema Dominicano de Seguridad Social (SDSS)</a:t>
          </a:r>
        </a:p>
        <a:p>
          <a:pPr algn="ctr" eaLnBrk="1" fontAlgn="auto" latinLnBrk="0" hangingPunct="1"/>
          <a:r>
            <a:rPr lang="es-DO" sz="1600" b="1">
              <a:solidFill>
                <a:schemeClr val="lt1"/>
              </a:solidFill>
              <a:effectLst/>
              <a:latin typeface="+mn-lt"/>
              <a:ea typeface="+mn-ea"/>
              <a:cs typeface="+mn-cs"/>
            </a:rPr>
            <a:t>Afiliación al Seguro</a:t>
          </a:r>
          <a:r>
            <a:rPr lang="es-DO" sz="1600" b="1" baseline="0">
              <a:solidFill>
                <a:schemeClr val="lt1"/>
              </a:solidFill>
              <a:effectLst/>
              <a:latin typeface="+mn-lt"/>
              <a:ea typeface="+mn-ea"/>
              <a:cs typeface="+mn-cs"/>
            </a:rPr>
            <a:t> de Riesgos Laborales Régimen Contributivo</a:t>
          </a:r>
          <a:endParaRPr lang="es-DO" sz="3600">
            <a:effectLst/>
          </a:endParaRPr>
        </a:p>
      </xdr:txBody>
    </xdr:sp>
    <xdr:clientData/>
  </xdr:twoCellAnchor>
  <xdr:twoCellAnchor editAs="oneCell">
    <xdr:from>
      <xdr:col>0</xdr:col>
      <xdr:colOff>283325</xdr:colOff>
      <xdr:row>0</xdr:row>
      <xdr:rowOff>124756</xdr:rowOff>
    </xdr:from>
    <xdr:to>
      <xdr:col>1</xdr:col>
      <xdr:colOff>142174</xdr:colOff>
      <xdr:row>2</xdr:row>
      <xdr:rowOff>157370</xdr:rowOff>
    </xdr:to>
    <xdr:pic>
      <xdr:nvPicPr>
        <xdr:cNvPr id="6" name="1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283325" y="124756"/>
          <a:ext cx="620849" cy="4136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2.xml><?xml version="1.0" encoding="utf-8"?>
<xdr:wsDr xmlns:xdr="http://schemas.openxmlformats.org/drawingml/2006/spreadsheetDrawing" xmlns:a="http://schemas.openxmlformats.org/drawingml/2006/main">
  <xdr:twoCellAnchor>
    <xdr:from>
      <xdr:col>0</xdr:col>
      <xdr:colOff>34636</xdr:colOff>
      <xdr:row>11</xdr:row>
      <xdr:rowOff>69273</xdr:rowOff>
    </xdr:from>
    <xdr:to>
      <xdr:col>15</xdr:col>
      <xdr:colOff>1021772</xdr:colOff>
      <xdr:row>54</xdr:row>
      <xdr:rowOff>0</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16</xdr:col>
      <xdr:colOff>0</xdr:colOff>
      <xdr:row>1</xdr:row>
      <xdr:rowOff>51955</xdr:rowOff>
    </xdr:to>
    <xdr:sp macro="" textlink="">
      <xdr:nvSpPr>
        <xdr:cNvPr id="4" name="3 Rectángulo redondeado"/>
        <xdr:cNvSpPr/>
      </xdr:nvSpPr>
      <xdr:spPr>
        <a:xfrm>
          <a:off x="0" y="0"/>
          <a:ext cx="16608136" cy="1229591"/>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de Riesgos Laborales</a:t>
          </a:r>
        </a:p>
        <a:p>
          <a:pPr algn="ctr" eaLnBrk="1" fontAlgn="auto" latinLnBrk="0" hangingPunct="1"/>
          <a:r>
            <a:rPr lang="es-DO" sz="2000" b="1">
              <a:solidFill>
                <a:schemeClr val="lt1"/>
              </a:solidFill>
              <a:effectLst/>
              <a:latin typeface="+mn-lt"/>
              <a:ea typeface="+mn-ea"/>
              <a:cs typeface="+mn-cs"/>
            </a:rPr>
            <a:t>Comparativo Afiliación al SRL en Relación a la Población Ocupada en el Sector Formal </a:t>
          </a:r>
        </a:p>
        <a:p>
          <a:pPr algn="ctr" eaLnBrk="1" fontAlgn="auto" latinLnBrk="0" hangingPunct="1"/>
          <a:r>
            <a:rPr lang="es-DO" sz="2000" b="1">
              <a:solidFill>
                <a:schemeClr val="lt1"/>
              </a:solidFill>
              <a:effectLst/>
              <a:latin typeface="+mn-lt"/>
              <a:ea typeface="+mn-ea"/>
              <a:cs typeface="+mn-cs"/>
            </a:rPr>
            <a:t>Período: Diciembre 2008 -  Noviembre</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2015</a:t>
          </a:r>
          <a:endParaRPr lang="es-DO" sz="4400">
            <a:effectLst/>
          </a:endParaRPr>
        </a:p>
      </xdr:txBody>
    </xdr:sp>
    <xdr:clientData/>
  </xdr:twoCellAnchor>
  <xdr:twoCellAnchor editAs="oneCell">
    <xdr:from>
      <xdr:col>0</xdr:col>
      <xdr:colOff>381000</xdr:colOff>
      <xdr:row>0</xdr:row>
      <xdr:rowOff>207818</xdr:rowOff>
    </xdr:from>
    <xdr:to>
      <xdr:col>1</xdr:col>
      <xdr:colOff>102320</xdr:colOff>
      <xdr:row>0</xdr:row>
      <xdr:rowOff>883227</xdr:rowOff>
    </xdr:to>
    <xdr:pic>
      <xdr:nvPicPr>
        <xdr:cNvPr id="6" name="5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81000" y="207818"/>
          <a:ext cx="950911" cy="6754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3.xml><?xml version="1.0" encoding="utf-8"?>
<c:userShapes xmlns:c="http://schemas.openxmlformats.org/drawingml/2006/chart">
  <cdr:relSizeAnchor xmlns:cdr="http://schemas.openxmlformats.org/drawingml/2006/chartDrawing">
    <cdr:from>
      <cdr:x>0.06717</cdr:x>
      <cdr:y>0.90093</cdr:y>
    </cdr:from>
    <cdr:to>
      <cdr:x>0.56807</cdr:x>
      <cdr:y>0.95949</cdr:y>
    </cdr:to>
    <cdr:sp macro="" textlink="">
      <cdr:nvSpPr>
        <cdr:cNvPr id="2" name="1 CuadroTexto"/>
        <cdr:cNvSpPr txBox="1"/>
      </cdr:nvSpPr>
      <cdr:spPr>
        <a:xfrm xmlns:a="http://schemas.openxmlformats.org/drawingml/2006/main">
          <a:off x="1136560" y="7317550"/>
          <a:ext cx="8475031" cy="47563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s-ES" sz="1600" b="1">
              <a:latin typeface="Calibri"/>
              <a:ea typeface="+mn-ea"/>
              <a:cs typeface="+mn-cs"/>
            </a:rPr>
            <a:t>Fuente: </a:t>
          </a:r>
          <a:r>
            <a:rPr lang="es-ES" sz="1600" b="0">
              <a:latin typeface="Calibri"/>
              <a:ea typeface="+mn-ea"/>
              <a:cs typeface="+mn-cs"/>
            </a:rPr>
            <a:t>Banco Central (BCRD) e Informaciones</a:t>
          </a:r>
          <a:r>
            <a:rPr lang="es-ES" sz="1600" b="0" baseline="0">
              <a:latin typeface="Calibri"/>
              <a:ea typeface="+mn-ea"/>
              <a:cs typeface="+mn-cs"/>
            </a:rPr>
            <a:t> </a:t>
          </a:r>
          <a:r>
            <a:rPr lang="es-ES" sz="1600" b="0">
              <a:latin typeface="Calibri"/>
              <a:ea typeface="+mn-ea"/>
              <a:cs typeface="+mn-cs"/>
            </a:rPr>
            <a:t>Estadísticas  del Portal de SISALRIL </a:t>
          </a:r>
          <a:endParaRPr lang="es-ES" sz="1800" b="0">
            <a:latin typeface="Calibri"/>
            <a:ea typeface="+mn-ea"/>
            <a:cs typeface="+mn-cs"/>
          </a:endParaRPr>
        </a:p>
        <a:p xmlns:a="http://schemas.openxmlformats.org/drawingml/2006/main">
          <a:endParaRPr lang="es-ES" sz="2000"/>
        </a:p>
      </cdr:txBody>
    </cdr:sp>
  </cdr:relSizeAnchor>
</c:userShapes>
</file>

<file path=xl/drawings/drawing84.xml><?xml version="1.0" encoding="utf-8"?>
<xdr:wsDr xmlns:xdr="http://schemas.openxmlformats.org/drawingml/2006/spreadsheetDrawing" xmlns:a="http://schemas.openxmlformats.org/drawingml/2006/main">
  <xdr:twoCellAnchor editAs="oneCell">
    <xdr:from>
      <xdr:col>1</xdr:col>
      <xdr:colOff>257175</xdr:colOff>
      <xdr:row>0</xdr:row>
      <xdr:rowOff>49886</xdr:rowOff>
    </xdr:from>
    <xdr:to>
      <xdr:col>1</xdr:col>
      <xdr:colOff>1324112</xdr:colOff>
      <xdr:row>0</xdr:row>
      <xdr:rowOff>207351</xdr:rowOff>
    </xdr:to>
    <xdr:pic>
      <xdr:nvPicPr>
        <xdr:cNvPr id="2"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143000" y="49886"/>
          <a:ext cx="1065205" cy="157465"/>
        </a:xfrm>
        <a:prstGeom prst="rect">
          <a:avLst/>
        </a:prstGeom>
        <a:ln>
          <a:noFill/>
        </a:ln>
        <a:effectLst>
          <a:softEdge rad="112500"/>
        </a:effectLst>
      </xdr:spPr>
    </xdr:pic>
    <xdr:clientData/>
  </xdr:twoCellAnchor>
  <xdr:twoCellAnchor editAs="oneCell">
    <xdr:from>
      <xdr:col>1</xdr:col>
      <xdr:colOff>257175</xdr:colOff>
      <xdr:row>0</xdr:row>
      <xdr:rowOff>49886</xdr:rowOff>
    </xdr:from>
    <xdr:to>
      <xdr:col>1</xdr:col>
      <xdr:colOff>1324112</xdr:colOff>
      <xdr:row>0</xdr:row>
      <xdr:rowOff>207351</xdr:rowOff>
    </xdr:to>
    <xdr:pic>
      <xdr:nvPicPr>
        <xdr:cNvPr id="3"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143000" y="49886"/>
          <a:ext cx="1065205" cy="157465"/>
        </a:xfrm>
        <a:prstGeom prst="rect">
          <a:avLst/>
        </a:prstGeom>
        <a:ln>
          <a:noFill/>
        </a:ln>
        <a:effectLst>
          <a:softEdge rad="112500"/>
        </a:effectLst>
      </xdr:spPr>
    </xdr:pic>
    <xdr:clientData/>
  </xdr:twoCellAnchor>
  <xdr:twoCellAnchor editAs="oneCell">
    <xdr:from>
      <xdr:col>0</xdr:col>
      <xdr:colOff>381001</xdr:colOff>
      <xdr:row>0</xdr:row>
      <xdr:rowOff>54430</xdr:rowOff>
    </xdr:from>
    <xdr:to>
      <xdr:col>0</xdr:col>
      <xdr:colOff>1305049</xdr:colOff>
      <xdr:row>0</xdr:row>
      <xdr:rowOff>228865</xdr:rowOff>
    </xdr:to>
    <xdr:pic>
      <xdr:nvPicPr>
        <xdr:cNvPr id="4" name="3 Imagen" descr="Logo_2x4.bmp"/>
        <xdr:cNvPicPr>
          <a:picLocks noChangeAspect="1"/>
        </xdr:cNvPicPr>
      </xdr:nvPicPr>
      <xdr:blipFill>
        <a:blip xmlns:r="http://schemas.openxmlformats.org/officeDocument/2006/relationships" r:embed="rId2" cstate="print"/>
        <a:stretch>
          <a:fillRect/>
        </a:stretch>
      </xdr:blipFill>
      <xdr:spPr>
        <a:xfrm>
          <a:off x="381001" y="54430"/>
          <a:ext cx="926646" cy="174435"/>
        </a:xfrm>
        <a:prstGeom prst="rect">
          <a:avLst/>
        </a:prstGeom>
        <a:ln>
          <a:noFill/>
        </a:ln>
        <a:effectLst>
          <a:softEdge rad="112500"/>
        </a:effectLst>
      </xdr:spPr>
    </xdr:pic>
    <xdr:clientData/>
  </xdr:twoCellAnchor>
  <xdr:twoCellAnchor>
    <xdr:from>
      <xdr:col>0</xdr:col>
      <xdr:colOff>0</xdr:colOff>
      <xdr:row>18</xdr:row>
      <xdr:rowOff>181844</xdr:rowOff>
    </xdr:from>
    <xdr:to>
      <xdr:col>12</xdr:col>
      <xdr:colOff>1264226</xdr:colOff>
      <xdr:row>88</xdr:row>
      <xdr:rowOff>69272</xdr:rowOff>
    </xdr:to>
    <xdr:graphicFrame macro="">
      <xdr:nvGraphicFramePr>
        <xdr:cNvPr id="7"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7</xdr:col>
      <xdr:colOff>503465</xdr:colOff>
      <xdr:row>52</xdr:row>
      <xdr:rowOff>149675</xdr:rowOff>
    </xdr:from>
    <xdr:to>
      <xdr:col>8</xdr:col>
      <xdr:colOff>415636</xdr:colOff>
      <xdr:row>68</xdr:row>
      <xdr:rowOff>34636</xdr:rowOff>
    </xdr:to>
    <xdr:pic>
      <xdr:nvPicPr>
        <xdr:cNvPr id="9" name="il_fi" descr="http://ilustracion.pixmac.es/4/3d-golden-hombre-y-mujer-siluetas-pixmac-ilustracion-42069257.jpg"/>
        <xdr:cNvPicPr/>
      </xdr:nvPicPr>
      <xdr:blipFill rotWithShape="1">
        <a:blip xmlns:r="http://schemas.openxmlformats.org/officeDocument/2006/relationships" r:embed="rId4">
          <a:extLst>
            <a:ext uri="{BEBA8EAE-BF5A-486C-A8C5-ECC9F3942E4B}">
              <a14:imgProps xmlns:a14="http://schemas.microsoft.com/office/drawing/2010/main">
                <a14:imgLayer r:embed="rId5">
                  <a14:imgEffect>
                    <a14:backgroundRemoval t="241" b="95904" l="250" r="98250">
                      <a14:foregroundMark x1="25750" y1="12771" x2="25750" y2="12771"/>
                      <a14:foregroundMark x1="19500" y1="7711" x2="19500" y2="7711"/>
                      <a14:foregroundMark x1="78000" y1="38554" x2="78000" y2="38554"/>
                      <a14:foregroundMark x1="76500" y1="11807" x2="76500" y2="11807"/>
                      <a14:foregroundMark x1="24750" y1="39036" x2="24750" y2="39036"/>
                    </a14:backgroundRemoval>
                  </a14:imgEffect>
                </a14:imgLayer>
              </a14:imgProps>
            </a:ext>
            <a:ext uri="{28A0092B-C50C-407E-A947-70E740481C1C}">
              <a14:useLocalDpi xmlns:a14="http://schemas.microsoft.com/office/drawing/2010/main" val="0"/>
            </a:ext>
          </a:extLst>
        </a:blip>
        <a:srcRect l="3744" t="2265" r="57903" b="-1094"/>
        <a:stretch/>
      </xdr:blipFill>
      <xdr:spPr bwMode="auto">
        <a:xfrm>
          <a:off x="9249147" y="12688039"/>
          <a:ext cx="1072489" cy="2932961"/>
        </a:xfrm>
        <a:prstGeom prst="rect">
          <a:avLst/>
        </a:prstGeom>
        <a:noFill/>
        <a:ln>
          <a:noFill/>
        </a:ln>
        <a:extLst/>
      </xdr:spPr>
    </xdr:pic>
    <xdr:clientData/>
  </xdr:twoCellAnchor>
  <xdr:twoCellAnchor editAs="oneCell">
    <xdr:from>
      <xdr:col>5</xdr:col>
      <xdr:colOff>432956</xdr:colOff>
      <xdr:row>52</xdr:row>
      <xdr:rowOff>173181</xdr:rowOff>
    </xdr:from>
    <xdr:to>
      <xdr:col>6</xdr:col>
      <xdr:colOff>432956</xdr:colOff>
      <xdr:row>67</xdr:row>
      <xdr:rowOff>103908</xdr:rowOff>
    </xdr:to>
    <xdr:pic>
      <xdr:nvPicPr>
        <xdr:cNvPr id="10" name="il_fi" descr="http://ilustracion.pixmac.es/4/3d-golden-hombre-y-mujer-siluetas-pixmac-ilustracion-42069257.jpg"/>
        <xdr:cNvPicPr/>
      </xdr:nvPicPr>
      <xdr:blipFill rotWithShape="1">
        <a:blip xmlns:r="http://schemas.openxmlformats.org/officeDocument/2006/relationships" r:embed="rId4">
          <a:extLst>
            <a:ext uri="{BEBA8EAE-BF5A-486C-A8C5-ECC9F3942E4B}">
              <a14:imgProps xmlns:a14="http://schemas.microsoft.com/office/drawing/2010/main">
                <a14:imgLayer r:embed="rId5">
                  <a14:imgEffect>
                    <a14:backgroundRemoval t="241" b="95904" l="250" r="98250">
                      <a14:foregroundMark x1="25750" y1="12771" x2="25750" y2="12771"/>
                      <a14:foregroundMark x1="19500" y1="7711" x2="19500" y2="7711"/>
                      <a14:foregroundMark x1="78000" y1="38554" x2="78000" y2="38554"/>
                      <a14:foregroundMark x1="76500" y1="11807" x2="76500" y2="11807"/>
                      <a14:foregroundMark x1="24750" y1="39036" x2="24750" y2="39036"/>
                    </a14:backgroundRemoval>
                  </a14:imgEffect>
                </a14:imgLayer>
              </a14:imgProps>
            </a:ext>
            <a:ext uri="{28A0092B-C50C-407E-A947-70E740481C1C}">
              <a14:useLocalDpi xmlns:a14="http://schemas.microsoft.com/office/drawing/2010/main" val="0"/>
            </a:ext>
          </a:extLst>
        </a:blip>
        <a:srcRect l="48851" t="1806" r="2750" b="4304"/>
        <a:stretch/>
      </xdr:blipFill>
      <xdr:spPr bwMode="auto">
        <a:xfrm>
          <a:off x="6494320" y="12711545"/>
          <a:ext cx="1368136" cy="2788227"/>
        </a:xfrm>
        <a:prstGeom prst="rect">
          <a:avLst/>
        </a:prstGeom>
        <a:noFill/>
        <a:extLst/>
      </xdr:spPr>
    </xdr:pic>
    <xdr:clientData/>
  </xdr:twoCellAnchor>
  <xdr:twoCellAnchor>
    <xdr:from>
      <xdr:col>0</xdr:col>
      <xdr:colOff>0</xdr:colOff>
      <xdr:row>0</xdr:row>
      <xdr:rowOff>1</xdr:rowOff>
    </xdr:from>
    <xdr:to>
      <xdr:col>13</xdr:col>
      <xdr:colOff>0</xdr:colOff>
      <xdr:row>0</xdr:row>
      <xdr:rowOff>1177637</xdr:rowOff>
    </xdr:to>
    <xdr:sp macro="" textlink="">
      <xdr:nvSpPr>
        <xdr:cNvPr id="12" name="11 Rectángulo redondeado"/>
        <xdr:cNvSpPr/>
      </xdr:nvSpPr>
      <xdr:spPr>
        <a:xfrm>
          <a:off x="0" y="1"/>
          <a:ext cx="15984682" cy="117763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de Riesgos Laborales</a:t>
          </a:r>
        </a:p>
        <a:p>
          <a:pPr algn="ctr" eaLnBrk="1" fontAlgn="auto" latinLnBrk="0" hangingPunct="1"/>
          <a:r>
            <a:rPr lang="es-DO" sz="2000" b="1">
              <a:solidFill>
                <a:schemeClr val="lt1"/>
              </a:solidFill>
              <a:effectLst/>
              <a:latin typeface="+mn-lt"/>
              <a:ea typeface="+mn-ea"/>
              <a:cs typeface="+mn-cs"/>
            </a:rPr>
            <a:t>Afiliación al SRL por Grupo de Edad y Género</a:t>
          </a:r>
        </a:p>
        <a:p>
          <a:pPr algn="ctr" eaLnBrk="1" fontAlgn="auto" latinLnBrk="0" hangingPunct="1"/>
          <a:r>
            <a:rPr lang="es-DO" sz="2000" b="1">
              <a:solidFill>
                <a:schemeClr val="lt1"/>
              </a:solidFill>
              <a:effectLst/>
              <a:latin typeface="+mn-lt"/>
              <a:ea typeface="+mn-ea"/>
              <a:cs typeface="+mn-cs"/>
            </a:rPr>
            <a:t>Noviembre  2015</a:t>
          </a:r>
          <a:endParaRPr lang="es-DO" sz="4400">
            <a:effectLst/>
          </a:endParaRPr>
        </a:p>
      </xdr:txBody>
    </xdr:sp>
    <xdr:clientData/>
  </xdr:twoCellAnchor>
  <xdr:twoCellAnchor editAs="oneCell">
    <xdr:from>
      <xdr:col>0</xdr:col>
      <xdr:colOff>484909</xdr:colOff>
      <xdr:row>0</xdr:row>
      <xdr:rowOff>225137</xdr:rowOff>
    </xdr:from>
    <xdr:to>
      <xdr:col>1</xdr:col>
      <xdr:colOff>108627</xdr:colOff>
      <xdr:row>0</xdr:row>
      <xdr:rowOff>889165</xdr:rowOff>
    </xdr:to>
    <xdr:pic>
      <xdr:nvPicPr>
        <xdr:cNvPr id="14" name="8 Imagen" descr="logo_2x4.bmp">
          <a:hlinkClick xmlns:r="http://schemas.openxmlformats.org/officeDocument/2006/relationships" r:id="rId6"/>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84909" y="225137"/>
          <a:ext cx="939900" cy="6640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173183</xdr:colOff>
      <xdr:row>85</xdr:row>
      <xdr:rowOff>138547</xdr:rowOff>
    </xdr:from>
    <xdr:to>
      <xdr:col>5</xdr:col>
      <xdr:colOff>398319</xdr:colOff>
      <xdr:row>88</xdr:row>
      <xdr:rowOff>51954</xdr:rowOff>
    </xdr:to>
    <xdr:sp macro="" textlink="">
      <xdr:nvSpPr>
        <xdr:cNvPr id="5" name="CuadroTexto 4"/>
        <xdr:cNvSpPr txBox="1"/>
      </xdr:nvSpPr>
      <xdr:spPr>
        <a:xfrm>
          <a:off x="1212274" y="18963411"/>
          <a:ext cx="5247409" cy="484907"/>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600" b="1"/>
            <a:t>Fuente: </a:t>
          </a:r>
          <a:r>
            <a:rPr lang="es-ES" sz="1600"/>
            <a:t>Portal de la SISARIL</a:t>
          </a:r>
        </a:p>
      </xdr:txBody>
    </xdr:sp>
    <xdr:clientData/>
  </xdr:twoCellAnchor>
</xdr:wsDr>
</file>

<file path=xl/drawings/drawing85.xml><?xml version="1.0" encoding="utf-8"?>
<c:userShapes xmlns:c="http://schemas.openxmlformats.org/drawingml/2006/chart">
  <cdr:relSizeAnchor xmlns:cdr="http://schemas.openxmlformats.org/drawingml/2006/chartDrawing">
    <cdr:from>
      <cdr:x>0.24058</cdr:x>
      <cdr:y>0.01014</cdr:y>
    </cdr:from>
    <cdr:to>
      <cdr:x>0.7282</cdr:x>
      <cdr:y>0.09249</cdr:y>
    </cdr:to>
    <cdr:sp macro="" textlink="">
      <cdr:nvSpPr>
        <cdr:cNvPr id="2" name="1 CuadroTexto"/>
        <cdr:cNvSpPr txBox="1"/>
      </cdr:nvSpPr>
      <cdr:spPr>
        <a:xfrm xmlns:a="http://schemas.openxmlformats.org/drawingml/2006/main">
          <a:off x="4108040" y="111060"/>
          <a:ext cx="8326467" cy="902041"/>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eaLnBrk="1" fontAlgn="auto" latinLnBrk="0" hangingPunct="1"/>
          <a:r>
            <a:rPr lang="es-DO" sz="2400" b="1">
              <a:effectLst/>
              <a:latin typeface="+mn-lt"/>
              <a:ea typeface="+mn-ea"/>
              <a:cs typeface="+mn-cs"/>
            </a:rPr>
            <a:t>Seguro de Riesgos Laborales</a:t>
          </a:r>
          <a:endParaRPr lang="es-ES" sz="4400">
            <a:effectLst/>
          </a:endParaRPr>
        </a:p>
        <a:p xmlns:a="http://schemas.openxmlformats.org/drawingml/2006/main">
          <a:pPr algn="ctr" eaLnBrk="1" fontAlgn="auto" latinLnBrk="0" hangingPunct="1"/>
          <a:r>
            <a:rPr lang="es-DO" sz="2400" b="1">
              <a:effectLst/>
              <a:latin typeface="+mn-lt"/>
              <a:ea typeface="+mn-ea"/>
              <a:cs typeface="+mn-cs"/>
            </a:rPr>
            <a:t>Afiliación al SRL por Grupo de Edad y  Sexo</a:t>
          </a:r>
          <a:endParaRPr lang="es-ES" sz="4400">
            <a:effectLst/>
          </a:endParaRPr>
        </a:p>
      </cdr:txBody>
    </cdr:sp>
  </cdr:relSizeAnchor>
</c:userShapes>
</file>

<file path=xl/drawings/drawing86.xml><?xml version="1.0" encoding="utf-8"?>
<xdr:wsDr xmlns:xdr="http://schemas.openxmlformats.org/drawingml/2006/spreadsheetDrawing" xmlns:a="http://schemas.openxmlformats.org/drawingml/2006/main">
  <xdr:twoCellAnchor>
    <xdr:from>
      <xdr:col>0</xdr:col>
      <xdr:colOff>0</xdr:colOff>
      <xdr:row>17</xdr:row>
      <xdr:rowOff>81645</xdr:rowOff>
    </xdr:from>
    <xdr:to>
      <xdr:col>13</xdr:col>
      <xdr:colOff>571500</xdr:colOff>
      <xdr:row>54</xdr:row>
      <xdr:rowOff>68036</xdr:rowOff>
    </xdr:to>
    <xdr:graphicFrame macro="">
      <xdr:nvGraphicFramePr>
        <xdr:cNvPr id="2"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13607</xdr:rowOff>
    </xdr:from>
    <xdr:to>
      <xdr:col>14</xdr:col>
      <xdr:colOff>13606</xdr:colOff>
      <xdr:row>0</xdr:row>
      <xdr:rowOff>1034143</xdr:rowOff>
    </xdr:to>
    <xdr:sp macro="" textlink="">
      <xdr:nvSpPr>
        <xdr:cNvPr id="4" name="3 Rectángulo redondeado"/>
        <xdr:cNvSpPr/>
      </xdr:nvSpPr>
      <xdr:spPr>
        <a:xfrm>
          <a:off x="0" y="13607"/>
          <a:ext cx="14124213" cy="102053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Empleados Afiliados Activos al SDSS por Tipo de Riesgos Laborales de sus Empresas</a:t>
          </a:r>
        </a:p>
        <a:p>
          <a:pPr algn="ctr" eaLnBrk="1" fontAlgn="auto" latinLnBrk="0" hangingPunct="1"/>
          <a:r>
            <a:rPr lang="es-DO" sz="1600" b="1">
              <a:solidFill>
                <a:schemeClr val="lt1"/>
              </a:solidFill>
              <a:effectLst/>
              <a:latin typeface="+mn-lt"/>
              <a:ea typeface="+mn-ea"/>
              <a:cs typeface="+mn-cs"/>
            </a:rPr>
            <a:t>Período: Noviembre 2014 - Noviembre 2015</a:t>
          </a:r>
          <a:endParaRPr lang="es-DO" sz="3600">
            <a:effectLst/>
          </a:endParaRPr>
        </a:p>
      </xdr:txBody>
    </xdr:sp>
    <xdr:clientData/>
  </xdr:twoCellAnchor>
  <xdr:twoCellAnchor editAs="oneCell">
    <xdr:from>
      <xdr:col>0</xdr:col>
      <xdr:colOff>585107</xdr:colOff>
      <xdr:row>0</xdr:row>
      <xdr:rowOff>204107</xdr:rowOff>
    </xdr:from>
    <xdr:to>
      <xdr:col>1</xdr:col>
      <xdr:colOff>366591</xdr:colOff>
      <xdr:row>0</xdr:row>
      <xdr:rowOff>769524</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85107" y="204107"/>
          <a:ext cx="706770" cy="5654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7.xml><?xml version="1.0" encoding="utf-8"?>
<c:userShapes xmlns:c="http://schemas.openxmlformats.org/drawingml/2006/chart">
  <cdr:relSizeAnchor xmlns:cdr="http://schemas.openxmlformats.org/drawingml/2006/chartDrawing">
    <cdr:from>
      <cdr:x>0.02044</cdr:x>
      <cdr:y>0.90497</cdr:y>
    </cdr:from>
    <cdr:to>
      <cdr:x>0.43597</cdr:x>
      <cdr:y>0.94778</cdr:y>
    </cdr:to>
    <cdr:pic>
      <cdr:nvPicPr>
        <cdr:cNvPr id="2"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284561" y="6366386"/>
          <a:ext cx="5784225" cy="301111"/>
        </a:xfrm>
        <a:prstGeom xmlns:a="http://schemas.openxmlformats.org/drawingml/2006/main" prst="rect">
          <a:avLst/>
        </a:prstGeom>
      </cdr:spPr>
    </cdr:pic>
  </cdr:relSizeAnchor>
</c:userShapes>
</file>

<file path=xl/drawings/drawing88.xml><?xml version="1.0" encoding="utf-8"?>
<xdr:wsDr xmlns:xdr="http://schemas.openxmlformats.org/drawingml/2006/spreadsheetDrawing" xmlns:a="http://schemas.openxmlformats.org/drawingml/2006/main">
  <xdr:twoCellAnchor>
    <xdr:from>
      <xdr:col>0</xdr:col>
      <xdr:colOff>0</xdr:colOff>
      <xdr:row>15</xdr:row>
      <xdr:rowOff>68035</xdr:rowOff>
    </xdr:from>
    <xdr:to>
      <xdr:col>9</xdr:col>
      <xdr:colOff>1224643</xdr:colOff>
      <xdr:row>57</xdr:row>
      <xdr:rowOff>27213</xdr:rowOff>
    </xdr:to>
    <xdr:graphicFrame macro="">
      <xdr:nvGraphicFramePr>
        <xdr:cNvPr id="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10</xdr:col>
      <xdr:colOff>0</xdr:colOff>
      <xdr:row>0</xdr:row>
      <xdr:rowOff>1143000</xdr:rowOff>
    </xdr:to>
    <xdr:sp macro="" textlink="">
      <xdr:nvSpPr>
        <xdr:cNvPr id="6" name="5 Rectángulo redondeado"/>
        <xdr:cNvSpPr/>
      </xdr:nvSpPr>
      <xdr:spPr>
        <a:xfrm>
          <a:off x="0" y="0"/>
          <a:ext cx="13226143" cy="114300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de Riesgos Laborales</a:t>
          </a:r>
        </a:p>
        <a:p>
          <a:pPr algn="ctr" eaLnBrk="1" fontAlgn="auto" latinLnBrk="0" hangingPunct="1"/>
          <a:r>
            <a:rPr lang="es-DO" sz="2000" b="1">
              <a:solidFill>
                <a:schemeClr val="lt1"/>
              </a:solidFill>
              <a:effectLst/>
              <a:latin typeface="+mn-lt"/>
              <a:ea typeface="+mn-ea"/>
              <a:cs typeface="+mn-cs"/>
            </a:rPr>
            <a:t>Accidentabilidad Laboral de los Afiliados al SRL</a:t>
          </a:r>
        </a:p>
        <a:p>
          <a:pPr algn="ctr" eaLnBrk="1" fontAlgn="auto" latinLnBrk="0" hangingPunct="1"/>
          <a:r>
            <a:rPr lang="es-DO" sz="2000" b="1">
              <a:solidFill>
                <a:schemeClr val="lt1"/>
              </a:solidFill>
              <a:effectLst/>
              <a:latin typeface="+mn-lt"/>
              <a:ea typeface="+mn-ea"/>
              <a:cs typeface="+mn-cs"/>
            </a:rPr>
            <a:t>Período: 2005 - Noviembre 2015</a:t>
          </a:r>
          <a:endParaRPr lang="es-DO" sz="4400">
            <a:effectLst/>
          </a:endParaRPr>
        </a:p>
      </xdr:txBody>
    </xdr:sp>
    <xdr:clientData/>
  </xdr:twoCellAnchor>
  <xdr:twoCellAnchor editAs="oneCell">
    <xdr:from>
      <xdr:col>0</xdr:col>
      <xdr:colOff>495821</xdr:colOff>
      <xdr:row>0</xdr:row>
      <xdr:rowOff>156575</xdr:rowOff>
    </xdr:from>
    <xdr:to>
      <xdr:col>0</xdr:col>
      <xdr:colOff>1282463</xdr:colOff>
      <xdr:row>0</xdr:row>
      <xdr:rowOff>709025</xdr:rowOff>
    </xdr:to>
    <xdr:pic>
      <xdr:nvPicPr>
        <xdr:cNvPr id="7" name="4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95821" y="156575"/>
          <a:ext cx="78105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9.xml><?xml version="1.0" encoding="utf-8"?>
<c:userShapes xmlns:c="http://schemas.openxmlformats.org/drawingml/2006/chart">
  <cdr:relSizeAnchor xmlns:cdr="http://schemas.openxmlformats.org/drawingml/2006/chartDrawing">
    <cdr:from>
      <cdr:x>0.03915</cdr:x>
      <cdr:y>0.91858</cdr:y>
    </cdr:from>
    <cdr:to>
      <cdr:x>0.47678</cdr:x>
      <cdr:y>0.98139</cdr:y>
    </cdr:to>
    <cdr:sp macro="" textlink="">
      <cdr:nvSpPr>
        <cdr:cNvPr id="2" name="CuadroTexto 4"/>
        <cdr:cNvSpPr txBox="1"/>
      </cdr:nvSpPr>
      <cdr:spPr>
        <a:xfrm xmlns:a="http://schemas.openxmlformats.org/drawingml/2006/main">
          <a:off x="521528" y="7324587"/>
          <a:ext cx="5829838" cy="500769"/>
        </a:xfrm>
        <a:prstGeom xmlns:a="http://schemas.openxmlformats.org/drawingml/2006/main" prst="rect">
          <a:avLst/>
        </a:prstGeom>
        <a:solidFill xmlns:a="http://schemas.openxmlformats.org/drawingml/2006/main">
          <a:schemeClr val="lt1"/>
        </a:solidFill>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 </a:t>
          </a:r>
          <a:r>
            <a:rPr lang="es-ES" sz="1600"/>
            <a:t>Portal de la SISARIL y ARL.</a:t>
          </a:r>
        </a:p>
      </cdr:txBody>
    </cdr:sp>
  </cdr:relSizeAnchor>
</c:userShapes>
</file>

<file path=xl/drawings/drawing9.xml><?xml version="1.0" encoding="utf-8"?>
<xdr:wsDr xmlns:xdr="http://schemas.openxmlformats.org/drawingml/2006/spreadsheetDrawing" xmlns:a="http://schemas.openxmlformats.org/drawingml/2006/main">
  <xdr:twoCellAnchor>
    <xdr:from>
      <xdr:col>0</xdr:col>
      <xdr:colOff>57150</xdr:colOff>
      <xdr:row>4</xdr:row>
      <xdr:rowOff>76200</xdr:rowOff>
    </xdr:from>
    <xdr:to>
      <xdr:col>12</xdr:col>
      <xdr:colOff>676275</xdr:colOff>
      <xdr:row>37</xdr:row>
      <xdr:rowOff>152400</xdr:rowOff>
    </xdr:to>
    <xdr:sp macro="" textlink="">
      <xdr:nvSpPr>
        <xdr:cNvPr id="2" name="1 CuadroTexto"/>
        <xdr:cNvSpPr txBox="1"/>
      </xdr:nvSpPr>
      <xdr:spPr>
        <a:xfrm>
          <a:off x="57150" y="885825"/>
          <a:ext cx="10172700" cy="646747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400" baseline="0">
              <a:solidFill>
                <a:schemeClr val="dk1"/>
              </a:solidFill>
              <a:effectLst/>
              <a:latin typeface="+mn-lt"/>
              <a:ea typeface="+mn-ea"/>
              <a:cs typeface="+mn-cs"/>
            </a:rPr>
            <a:t>Conforme a los datos registrados en el Sistema Único de Información y Recaudo (SUIR),  al  finalizar el año 2008 el total de empresas registradas en el Sistema Dominicano de Seguridad Social era de 41,757, de las cuales 41,379 pertenecían al sector privado y 378 instituciones públicas (incluyendo 74 públicas centralizadas).  El total de empresas privadas constituían el 99.1% del total.  En cuanto al total de empleados afiliados en ese mismo período fue de 1,188,229, de los cuales 863,333 pertenecían al sector privado, representando el 72.7% y 324,896 del sector público. </a:t>
          </a:r>
        </a:p>
        <a:p>
          <a:endParaRPr lang="es-DO" sz="1400" baseline="0">
            <a:solidFill>
              <a:schemeClr val="dk1"/>
            </a:solidFill>
            <a:effectLst/>
            <a:latin typeface="+mn-lt"/>
            <a:ea typeface="+mn-ea"/>
            <a:cs typeface="+mn-cs"/>
          </a:endParaRPr>
        </a:p>
        <a:p>
          <a:r>
            <a:rPr lang="es-DO" sz="1400" baseline="0">
              <a:solidFill>
                <a:schemeClr val="dk1"/>
              </a:solidFill>
              <a:effectLst/>
              <a:latin typeface="+mn-lt"/>
              <a:ea typeface="+mn-ea"/>
              <a:cs typeface="+mn-cs"/>
            </a:rPr>
            <a:t>Las estadísticas procesadas reflejan al mes de noviembre 2015 un total de 69,767 unidades activas, se observa que desde diciembre 2008 al mes de noviembre 2015 el registro creció 1.67 veces,  con un crecimiento promedio anual es de 7.9%.  La cantidad total de empleados afiliados activos al SDSS presenta un comportamiento similar al de las empresas, alcanzando un total de 1,750,689 al mes de noviembre 2015.  </a:t>
          </a:r>
        </a:p>
        <a:p>
          <a:endParaRPr lang="es-DO" sz="1400" baseline="0">
            <a:solidFill>
              <a:schemeClr val="dk1"/>
            </a:solidFill>
            <a:effectLst/>
            <a:latin typeface="+mn-lt"/>
            <a:ea typeface="+mn-ea"/>
            <a:cs typeface="+mn-cs"/>
          </a:endParaRPr>
        </a:p>
        <a:p>
          <a:r>
            <a:rPr lang="es-DO" sz="1400" baseline="0">
              <a:solidFill>
                <a:sysClr val="windowText" lastClr="000000"/>
              </a:solidFill>
              <a:effectLst/>
              <a:latin typeface="+mn-lt"/>
              <a:ea typeface="+mn-ea"/>
              <a:cs typeface="+mn-cs"/>
            </a:rPr>
            <a:t>Las cifras dan cuenta que la mayoría de las entidades registradas tienen entre uno y cinco empleados, representando el 58.8% del total de organismos activos.  Dicho grupo, constituido por 41,044 unidades, cuenta con un total de 105,336 trabajadores, lo que representa el 6.0% de los asalariados afiliados.  Mientras que el número de empresas que poseen de 1 a 20 empleados representa un 87.3% del total.  </a:t>
          </a:r>
        </a:p>
        <a:p>
          <a:endParaRPr lang="es-DO" sz="1400" baseline="0">
            <a:solidFill>
              <a:schemeClr val="dk1"/>
            </a:solidFill>
            <a:effectLst/>
            <a:latin typeface="+mn-lt"/>
            <a:ea typeface="+mn-ea"/>
            <a:cs typeface="+mn-cs"/>
          </a:endParaRPr>
        </a:p>
        <a:p>
          <a:r>
            <a:rPr lang="es-DO" sz="1400" baseline="0">
              <a:solidFill>
                <a:schemeClr val="dk1"/>
              </a:solidFill>
              <a:effectLst/>
              <a:latin typeface="+mn-lt"/>
              <a:ea typeface="+mn-ea"/>
              <a:cs typeface="+mn-cs"/>
            </a:rPr>
            <a:t>Es importante destacar que existen cuatro (4) instituciones de gran tamaño, que emplean un total de 258,446 personas, y su empleomanía representa el 14.8% del total de trabajadores asalariados registrados en el SDSS (el número de empleados es uno de los criterios utilizados para definir el tamaño de la unidad de producción de bienes y servicios,  junto con otros parámetros como son volumen de ventas, capital social, valor de la producción, valor de los activos fijos, calificación de su personal, etc.). </a:t>
          </a:r>
        </a:p>
        <a:p>
          <a:r>
            <a:rPr lang="es-DO" sz="1400" baseline="0">
              <a:solidFill>
                <a:schemeClr val="dk1"/>
              </a:solidFill>
              <a:effectLst/>
              <a:latin typeface="+mn-lt"/>
              <a:ea typeface="+mn-ea"/>
              <a:cs typeface="+mn-cs"/>
            </a:rPr>
            <a:t> </a:t>
          </a:r>
        </a:p>
        <a:p>
          <a:r>
            <a:rPr lang="es-DO" sz="1400" baseline="0">
              <a:solidFill>
                <a:schemeClr val="dk1"/>
              </a:solidFill>
              <a:effectLst/>
              <a:latin typeface="+mn-lt"/>
              <a:ea typeface="+mn-ea"/>
              <a:cs typeface="+mn-cs"/>
            </a:rPr>
            <a:t>El salario promedio registrado por las empresas por sector económico al mes de noviembre de 2015 es de RD$ 17,262.00 para el sector privado;  RD$22,010.00 para el sector público y de RD$24,425.00 para el público centralizado. </a:t>
          </a:r>
        </a:p>
        <a:p>
          <a:endParaRPr lang="es-DO" sz="1400" baseline="0">
            <a:solidFill>
              <a:schemeClr val="dk1"/>
            </a:solidFill>
            <a:effectLst/>
            <a:latin typeface="+mn-lt"/>
            <a:ea typeface="+mn-ea"/>
            <a:cs typeface="+mn-cs"/>
          </a:endParaRPr>
        </a:p>
        <a:p>
          <a:r>
            <a:rPr lang="es-DO" sz="1400" baseline="0">
              <a:solidFill>
                <a:schemeClr val="dk1"/>
              </a:solidFill>
              <a:effectLst/>
              <a:latin typeface="+mn-lt"/>
              <a:ea typeface="+mn-ea"/>
              <a:cs typeface="+mn-cs"/>
            </a:rPr>
            <a:t>De acuerdo a la composición por edad de los afiliados al SDSS, al mes de noviembre de 2015 la mayor cantidad se concentra en el tramo de los grupos que se sitúan entre los 20 y los 54 años, los cuales representan 85.6%.  Por otro lado aunque la participación de los hombres es mayor que las mujeres en todos los rangos de edad, entre las edades de 20 a 59 años el índice de masculinidad es en promedio de 1.25;  en los grupos de 60 y más es de 1.91.</a:t>
          </a:r>
        </a:p>
        <a:p>
          <a:r>
            <a:rPr lang="es-DO" sz="1400" baseline="0">
              <a:solidFill>
                <a:schemeClr val="dk1"/>
              </a:solidFill>
              <a:effectLst/>
              <a:latin typeface="+mn-lt"/>
              <a:ea typeface="+mn-ea"/>
              <a:cs typeface="+mn-cs"/>
            </a:rPr>
            <a:t> </a:t>
          </a:r>
        </a:p>
      </xdr:txBody>
    </xdr:sp>
    <xdr:clientData/>
  </xdr:twoCellAnchor>
  <xdr:twoCellAnchor>
    <xdr:from>
      <xdr:col>0</xdr:col>
      <xdr:colOff>0</xdr:colOff>
      <xdr:row>0</xdr:row>
      <xdr:rowOff>0</xdr:rowOff>
    </xdr:from>
    <xdr:to>
      <xdr:col>13</xdr:col>
      <xdr:colOff>0</xdr:colOff>
      <xdr:row>3</xdr:row>
      <xdr:rowOff>104775</xdr:rowOff>
    </xdr:to>
    <xdr:sp macro="" textlink="">
      <xdr:nvSpPr>
        <xdr:cNvPr id="3" name="2 Rectángulo redondeado"/>
        <xdr:cNvSpPr/>
      </xdr:nvSpPr>
      <xdr:spPr>
        <a:xfrm>
          <a:off x="0" y="0"/>
          <a:ext cx="10325100" cy="72390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Sistema Dominicano de Seguridad Social (SDSS)</a:t>
          </a:r>
          <a:endParaRPr lang="es-DO" sz="6000">
            <a:effectLst/>
          </a:endParaRPr>
        </a:p>
      </xdr:txBody>
    </xdr:sp>
    <xdr:clientData/>
  </xdr:twoCellAnchor>
  <xdr:twoCellAnchor editAs="oneCell">
    <xdr:from>
      <xdr:col>0</xdr:col>
      <xdr:colOff>325531</xdr:colOff>
      <xdr:row>0</xdr:row>
      <xdr:rowOff>82924</xdr:rowOff>
    </xdr:from>
    <xdr:to>
      <xdr:col>1</xdr:col>
      <xdr:colOff>260336</xdr:colOff>
      <xdr:row>2</xdr:row>
      <xdr:rowOff>194983</xdr:rowOff>
    </xdr:to>
    <xdr:pic>
      <xdr:nvPicPr>
        <xdr:cNvPr id="5" name="40 Imagen" descr="Logo_2x4.bmp">
          <a:hlinkClick xmlns:r="http://schemas.openxmlformats.org/officeDocument/2006/relationships" r:id="rId1"/>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325531" y="82924"/>
          <a:ext cx="696805" cy="4930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0.xml><?xml version="1.0" encoding="utf-8"?>
<xdr:wsDr xmlns:xdr="http://schemas.openxmlformats.org/drawingml/2006/spreadsheetDrawing" xmlns:a="http://schemas.openxmlformats.org/drawingml/2006/main">
  <xdr:twoCellAnchor editAs="oneCell">
    <xdr:from>
      <xdr:col>3</xdr:col>
      <xdr:colOff>323851</xdr:colOff>
      <xdr:row>4</xdr:row>
      <xdr:rowOff>152401</xdr:rowOff>
    </xdr:from>
    <xdr:to>
      <xdr:col>8</xdr:col>
      <xdr:colOff>276225</xdr:colOff>
      <xdr:row>25</xdr:row>
      <xdr:rowOff>171451</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609851" y="914401"/>
          <a:ext cx="3590924" cy="4019550"/>
        </a:xfrm>
        <a:prstGeom prst="rect">
          <a:avLst/>
        </a:prstGeom>
        <a:noFill/>
        <a:ln>
          <a:noFill/>
        </a:ln>
      </xdr:spPr>
    </xdr:pic>
    <xdr:clientData/>
  </xdr:twoCellAnchor>
  <xdr:twoCellAnchor>
    <xdr:from>
      <xdr:col>0</xdr:col>
      <xdr:colOff>66675</xdr:colOff>
      <xdr:row>9</xdr:row>
      <xdr:rowOff>123825</xdr:rowOff>
    </xdr:from>
    <xdr:to>
      <xdr:col>12</xdr:col>
      <xdr:colOff>47625</xdr:colOff>
      <xdr:row>22</xdr:row>
      <xdr:rowOff>95250</xdr:rowOff>
    </xdr:to>
    <xdr:sp macro="" textlink="">
      <xdr:nvSpPr>
        <xdr:cNvPr id="2" name="1 CuadroTexto"/>
        <xdr:cNvSpPr txBox="1"/>
      </xdr:nvSpPr>
      <xdr:spPr>
        <a:xfrm>
          <a:off x="66675" y="1838325"/>
          <a:ext cx="8953500" cy="2447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2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latin typeface="+mn-lt"/>
              <a:ea typeface="+mn-ea"/>
              <a:cs typeface="+mn-cs"/>
            </a:rPr>
            <a:t>Ingresos y Egresos del SDSS</a:t>
          </a:r>
        </a:p>
      </xdr:txBody>
    </xdr:sp>
    <xdr:clientData/>
  </xdr:twoCellAnchor>
  <xdr:twoCellAnchor editAs="oneCell">
    <xdr:from>
      <xdr:col>0</xdr:col>
      <xdr:colOff>240196</xdr:colOff>
      <xdr:row>1</xdr:row>
      <xdr:rowOff>182218</xdr:rowOff>
    </xdr:from>
    <xdr:to>
      <xdr:col>1</xdr:col>
      <xdr:colOff>552270</xdr:colOff>
      <xdr:row>5</xdr:row>
      <xdr:rowOff>182218</xdr:rowOff>
    </xdr:to>
    <xdr:pic>
      <xdr:nvPicPr>
        <xdr:cNvPr id="3" name="4 Imagen" descr="logo_2x4.bmp"/>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40196" y="372718"/>
          <a:ext cx="1074074"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1.xml><?xml version="1.0" encoding="utf-8"?>
<xdr:wsDr xmlns:xdr="http://schemas.openxmlformats.org/drawingml/2006/spreadsheetDrawing" xmlns:a="http://schemas.openxmlformats.org/drawingml/2006/main">
  <xdr:twoCellAnchor editAs="oneCell">
    <xdr:from>
      <xdr:col>4</xdr:col>
      <xdr:colOff>67235</xdr:colOff>
      <xdr:row>11</xdr:row>
      <xdr:rowOff>89646</xdr:rowOff>
    </xdr:from>
    <xdr:to>
      <xdr:col>9</xdr:col>
      <xdr:colOff>542267</xdr:colOff>
      <xdr:row>38</xdr:row>
      <xdr:rowOff>27283</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115235" y="2185146"/>
          <a:ext cx="4419503" cy="5081137"/>
        </a:xfrm>
        <a:prstGeom prst="rect">
          <a:avLst/>
        </a:prstGeom>
        <a:noFill/>
        <a:ln>
          <a:noFill/>
        </a:ln>
      </xdr:spPr>
    </xdr:pic>
    <xdr:clientData/>
  </xdr:twoCellAnchor>
  <xdr:twoCellAnchor>
    <xdr:from>
      <xdr:col>0</xdr:col>
      <xdr:colOff>0</xdr:colOff>
      <xdr:row>0</xdr:row>
      <xdr:rowOff>0</xdr:rowOff>
    </xdr:from>
    <xdr:to>
      <xdr:col>13</xdr:col>
      <xdr:colOff>721177</xdr:colOff>
      <xdr:row>52</xdr:row>
      <xdr:rowOff>108856</xdr:rowOff>
    </xdr:to>
    <xdr:sp macro="" textlink="">
      <xdr:nvSpPr>
        <xdr:cNvPr id="2" name="1 CuadroTexto"/>
        <xdr:cNvSpPr txBox="1"/>
      </xdr:nvSpPr>
      <xdr:spPr>
        <a:xfrm>
          <a:off x="0" y="0"/>
          <a:ext cx="11253106" cy="100828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rPr>
            <a:t>Ingresos</a:t>
          </a:r>
        </a:p>
        <a:p>
          <a:pPr marL="0" marR="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rPr>
            <a:t>Los ingresos del Sistema Dominicano  de Seguridad Social provienen de:</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latin typeface="+mn-lt"/>
              <a:ea typeface="+mn-ea"/>
              <a:cs typeface="+mn-cs"/>
            </a:rPr>
            <a:t>a) Recaudo por pago de cotizaciones por los Trabajadores y Empleadores; (Notificaciones del período corriente, atrasos, </a:t>
          </a:r>
          <a:r>
            <a:rPr lang="en-US" sz="1400" b="0">
              <a:solidFill>
                <a:sysClr val="windowText" lastClr="000000"/>
              </a:solidFill>
              <a:latin typeface="+mn-lt"/>
              <a:ea typeface="+mn-ea"/>
              <a:cs typeface="+mn-cs"/>
            </a:rPr>
            <a:t>multas, intereses y recargo)</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latin typeface="+mn-lt"/>
              <a:ea typeface="+mn-ea"/>
              <a:cs typeface="+mn-cs"/>
            </a:rPr>
            <a:t>b) Aportes del Gobierno Central;</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latin typeface="+mn-lt"/>
              <a:ea typeface="+mn-ea"/>
              <a:cs typeface="+mn-cs"/>
            </a:rPr>
            <a:t>c) Rendimientos de Inversiones</a:t>
          </a:r>
        </a:p>
        <a:p>
          <a:pPr marL="0" marR="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rPr>
            <a:t>Recaudación</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El Sistema Dominicano de Seguridad Social (SDSS) se basa en un modelo</a:t>
          </a:r>
          <a:r>
            <a:rPr lang="es-DO" sz="1400" b="0" baseline="0">
              <a:solidFill>
                <a:sysClr val="windowText" lastClr="000000"/>
              </a:solidFill>
            </a:rPr>
            <a:t> </a:t>
          </a:r>
          <a:r>
            <a:rPr lang="es-DO" sz="1400" b="0">
              <a:solidFill>
                <a:sysClr val="windowText" lastClr="000000"/>
              </a:solidFill>
            </a:rPr>
            <a:t>de recaudación centralizada a cargo exclusivo de la TSS.  La TSS por mandato de la Ley 87-01 opera el Sistema de Recaudación,</a:t>
          </a:r>
          <a:r>
            <a:rPr lang="es-DO" sz="1400" b="0" baseline="0">
              <a:solidFill>
                <a:sysClr val="windowText" lastClr="000000"/>
              </a:solidFill>
            </a:rPr>
            <a:t> </a:t>
          </a:r>
          <a:r>
            <a:rPr lang="es-DO" sz="1400" b="0">
              <a:solidFill>
                <a:sysClr val="windowText" lastClr="000000"/>
              </a:solidFill>
            </a:rPr>
            <a:t>Distribución y Pago (SUIR), el cual es el sistema informático que permite a</a:t>
          </a:r>
          <a:r>
            <a:rPr lang="es-DO" sz="1400" b="0" baseline="0">
              <a:solidFill>
                <a:sysClr val="windowText" lastClr="000000"/>
              </a:solidFill>
            </a:rPr>
            <a:t> </a:t>
          </a:r>
          <a:r>
            <a:rPr lang="es-DO" sz="1400" b="0">
              <a:solidFill>
                <a:sysClr val="windowText" lastClr="000000"/>
              </a:solidFill>
            </a:rPr>
            <a:t>los empleadores registrar sus nóminas y novedades (altas,</a:t>
          </a:r>
          <a:r>
            <a:rPr lang="es-DO" sz="1400" b="0" baseline="0">
              <a:solidFill>
                <a:sysClr val="windowText" lastClr="000000"/>
              </a:solidFill>
            </a:rPr>
            <a:t> </a:t>
          </a:r>
          <a:r>
            <a:rPr lang="es-DO" sz="1400" b="0">
              <a:solidFill>
                <a:sysClr val="windowText" lastClr="000000"/>
              </a:solidFill>
            </a:rPr>
            <a:t>cambios de</a:t>
          </a:r>
          <a:r>
            <a:rPr lang="es-DO" sz="1400" b="0" baseline="0">
              <a:solidFill>
                <a:sysClr val="windowText" lastClr="000000"/>
              </a:solidFill>
            </a:rPr>
            <a:t> </a:t>
          </a:r>
          <a:r>
            <a:rPr lang="es-DO" sz="1400" b="0">
              <a:solidFill>
                <a:sysClr val="windowText" lastClr="000000"/>
              </a:solidFill>
            </a:rPr>
            <a:t>salario y bajas), así como realizar los pagos correspondientes a través de la</a:t>
          </a:r>
          <a:r>
            <a:rPr lang="es-DO" sz="1400" b="0" baseline="0">
              <a:solidFill>
                <a:sysClr val="windowText" lastClr="000000"/>
              </a:solidFill>
            </a:rPr>
            <a:t> </a:t>
          </a:r>
          <a:r>
            <a:rPr lang="es-DO" sz="1400" b="0">
              <a:solidFill>
                <a:sysClr val="windowText" lastClr="000000"/>
              </a:solidFill>
            </a:rPr>
            <a:t>red financiera nacional.</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lvl="1"/>
          <a:r>
            <a:rPr lang="es-DO" sz="1400" b="0">
              <a:solidFill>
                <a:sysClr val="windowText" lastClr="000000"/>
              </a:solidFill>
            </a:rPr>
            <a:t>A partir de las informaciones de las nóminas registradas por los empleadores</a:t>
          </a:r>
          <a:r>
            <a:rPr lang="es-DO" sz="1400" b="0" baseline="0">
              <a:solidFill>
                <a:sysClr val="windowText" lastClr="000000"/>
              </a:solidFill>
            </a:rPr>
            <a:t> </a:t>
          </a:r>
          <a:r>
            <a:rPr lang="es-DO" sz="1400" b="0">
              <a:solidFill>
                <a:sysClr val="windowText" lastClr="000000"/>
              </a:solidFill>
            </a:rPr>
            <a:t>tanto públicos como privados, la TSS genera mensualmente una liquidación o</a:t>
          </a:r>
          <a:r>
            <a:rPr lang="es-DO" sz="1400" b="0" baseline="0">
              <a:solidFill>
                <a:sysClr val="windowText" lastClr="000000"/>
              </a:solidFill>
            </a:rPr>
            <a:t> </a:t>
          </a:r>
          <a:r>
            <a:rPr lang="es-DO" sz="1400" b="0">
              <a:solidFill>
                <a:sysClr val="windowText" lastClr="000000"/>
              </a:solidFill>
            </a:rPr>
            <a:t>notificación de pago en la cual se calculan los aportes de cada trabajador, en</a:t>
          </a:r>
          <a:r>
            <a:rPr lang="es-DO" sz="1400" b="0" baseline="0">
              <a:solidFill>
                <a:sysClr val="windowText" lastClr="000000"/>
              </a:solidFill>
            </a:rPr>
            <a:t> </a:t>
          </a:r>
          <a:r>
            <a:rPr lang="es-DO" sz="1400" b="0">
              <a:solidFill>
                <a:sysClr val="windowText" lastClr="000000"/>
              </a:solidFill>
            </a:rPr>
            <a:t>función de su salario cotizable y los porcentajes de contribución y aporte</a:t>
          </a:r>
          <a:r>
            <a:rPr lang="es-DO" sz="1400" b="0" baseline="0">
              <a:solidFill>
                <a:sysClr val="windowText" lastClr="000000"/>
              </a:solidFill>
            </a:rPr>
            <a:t> </a:t>
          </a:r>
          <a:r>
            <a:rPr lang="es-DO" sz="1400" b="0">
              <a:solidFill>
                <a:sysClr val="windowText" lastClr="000000"/>
              </a:solidFill>
            </a:rPr>
            <a:t>contemplados en la Ley.  Antes del tercer día hábil (laborable) del mes siguiente, el empleador debe</a:t>
          </a:r>
          <a:r>
            <a:rPr lang="es-DO" sz="1400" b="0" baseline="0">
              <a:solidFill>
                <a:sysClr val="windowText" lastClr="000000"/>
              </a:solidFill>
            </a:rPr>
            <a:t> </a:t>
          </a:r>
          <a:r>
            <a:rPr lang="es-DO" sz="1400" b="0">
              <a:solidFill>
                <a:sysClr val="windowText" lastClr="000000"/>
              </a:solidFill>
            </a:rPr>
            <a:t>realizar el pago de su notificación en los bancos recaudadores autorizados. </a:t>
          </a:r>
          <a:r>
            <a:rPr lang="en-US" sz="1400" b="0" smtClean="0">
              <a:solidFill>
                <a:sysClr val="windowText" lastClr="000000"/>
              </a:solidFill>
              <a:latin typeface="+mn-lt"/>
              <a:ea typeface="+mn-ea"/>
              <a:cs typeface="+mn-cs"/>
            </a:rPr>
            <a:t>Si el empleador no paga antes de la fecha límite de pago, se generan recargos e</a:t>
          </a:r>
          <a:r>
            <a:rPr lang="en-US" sz="1400" b="0" baseline="0" smtClean="0">
              <a:solidFill>
                <a:sysClr val="windowText" lastClr="000000"/>
              </a:solidFill>
              <a:latin typeface="+mn-lt"/>
              <a:ea typeface="+mn-ea"/>
              <a:cs typeface="+mn-cs"/>
            </a:rPr>
            <a:t> </a:t>
          </a:r>
          <a:r>
            <a:rPr lang="en-US" sz="1400" b="0" smtClean="0">
              <a:solidFill>
                <a:sysClr val="windowText" lastClr="000000"/>
              </a:solidFill>
              <a:latin typeface="+mn-lt"/>
              <a:ea typeface="+mn-ea"/>
              <a:cs typeface="+mn-cs"/>
            </a:rPr>
            <a:t>intereses acumulativos por cada mes de atraso.</a:t>
          </a:r>
        </a:p>
        <a:p>
          <a:endParaRPr lang="en-US" sz="1400" b="0" smtClean="0">
            <a:solidFill>
              <a:sysClr val="windowText" lastClr="000000"/>
            </a:solidFill>
            <a:latin typeface="+mn-lt"/>
            <a:ea typeface="+mn-ea"/>
            <a:cs typeface="+mn-cs"/>
          </a:endParaRPr>
        </a:p>
        <a:p>
          <a:r>
            <a:rPr lang="en-US" sz="1400" b="1" smtClean="0">
              <a:solidFill>
                <a:sysClr val="windowText" lastClr="000000"/>
              </a:solidFill>
              <a:latin typeface="+mn-lt"/>
              <a:ea typeface="+mn-ea"/>
              <a:cs typeface="+mn-cs"/>
            </a:rPr>
            <a:t>Intereses, Recargo y Multas </a:t>
          </a:r>
        </a:p>
        <a:p>
          <a:pPr marL="457200" marR="0" lvl="1" indent="0" defTabSz="914400" eaLnBrk="1" fontAlgn="auto" latinLnBrk="0" hangingPunct="1">
            <a:lnSpc>
              <a:spcPct val="100000"/>
            </a:lnSpc>
            <a:spcBef>
              <a:spcPts val="0"/>
            </a:spcBef>
            <a:spcAft>
              <a:spcPts val="0"/>
            </a:spcAft>
            <a:buClrTx/>
            <a:buSzTx/>
            <a:buFontTx/>
            <a:buNone/>
            <a:tabLst/>
            <a:defRPr/>
          </a:pPr>
          <a:r>
            <a:rPr lang="en-US" sz="1400" b="0" smtClean="0">
              <a:solidFill>
                <a:sysClr val="windowText" lastClr="000000"/>
              </a:solidFill>
              <a:latin typeface="+mn-lt"/>
              <a:ea typeface="+mn-ea"/>
              <a:cs typeface="+mn-cs"/>
            </a:rPr>
            <a:t>Con relación  al Seguro de Vejez, Discapacidad y Sobrevivencia (</a:t>
          </a:r>
          <a:r>
            <a:rPr lang="en-US" sz="1400" b="0">
              <a:solidFill>
                <a:schemeClr val="dk1"/>
              </a:solidFill>
              <a:effectLst/>
              <a:latin typeface="+mn-lt"/>
              <a:ea typeface="+mn-ea"/>
              <a:cs typeface="+mn-cs"/>
            </a:rPr>
            <a:t>SVDS),</a:t>
          </a:r>
          <a:r>
            <a:rPr lang="en-US" sz="1400" b="0" baseline="0">
              <a:solidFill>
                <a:schemeClr val="dk1"/>
              </a:solidFill>
              <a:effectLst/>
              <a:latin typeface="+mn-lt"/>
              <a:ea typeface="+mn-ea"/>
              <a:cs typeface="+mn-cs"/>
            </a:rPr>
            <a:t> e</a:t>
          </a:r>
          <a:r>
            <a:rPr lang="en-US" sz="1400" b="0"/>
            <a:t>l empleador </a:t>
          </a:r>
          <a:r>
            <a:rPr lang="en-US" sz="1400"/>
            <a:t>que comete una infracción debe pagar</a:t>
          </a:r>
          <a:r>
            <a:rPr lang="en-US" sz="1400" baseline="0"/>
            <a:t> </a:t>
          </a:r>
          <a:r>
            <a:rPr lang="en-US" sz="1400"/>
            <a:t>un recargo de</a:t>
          </a:r>
          <a:r>
            <a:rPr lang="en-US" sz="1400" baseline="0"/>
            <a:t> un </a:t>
          </a:r>
          <a:r>
            <a:rPr lang="en-US" sz="1400"/>
            <a:t>5% mensual acumulativo del monto involucrado en la retención indebida. En adición, el retraso en el pago y/o el hacerlo en forma incompleta, da</a:t>
          </a:r>
          <a:r>
            <a:rPr lang="en-US" sz="1400" baseline="0"/>
            <a:t> </a:t>
          </a:r>
          <a:r>
            <a:rPr lang="en-US" sz="1400"/>
            <a:t>lugar al inicio de una acción penal por parte de la Administradora de Fondos de Pensiones (AFP) correspondiente. Las AFP que incurran en infracciones señaladas en la ley 87-01 y sus normas complementarias son sancionadas con una multa no menor a 50 veces ni mayor de 300 veces al salario mínimo nacional. </a:t>
          </a:r>
        </a:p>
        <a:p>
          <a:pPr marL="457200" marR="0" lvl="1" indent="0" defTabSz="914400" eaLnBrk="1" fontAlgn="auto" latinLnBrk="0" hangingPunct="1">
            <a:lnSpc>
              <a:spcPct val="100000"/>
            </a:lnSpc>
            <a:spcBef>
              <a:spcPts val="0"/>
            </a:spcBef>
            <a:spcAft>
              <a:spcPts val="0"/>
            </a:spcAft>
            <a:buClrTx/>
            <a:buSzTx/>
            <a:buFontTx/>
            <a:buNone/>
            <a:tabLst/>
            <a:defRPr/>
          </a:pPr>
          <a:r>
            <a:rPr lang="en-US" sz="1400">
              <a:solidFill>
                <a:schemeClr val="dk1"/>
              </a:solidFill>
              <a:latin typeface="+mn-lt"/>
              <a:ea typeface="+mn-ea"/>
              <a:cs typeface="+mn-cs"/>
            </a:rPr>
            <a:t>El monto de los recargos es abonado en la cuenta personal del afiliado; Los intereses por el recargo de la comisión de la Administradora de Fondos de Pensiones (AFP) corresponde a ésta y las multas son depositadas en el Fondo de Solidaridad Social</a:t>
          </a:r>
          <a:r>
            <a:rPr lang="en-US" sz="1400"/>
            <a:t>. </a:t>
          </a:r>
        </a:p>
        <a:p>
          <a:pPr marL="457200" marR="0" lvl="1" indent="0" defTabSz="914400" eaLnBrk="1" fontAlgn="auto" latinLnBrk="0" hangingPunct="1">
            <a:lnSpc>
              <a:spcPct val="100000"/>
            </a:lnSpc>
            <a:spcBef>
              <a:spcPts val="0"/>
            </a:spcBef>
            <a:spcAft>
              <a:spcPts val="0"/>
            </a:spcAft>
            <a:buClrTx/>
            <a:buSzTx/>
            <a:buFontTx/>
            <a:buNone/>
            <a:tabLst/>
            <a:defRPr/>
          </a:pPr>
          <a:r>
            <a:rPr lang="en-US" sz="1400" b="0">
              <a:solidFill>
                <a:sysClr val="windowText" lastClr="000000"/>
              </a:solidFill>
              <a:latin typeface="+mn-lt"/>
              <a:ea typeface="+mn-ea"/>
              <a:cs typeface="+mn-cs"/>
            </a:rPr>
            <a:t>En cuanto a </a:t>
          </a:r>
          <a:r>
            <a:rPr lang="en-US" sz="1400"/>
            <a:t>el Seguro Familiar de Salud (SFS) y el Seguro de Riesgos Laborales (SRL), </a:t>
          </a:r>
          <a:r>
            <a:rPr lang="en-US" sz="1400" b="0">
              <a:solidFill>
                <a:sysClr val="windowText" lastClr="000000"/>
              </a:solidFill>
              <a:latin typeface="+mn-lt"/>
              <a:ea typeface="+mn-ea"/>
              <a:cs typeface="+mn-cs"/>
            </a:rPr>
            <a:t> el</a:t>
          </a:r>
          <a:r>
            <a:rPr lang="en-US" sz="1400" b="0" baseline="0">
              <a:solidFill>
                <a:sysClr val="windowText" lastClr="000000"/>
              </a:solidFill>
              <a:latin typeface="+mn-lt"/>
              <a:ea typeface="+mn-ea"/>
              <a:cs typeface="+mn-cs"/>
            </a:rPr>
            <a:t> </a:t>
          </a:r>
          <a:r>
            <a:rPr lang="en-US" sz="1400"/>
            <a:t>empleador público o privado que incurra en cualquiera de las infracciones señaladas en el artículo 181 de la ley, debe pagar un recargo del 5% mensual acumulativo del monto involucrado en la retención indebida. La Administradora de Riesgos de Salud (ARS) que incurra en cualquiera de las infracciones debe pagar una multa no menor de 50 veces ni mayor de 200 veces el salario mínimo nacional. </a:t>
          </a:r>
        </a:p>
        <a:p>
          <a:pPr marL="457200" marR="0" lvl="1" indent="0" defTabSz="914400" eaLnBrk="1" fontAlgn="auto" latinLnBrk="0" hangingPunct="1">
            <a:lnSpc>
              <a:spcPct val="100000"/>
            </a:lnSpc>
            <a:spcBef>
              <a:spcPts val="0"/>
            </a:spcBef>
            <a:spcAft>
              <a:spcPts val="0"/>
            </a:spcAft>
            <a:buClrTx/>
            <a:buSzTx/>
            <a:buFontTx/>
            <a:buNone/>
            <a:tabLst/>
            <a:defRPr/>
          </a:pPr>
          <a:r>
            <a:rPr lang="en-US" sz="1400"/>
            <a:t>En lo que respecta al Seguro Familiar de Salud y al Seguro de Riesgos Laborales, el monto de los recargos es abonado a la cuenta de subsidi</a:t>
          </a:r>
          <a:r>
            <a:rPr lang="es-DO" sz="1400">
              <a:solidFill>
                <a:schemeClr val="dk1"/>
              </a:solidFill>
              <a:latin typeface="+mn-lt"/>
              <a:ea typeface="+mn-ea"/>
              <a:cs typeface="+mn-cs"/>
            </a:rPr>
            <a:t>os</a:t>
          </a:r>
        </a:p>
        <a:p>
          <a:pPr marL="457200" marR="0" lvl="1" indent="0" defTabSz="914400" eaLnBrk="1" fontAlgn="auto" latinLnBrk="0" hangingPunct="1">
            <a:lnSpc>
              <a:spcPct val="100000"/>
            </a:lnSpc>
            <a:spcBef>
              <a:spcPts val="0"/>
            </a:spcBef>
            <a:spcAft>
              <a:spcPts val="0"/>
            </a:spcAft>
            <a:buClrTx/>
            <a:buSzTx/>
            <a:buFontTx/>
            <a:buNone/>
            <a:tabLst/>
            <a:defRPr/>
          </a:pPr>
          <a:endParaRPr lang="es-DO" sz="1400" b="1">
            <a:solidFill>
              <a:schemeClr val="dk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latin typeface="+mn-lt"/>
              <a:ea typeface="+mn-ea"/>
              <a:cs typeface="+mn-cs"/>
            </a:rPr>
            <a:t>Rendimientos, </a:t>
          </a:r>
          <a:r>
            <a:rPr lang="es-DO" sz="1400" b="0">
              <a:solidFill>
                <a:sysClr val="windowText" lastClr="000000"/>
              </a:solidFill>
              <a:latin typeface="+mn-lt"/>
              <a:ea typeface="+mn-ea"/>
              <a:cs typeface="+mn-cs"/>
            </a:rPr>
            <a:t>se refiere a los beneficio percibidos a través de las inversiones de los recursos disponibles en las cuentas del Seguro Familiar de Salud.</a:t>
          </a:r>
        </a:p>
        <a:p>
          <a:pPr marL="457200" marR="0" lvl="1" indent="0" defTabSz="914400" eaLnBrk="1" fontAlgn="auto" latinLnBrk="0" hangingPunct="1">
            <a:lnSpc>
              <a:spcPct val="100000"/>
            </a:lnSpc>
            <a:spcBef>
              <a:spcPts val="0"/>
            </a:spcBef>
            <a:spcAft>
              <a:spcPts val="0"/>
            </a:spcAft>
            <a:buClrTx/>
            <a:buSzTx/>
            <a:buFontTx/>
            <a:buNone/>
            <a:tabLst/>
            <a:defRPr/>
          </a:pPr>
          <a:endParaRPr lang="en-US" sz="140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400" b="1">
              <a:solidFill>
                <a:sysClr val="windowText" lastClr="000000"/>
              </a:solidFill>
              <a:latin typeface="+mn-lt"/>
              <a:ea typeface="+mn-ea"/>
              <a:cs typeface="+mn-cs"/>
            </a:rPr>
            <a:t>Aportes del Gobierno.- </a:t>
          </a:r>
          <a:r>
            <a:rPr lang="en-US" sz="1400" b="1" baseline="0">
              <a:solidFill>
                <a:sysClr val="windowText" lastClr="000000"/>
              </a:solidFill>
              <a:latin typeface="+mn-lt"/>
              <a:ea typeface="+mn-ea"/>
              <a:cs typeface="+mn-cs"/>
            </a:rPr>
            <a:t> </a:t>
          </a:r>
          <a:r>
            <a:rPr lang="en-US" sz="1400" b="0">
              <a:solidFill>
                <a:sysClr val="windowText" lastClr="000000"/>
              </a:solidFill>
              <a:latin typeface="+mn-lt"/>
              <a:ea typeface="+mn-ea"/>
              <a:cs typeface="+mn-cs"/>
            </a:rPr>
            <a:t>El Estado Dominicano</a:t>
          </a:r>
          <a:r>
            <a:rPr lang="en-US" sz="1400" b="0" baseline="0">
              <a:solidFill>
                <a:sysClr val="windowText" lastClr="000000"/>
              </a:solidFill>
              <a:latin typeface="+mn-lt"/>
              <a:ea typeface="+mn-ea"/>
              <a:cs typeface="+mn-cs"/>
            </a:rPr>
            <a:t> participa por diferentes vías en el financiamiento del Sistema Dominicano de Seguridad Social:</a:t>
          </a:r>
        </a:p>
        <a:p>
          <a:pPr marL="457200" marR="0" lvl="1" indent="0" defTabSz="914400" eaLnBrk="1" fontAlgn="auto" latinLnBrk="0" hangingPunct="1">
            <a:lnSpc>
              <a:spcPct val="100000"/>
            </a:lnSpc>
            <a:spcBef>
              <a:spcPts val="0"/>
            </a:spcBef>
            <a:spcAft>
              <a:spcPts val="0"/>
            </a:spcAft>
            <a:buClrTx/>
            <a:buSzTx/>
            <a:buFontTx/>
            <a:buNone/>
            <a:tabLst/>
            <a:defRPr/>
          </a:pPr>
          <a:endParaRPr lang="en-US" sz="1400" b="0" baseline="0">
            <a:solidFill>
              <a:sysClr val="windowText" lastClr="000000"/>
            </a:solidFill>
            <a:latin typeface="+mn-lt"/>
            <a:ea typeface="+mn-ea"/>
            <a:cs typeface="+mn-cs"/>
          </a:endParaRPr>
        </a:p>
        <a:p>
          <a:pPr marL="457200" marR="0" lvl="1" indent="0" defTabSz="914400" eaLnBrk="1" fontAlgn="auto" latinLnBrk="0" hangingPunct="1">
            <a:lnSpc>
              <a:spcPct val="100000"/>
            </a:lnSpc>
            <a:spcBef>
              <a:spcPts val="0"/>
            </a:spcBef>
            <a:spcAft>
              <a:spcPts val="0"/>
            </a:spcAft>
            <a:buClrTx/>
            <a:buSzTx/>
            <a:buFontTx/>
            <a:buNone/>
            <a:tabLst/>
            <a:defRPr/>
          </a:pPr>
          <a:r>
            <a:rPr lang="en-US" sz="1400" b="0" baseline="0">
              <a:solidFill>
                <a:sysClr val="windowText" lastClr="000000"/>
              </a:solidFill>
              <a:latin typeface="+mn-lt"/>
              <a:ea typeface="+mn-ea"/>
              <a:cs typeface="+mn-cs"/>
            </a:rPr>
            <a:t>a) En el Régimen contributivo  realiza su aporte como empleador  para financiar la cobertura de los trabajadores del sector público, además desde septiembre del 2007 hasta diciembre del 2009 proporcionó los recursos para cubrir las atenciones médicas por  accidentes de tránsito las cuales  están excluidas de la cobertura del Seguro Familiar de Salud.</a:t>
          </a:r>
          <a:endParaRPr lang="es-DO" sz="1400" b="0">
            <a:solidFill>
              <a:sysClr val="windowText" lastClr="000000"/>
            </a:solidFill>
            <a:latin typeface="+mn-lt"/>
            <a:ea typeface="+mn-ea"/>
            <a:cs typeface="+mn-cs"/>
          </a:endParaRPr>
        </a:p>
      </xdr:txBody>
    </xdr:sp>
    <xdr:clientData/>
  </xdr:twoCellAnchor>
  <xdr:twoCellAnchor>
    <xdr:from>
      <xdr:col>0</xdr:col>
      <xdr:colOff>0</xdr:colOff>
      <xdr:row>0</xdr:row>
      <xdr:rowOff>0</xdr:rowOff>
    </xdr:from>
    <xdr:to>
      <xdr:col>14</xdr:col>
      <xdr:colOff>11205</xdr:colOff>
      <xdr:row>4</xdr:row>
      <xdr:rowOff>67235</xdr:rowOff>
    </xdr:to>
    <xdr:sp macro="" textlink="">
      <xdr:nvSpPr>
        <xdr:cNvPr id="5" name="4 Rectángulo redondeado"/>
        <xdr:cNvSpPr/>
      </xdr:nvSpPr>
      <xdr:spPr>
        <a:xfrm>
          <a:off x="0" y="0"/>
          <a:ext cx="11306734" cy="82923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Sistema Dominicano de Seguridad Social</a:t>
          </a:r>
          <a:endParaRPr lang="es-DO" sz="3200">
            <a:effectLst/>
          </a:endParaRPr>
        </a:p>
        <a:p>
          <a:pPr algn="ctr" eaLnBrk="1" fontAlgn="auto" latinLnBrk="0" hangingPunct="1"/>
          <a:r>
            <a:rPr lang="es-DO" sz="2000" b="1">
              <a:solidFill>
                <a:schemeClr val="lt1"/>
              </a:solidFill>
              <a:effectLst/>
              <a:latin typeface="+mn-lt"/>
              <a:ea typeface="+mn-ea"/>
              <a:cs typeface="+mn-cs"/>
            </a:rPr>
            <a:t>Ingresos y Egresos</a:t>
          </a:r>
          <a:endParaRPr lang="es-DO" sz="3200">
            <a:effectLst/>
          </a:endParaRPr>
        </a:p>
      </xdr:txBody>
    </xdr:sp>
    <xdr:clientData/>
  </xdr:twoCellAnchor>
  <xdr:twoCellAnchor editAs="oneCell">
    <xdr:from>
      <xdr:col>0</xdr:col>
      <xdr:colOff>537881</xdr:colOff>
      <xdr:row>1</xdr:row>
      <xdr:rowOff>33619</xdr:rowOff>
    </xdr:from>
    <xdr:to>
      <xdr:col>1</xdr:col>
      <xdr:colOff>515978</xdr:colOff>
      <xdr:row>3</xdr:row>
      <xdr:rowOff>145676</xdr:rowOff>
    </xdr:to>
    <xdr:pic>
      <xdr:nvPicPr>
        <xdr:cNvPr id="7" name="1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537881" y="224119"/>
          <a:ext cx="740097" cy="4930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2.xml><?xml version="1.0" encoding="utf-8"?>
<xdr:wsDr xmlns:xdr="http://schemas.openxmlformats.org/drawingml/2006/spreadsheetDrawing" xmlns:a="http://schemas.openxmlformats.org/drawingml/2006/main">
  <xdr:twoCellAnchor editAs="oneCell">
    <xdr:from>
      <xdr:col>4</xdr:col>
      <xdr:colOff>257735</xdr:colOff>
      <xdr:row>10</xdr:row>
      <xdr:rowOff>100853</xdr:rowOff>
    </xdr:from>
    <xdr:to>
      <xdr:col>9</xdr:col>
      <xdr:colOff>732767</xdr:colOff>
      <xdr:row>37</xdr:row>
      <xdr:rowOff>38490</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305735" y="2005853"/>
          <a:ext cx="4419503" cy="5081137"/>
        </a:xfrm>
        <a:prstGeom prst="rect">
          <a:avLst/>
        </a:prstGeom>
        <a:noFill/>
        <a:ln>
          <a:noFill/>
        </a:ln>
      </xdr:spPr>
    </xdr:pic>
    <xdr:clientData/>
  </xdr:twoCellAnchor>
  <xdr:twoCellAnchor>
    <xdr:from>
      <xdr:col>0</xdr:col>
      <xdr:colOff>0</xdr:colOff>
      <xdr:row>0</xdr:row>
      <xdr:rowOff>0</xdr:rowOff>
    </xdr:from>
    <xdr:to>
      <xdr:col>13</xdr:col>
      <xdr:colOff>739590</xdr:colOff>
      <xdr:row>48</xdr:row>
      <xdr:rowOff>168088</xdr:rowOff>
    </xdr:to>
    <xdr:sp macro="" textlink="">
      <xdr:nvSpPr>
        <xdr:cNvPr id="2" name="1 CuadroTexto"/>
        <xdr:cNvSpPr txBox="1"/>
      </xdr:nvSpPr>
      <xdr:spPr>
        <a:xfrm>
          <a:off x="0" y="0"/>
          <a:ext cx="11273119" cy="93120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457200" marR="0" lvl="1" indent="0" algn="l" defTabSz="914400" eaLnBrk="1" fontAlgn="auto" latinLnBrk="0" hangingPunct="1">
            <a:lnSpc>
              <a:spcPct val="100000"/>
            </a:lnSpc>
            <a:spcBef>
              <a:spcPts val="0"/>
            </a:spcBef>
            <a:spcAft>
              <a:spcPts val="0"/>
            </a:spcAft>
            <a:buClrTx/>
            <a:buSzTx/>
            <a:buFontTx/>
            <a:buNone/>
            <a:tabLst/>
            <a:defRPr/>
          </a:pPr>
          <a:endParaRPr lang="es-DO" sz="700" b="0" baseline="0">
            <a:solidFill>
              <a:sysClr val="windowText" lastClr="000000"/>
            </a:solidFill>
            <a:latin typeface="+mn-lt"/>
            <a:ea typeface="+mn-ea"/>
            <a:cs typeface="+mn-cs"/>
          </a:endParaRP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b) El Régimen Subsidiado es financiado totalmente por el gobierno  para proteger a las personas que viven en condiciones de vulnerabilidad  y que no tienen capacidad contributiva, en la actualidad a través del  Seguro Familiar de Salud y próximamente con la implementación de las pensiones solidarias.</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 Régimen Contributivo Subsidiado (no ha iniciado) se financiará con aportes del trabajador y un subsidio estatal para suplir la falta de empleador.</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d) Aportes realizados por el Gobierno par financiar  el Plan de Servicios  de Salud Especial Transitorio para los Pensionados y Jubilados que reciben  su pensión a través de la Dirección General de jubilaciones y Pensiones del Ministerio de Hacienda, conjuntamente con los aportes de los pensionados y jubilados.</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Por otro lado otro aporte del Gobierno Central a la Seguridad Social es  la asignación  presupuestal anual para las operaciones de las entidades del sistemas y la implementación de proyectos.</a:t>
          </a:r>
          <a:endParaRPr lang="en-US" sz="14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latin typeface="+mn-lt"/>
              <a:ea typeface="+mn-ea"/>
              <a:cs typeface="+mn-cs"/>
            </a:rPr>
            <a:t>Egresos</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Los egresos del SDSS corresponden a los pagos que realiza el sistema para cubrir a los afiliados a las Administradoras de Fondos de Pensiones (AFP), Administradoras de Riesgos de Salud (ARS), Administradora de Riesgos Laborales, Superintendencias de </a:t>
          </a:r>
          <a:r>
            <a:rPr lang="es-DO" sz="1400" b="0" baseline="0">
              <a:solidFill>
                <a:schemeClr val="dk1"/>
              </a:solidFill>
              <a:effectLst/>
              <a:latin typeface="+mn-lt"/>
              <a:ea typeface="+mn-ea"/>
              <a:cs typeface="+mn-cs"/>
            </a:rPr>
            <a:t> Pensiones y de </a:t>
          </a:r>
          <a:r>
            <a:rPr lang="es-DO" sz="1400" b="0" baseline="0">
              <a:solidFill>
                <a:sysClr val="windowText" lastClr="000000"/>
              </a:solidFill>
              <a:latin typeface="+mn-lt"/>
              <a:ea typeface="+mn-ea"/>
              <a:cs typeface="+mn-cs"/>
            </a:rPr>
            <a:t>Salud y Riesgos Laborales y a la Administradora de Estancias Infantiles.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Dichos recursos son destinados por seguro de la manera siguiente:</a:t>
          </a:r>
        </a:p>
        <a:p>
          <a:pPr marL="457200" marR="0" lvl="1"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1" baseline="0">
              <a:solidFill>
                <a:sysClr val="windowText" lastClr="000000"/>
              </a:solidFill>
              <a:latin typeface="+mn-lt"/>
              <a:ea typeface="+mn-ea"/>
              <a:cs typeface="+mn-cs"/>
            </a:rPr>
            <a:t>a. Seguro de Vejez, Discapacidad y Sobrevivencia a las cuentas  de :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Capitalización Individual,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Reparto,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Seguro de Vida,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Comisión  de la AFP,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Comisión  de SIPEN y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Fondo de Solidaridad Social. </a:t>
          </a:r>
        </a:p>
        <a:p>
          <a:pPr marL="0" marR="0" indent="0" algn="l" defTabSz="914400" eaLnBrk="1" fontAlgn="auto" latinLnBrk="0" hangingPunct="1">
            <a:lnSpc>
              <a:spcPct val="100000"/>
            </a:lnSpc>
            <a:spcBef>
              <a:spcPts val="0"/>
            </a:spcBef>
            <a:spcAft>
              <a:spcPts val="0"/>
            </a:spcAft>
            <a:buClrTx/>
            <a:buSzTx/>
            <a:buFontTx/>
            <a:buNone/>
            <a:tabLst/>
            <a:defRPr/>
          </a:pPr>
          <a:r>
            <a:rPr lang="es-DO" sz="1400" b="1" baseline="0">
              <a:solidFill>
                <a:sysClr val="windowText" lastClr="000000"/>
              </a:solidFill>
              <a:latin typeface="+mn-lt"/>
              <a:ea typeface="+mn-ea"/>
              <a:cs typeface="+mn-cs"/>
            </a:rPr>
            <a:t>b. Seguro Familiar de Salud a las cuentas de :</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              Cuidado de la Salud,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Fonamat,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Subsidios de Enfermedad y de Maternidad y Lactancia,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Comisión SISALRL y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Estancias Infantiles; </a:t>
          </a:r>
        </a:p>
        <a:p>
          <a:pPr marL="0" marR="0" lvl="0" indent="0" algn="l" defTabSz="914400" eaLnBrk="1" fontAlgn="auto" latinLnBrk="0" hangingPunct="1">
            <a:lnSpc>
              <a:spcPct val="100000"/>
            </a:lnSpc>
            <a:spcBef>
              <a:spcPts val="0"/>
            </a:spcBef>
            <a:spcAft>
              <a:spcPts val="0"/>
            </a:spcAft>
            <a:buClrTx/>
            <a:buSzTx/>
            <a:buFontTx/>
            <a:buNone/>
            <a:tabLst/>
            <a:defRPr/>
          </a:pPr>
          <a:r>
            <a:rPr lang="es-DO" sz="1400" b="1" baseline="0">
              <a:solidFill>
                <a:sysClr val="windowText" lastClr="000000"/>
              </a:solidFill>
              <a:latin typeface="+mn-lt"/>
              <a:ea typeface="+mn-ea"/>
              <a:cs typeface="+mn-cs"/>
            </a:rPr>
            <a:t>c. Seguro de Riesgos Laborales  a las cuentas de :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Prestaciones a Beneficiario  ARL Salud Segura,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Comisión SISALRIL y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Fondo de solidaridad Social.</a:t>
          </a:r>
        </a:p>
        <a:p>
          <a:pPr marL="457200" marR="0" lvl="1"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Y por último en el Régimen Especial Transitorio a las Administradoras de Riesgos de Salud ARS Salud Segura, SENASA y SEMMA, para cubrir la afiliación al seguro de salud de los pensionados y jubilados del ministerio de Hacienda.</a:t>
          </a:r>
        </a:p>
      </xdr:txBody>
    </xdr:sp>
    <xdr:clientData/>
  </xdr:twoCellAnchor>
  <xdr:twoCellAnchor>
    <xdr:from>
      <xdr:col>0</xdr:col>
      <xdr:colOff>0</xdr:colOff>
      <xdr:row>0</xdr:row>
      <xdr:rowOff>0</xdr:rowOff>
    </xdr:from>
    <xdr:to>
      <xdr:col>13</xdr:col>
      <xdr:colOff>750795</xdr:colOff>
      <xdr:row>4</xdr:row>
      <xdr:rowOff>89647</xdr:rowOff>
    </xdr:to>
    <xdr:sp macro="" textlink="">
      <xdr:nvSpPr>
        <xdr:cNvPr id="5" name="4 Rectángulo redondeado"/>
        <xdr:cNvSpPr/>
      </xdr:nvSpPr>
      <xdr:spPr>
        <a:xfrm>
          <a:off x="0" y="0"/>
          <a:ext cx="11284324" cy="851647"/>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Sistema Dominicano de Seguridad Social</a:t>
          </a:r>
          <a:r>
            <a:rPr lang="es-DO" sz="2000" b="1" baseline="0">
              <a:solidFill>
                <a:schemeClr val="lt1"/>
              </a:solidFill>
              <a:effectLst/>
              <a:latin typeface="+mn-lt"/>
              <a:ea typeface="+mn-ea"/>
              <a:cs typeface="+mn-cs"/>
            </a:rPr>
            <a:t> (SDSS)</a:t>
          </a:r>
          <a:endParaRPr lang="es-DO" sz="3200">
            <a:effectLst/>
          </a:endParaRPr>
        </a:p>
        <a:p>
          <a:pPr algn="ctr" eaLnBrk="1" fontAlgn="auto" latinLnBrk="0" hangingPunct="1"/>
          <a:r>
            <a:rPr lang="es-DO" sz="2000" b="1">
              <a:solidFill>
                <a:schemeClr val="lt1"/>
              </a:solidFill>
              <a:effectLst/>
              <a:latin typeface="+mn-lt"/>
              <a:ea typeface="+mn-ea"/>
              <a:cs typeface="+mn-cs"/>
            </a:rPr>
            <a:t>Ingresos y Egresos</a:t>
          </a:r>
          <a:endParaRPr lang="es-DO" sz="3200">
            <a:effectLst/>
          </a:endParaRPr>
        </a:p>
      </xdr:txBody>
    </xdr:sp>
    <xdr:clientData/>
  </xdr:twoCellAnchor>
  <xdr:twoCellAnchor editAs="oneCell">
    <xdr:from>
      <xdr:col>0</xdr:col>
      <xdr:colOff>549090</xdr:colOff>
      <xdr:row>0</xdr:row>
      <xdr:rowOff>156882</xdr:rowOff>
    </xdr:from>
    <xdr:to>
      <xdr:col>1</xdr:col>
      <xdr:colOff>678062</xdr:colOff>
      <xdr:row>3</xdr:row>
      <xdr:rowOff>178953</xdr:rowOff>
    </xdr:to>
    <xdr:pic>
      <xdr:nvPicPr>
        <xdr:cNvPr id="8" name="1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549090" y="156882"/>
          <a:ext cx="890972" cy="5935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3.xml><?xml version="1.0" encoding="utf-8"?>
<xdr:wsDr xmlns:xdr="http://schemas.openxmlformats.org/drawingml/2006/spreadsheetDrawing" xmlns:a="http://schemas.openxmlformats.org/drawingml/2006/main">
  <xdr:twoCellAnchor editAs="oneCell">
    <xdr:from>
      <xdr:col>3</xdr:col>
      <xdr:colOff>70291</xdr:colOff>
      <xdr:row>9</xdr:row>
      <xdr:rowOff>78441</xdr:rowOff>
    </xdr:from>
    <xdr:to>
      <xdr:col>7</xdr:col>
      <xdr:colOff>992998</xdr:colOff>
      <xdr:row>32</xdr:row>
      <xdr:rowOff>81275</xdr:rowOff>
    </xdr:to>
    <xdr:pic>
      <xdr:nvPicPr>
        <xdr:cNvPr id="2" name="1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356291" y="1714500"/>
          <a:ext cx="4418942" cy="4384334"/>
        </a:xfrm>
        <a:prstGeom prst="rect">
          <a:avLst/>
        </a:prstGeom>
        <a:noFill/>
        <a:ln>
          <a:noFill/>
        </a:ln>
      </xdr:spPr>
    </xdr:pic>
    <xdr:clientData/>
  </xdr:twoCellAnchor>
  <xdr:twoCellAnchor>
    <xdr:from>
      <xdr:col>0</xdr:col>
      <xdr:colOff>66674</xdr:colOff>
      <xdr:row>5</xdr:row>
      <xdr:rowOff>38099</xdr:rowOff>
    </xdr:from>
    <xdr:to>
      <xdr:col>11</xdr:col>
      <xdr:colOff>771525</xdr:colOff>
      <xdr:row>36</xdr:row>
      <xdr:rowOff>95251</xdr:rowOff>
    </xdr:to>
    <xdr:sp macro="" textlink="">
      <xdr:nvSpPr>
        <xdr:cNvPr id="3" name="2 CuadroTexto"/>
        <xdr:cNvSpPr txBox="1"/>
      </xdr:nvSpPr>
      <xdr:spPr>
        <a:xfrm>
          <a:off x="66674" y="914399"/>
          <a:ext cx="10001251" cy="6038852"/>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latin typeface="+mn-lt"/>
              <a:ea typeface="+mn-ea"/>
              <a:cs typeface="+mn-cs"/>
            </a:rPr>
            <a:t>El proceso de recaudo del Régimen Contributivo inició en julio de 2003 con el Seguro de Vejez, Discapacidad y Sobrevivencia (SVDS), luego en febrero de 2004 con el inicio del Seguro de Riesgos Laborales (SRL) y por último en septiembre de 2007 con el Seguro Familiar de Salud (SFS).</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rgbClr val="FF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latin typeface="+mn-lt"/>
              <a:ea typeface="+mn-ea"/>
              <a:cs typeface="+mn-cs"/>
            </a:rPr>
            <a:t>Desde el año 2003 hasta noviembre 2015 ha ingresado al Sistema Dominicano de la Seguridad Social (SDSS)  por concepto de recaudo (incluyendo intereses recargo y multas),  aportes del Gobierno Central y rendimiento de inversiones, la suma de RD$519,450,394,741.41, de los cuales el 91.1%  (RD$473,204,077,227.64) pertenece al recaudo del Régimen Contributivo (RC); el 7.6% (RD$39,347,025,128.25) aportes del gobierno para cubrir a los afiliados del Seguro Familiar de Salud del Régimen Subsidiado y el 1.3% (RD$6,899,292,385.52) de rendimiento de las diferentes inversiones del SFS y aportes.</a:t>
          </a: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latin typeface="+mn-lt"/>
              <a:ea typeface="+mn-ea"/>
              <a:cs typeface="+mn-cs"/>
            </a:rPr>
            <a:t>    </a:t>
          </a: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latin typeface="+mn-lt"/>
              <a:ea typeface="+mn-ea"/>
              <a:cs typeface="+mn-cs"/>
            </a:rPr>
            <a:t>Los aportes del gobierno entre el año 2003 hasta noviembre 2015 ascienden a un monto de RD$41,735,267,375.37, distribuido  de la siguiente manera: RD$39,347,025,128.25,  para cubrir a los afiliados del Seguro Familiar de Salud del Régimen Subsidiado;  RD$400,000,000.00 para la cobertura del Fondo de Atenciones Médicas por Accidentes de Tránsito (FONAMAT) en el período comprendido entre septiembre 2007 y diciembre 2009 y RD$1,988,242,247.12, para cubrir la afiliación al Régimen Especial Transitorio de salud de los pensionados del Ministerio de Hacienda.</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latin typeface="+mn-lt"/>
              <a:ea typeface="+mn-ea"/>
              <a:cs typeface="+mn-cs"/>
            </a:rPr>
            <a:t>Del total recaudado desde 2003 al mes de noviembre 2015, un 66.83%  (RD$</a:t>
          </a:r>
          <a:r>
            <a:rPr lang="es-ES" sz="1400" b="0">
              <a:solidFill>
                <a:sysClr val="windowText" lastClr="000000"/>
              </a:solidFill>
              <a:latin typeface="+mn-lt"/>
              <a:ea typeface="+mn-ea"/>
              <a:cs typeface="+mn-cs"/>
            </a:rPr>
            <a:t>316,250,879,952.34</a:t>
          </a:r>
          <a:r>
            <a:rPr lang="es-DO" sz="1400" b="0">
              <a:solidFill>
                <a:sysClr val="windowText" lastClr="000000"/>
              </a:solidFill>
              <a:latin typeface="+mn-lt"/>
              <a:ea typeface="+mn-ea"/>
              <a:cs typeface="+mn-cs"/>
            </a:rPr>
            <a:t>) proviene del sector privado y el 33.17% (RD$156,953,197,275.30) del sector público.  Del recaudo por origen de los aportes, el 28.29% proviene de los trabajadores (el 9.4% sectores público y el 18.9% privados) y el 71.71% del sector empleador (23.8% público y el 47.9% privado), para el mismo período.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latin typeface="+mn-lt"/>
              <a:ea typeface="+mn-ea"/>
              <a:cs typeface="+mn-cs"/>
            </a:rPr>
            <a:t>Para el período enero - diciembre 2014 los fondos ingresados al Sistema Dominicano de Seguridad Social (SDSS) por concepto de recaudo del Régimen Contributivo ascendieron a RD$77,623,881,443.05 y los pagos a las diferentes entidades que lo componen para cubrir los diferentes seguros alcanzaron un monto total de RD$77,919,978,415.96.  En el mismo período, para el Régimen Subsidiado se recibieron  aportes del gobierno central  por la suma de RD$6,839,999,499.00 y se realizaron pago a SENASA por un monto de RD$7,378,610,518.96.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latin typeface="+mn-lt"/>
            <a:ea typeface="+mn-ea"/>
            <a:cs typeface="+mn-cs"/>
          </a:endParaRPr>
        </a:p>
      </xdr:txBody>
    </xdr:sp>
    <xdr:clientData/>
  </xdr:twoCellAnchor>
  <xdr:twoCellAnchor>
    <xdr:from>
      <xdr:col>0</xdr:col>
      <xdr:colOff>0</xdr:colOff>
      <xdr:row>0</xdr:row>
      <xdr:rowOff>0</xdr:rowOff>
    </xdr:from>
    <xdr:to>
      <xdr:col>12</xdr:col>
      <xdr:colOff>0</xdr:colOff>
      <xdr:row>4</xdr:row>
      <xdr:rowOff>66674</xdr:rowOff>
    </xdr:to>
    <xdr:sp macro="" textlink="">
      <xdr:nvSpPr>
        <xdr:cNvPr id="4" name="3 Rectángulo redondeado"/>
        <xdr:cNvSpPr/>
      </xdr:nvSpPr>
      <xdr:spPr>
        <a:xfrm>
          <a:off x="0" y="0"/>
          <a:ext cx="9353550" cy="82867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Sistema Dominicano de Seguridad Social (SDSS)</a:t>
          </a:r>
          <a:endParaRPr lang="es-DO" sz="3200">
            <a:effectLst/>
          </a:endParaRPr>
        </a:p>
        <a:p>
          <a:pPr algn="ctr" eaLnBrk="1" fontAlgn="auto" latinLnBrk="0" hangingPunct="1"/>
          <a:r>
            <a:rPr lang="es-DO" sz="1800" b="1">
              <a:solidFill>
                <a:schemeClr val="lt1"/>
              </a:solidFill>
              <a:effectLst/>
              <a:latin typeface="+mn-lt"/>
              <a:ea typeface="+mn-ea"/>
              <a:cs typeface="+mn-cs"/>
            </a:rPr>
            <a:t>Ingresos y Egresos</a:t>
          </a:r>
          <a:endParaRPr lang="es-DO" sz="2800">
            <a:effectLst/>
          </a:endParaRPr>
        </a:p>
      </xdr:txBody>
    </xdr:sp>
    <xdr:clientData/>
  </xdr:twoCellAnchor>
  <xdr:twoCellAnchor editAs="oneCell">
    <xdr:from>
      <xdr:col>0</xdr:col>
      <xdr:colOff>321050</xdr:colOff>
      <xdr:row>0</xdr:row>
      <xdr:rowOff>136151</xdr:rowOff>
    </xdr:from>
    <xdr:to>
      <xdr:col>1</xdr:col>
      <xdr:colOff>323850</xdr:colOff>
      <xdr:row>3</xdr:row>
      <xdr:rowOff>74166</xdr:rowOff>
    </xdr:to>
    <xdr:pic>
      <xdr:nvPicPr>
        <xdr:cNvPr id="5" name="1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321050" y="136151"/>
          <a:ext cx="764800" cy="5095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4.xml><?xml version="1.0" encoding="utf-8"?>
<xdr:wsDr xmlns:xdr="http://schemas.openxmlformats.org/drawingml/2006/spreadsheetDrawing" xmlns:a="http://schemas.openxmlformats.org/drawingml/2006/main">
  <xdr:twoCellAnchor>
    <xdr:from>
      <xdr:col>0</xdr:col>
      <xdr:colOff>40821</xdr:colOff>
      <xdr:row>20</xdr:row>
      <xdr:rowOff>54428</xdr:rowOff>
    </xdr:from>
    <xdr:to>
      <xdr:col>13</xdr:col>
      <xdr:colOff>1262062</xdr:colOff>
      <xdr:row>78</xdr:row>
      <xdr:rowOff>-1</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1578428</xdr:colOff>
      <xdr:row>1</xdr:row>
      <xdr:rowOff>54429</xdr:rowOff>
    </xdr:to>
    <xdr:sp macro="" textlink="">
      <xdr:nvSpPr>
        <xdr:cNvPr id="3" name="6 Rectángulo redondeado"/>
        <xdr:cNvSpPr/>
      </xdr:nvSpPr>
      <xdr:spPr>
        <a:xfrm>
          <a:off x="0" y="0"/>
          <a:ext cx="20968607" cy="119742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Datos Generales del Sistema Dominicano de Seguridad Social (SDSS) </a:t>
          </a:r>
        </a:p>
        <a:p>
          <a:pPr algn="ctr" eaLnBrk="1" fontAlgn="auto" latinLnBrk="0" hangingPunct="1"/>
          <a:r>
            <a:rPr lang="es-DO" sz="2000" b="1">
              <a:solidFill>
                <a:schemeClr val="lt1"/>
              </a:solidFill>
              <a:effectLst/>
              <a:latin typeface="+mn-lt"/>
              <a:ea typeface="+mn-ea"/>
              <a:cs typeface="+mn-cs"/>
            </a:rPr>
            <a:t>Ingresos y Egresos Anuales del SDSS</a:t>
          </a:r>
        </a:p>
        <a:p>
          <a:pPr algn="ctr" eaLnBrk="1" fontAlgn="auto" latinLnBrk="0" hangingPunct="1"/>
          <a:r>
            <a:rPr lang="es-DO" sz="2000" b="1">
              <a:solidFill>
                <a:schemeClr val="lt1"/>
              </a:solidFill>
              <a:effectLst/>
              <a:latin typeface="+mn-lt"/>
              <a:ea typeface="+mn-ea"/>
              <a:cs typeface="+mn-cs"/>
            </a:rPr>
            <a:t>Período: 2003 -</a:t>
          </a:r>
          <a:r>
            <a:rPr lang="es-DO" sz="2000" b="1" baseline="0">
              <a:solidFill>
                <a:schemeClr val="lt1"/>
              </a:solidFill>
              <a:effectLst/>
              <a:latin typeface="+mn-lt"/>
              <a:ea typeface="+mn-ea"/>
              <a:cs typeface="+mn-cs"/>
            </a:rPr>
            <a:t> Noviembre  </a:t>
          </a:r>
          <a:r>
            <a:rPr lang="es-DO" sz="2000" b="1">
              <a:solidFill>
                <a:schemeClr val="lt1"/>
              </a:solidFill>
              <a:effectLst/>
              <a:latin typeface="+mn-lt"/>
              <a:ea typeface="+mn-ea"/>
              <a:cs typeface="+mn-cs"/>
            </a:rPr>
            <a:t>2015</a:t>
          </a:r>
          <a:endParaRPr lang="es-DO" sz="3200">
            <a:effectLst/>
          </a:endParaRPr>
        </a:p>
      </xdr:txBody>
    </xdr:sp>
    <xdr:clientData/>
  </xdr:twoCellAnchor>
  <xdr:twoCellAnchor editAs="oneCell">
    <xdr:from>
      <xdr:col>0</xdr:col>
      <xdr:colOff>659328</xdr:colOff>
      <xdr:row>0</xdr:row>
      <xdr:rowOff>201635</xdr:rowOff>
    </xdr:from>
    <xdr:to>
      <xdr:col>1</xdr:col>
      <xdr:colOff>607105</xdr:colOff>
      <xdr:row>0</xdr:row>
      <xdr:rowOff>857251</xdr:rowOff>
    </xdr:to>
    <xdr:pic>
      <xdr:nvPicPr>
        <xdr:cNvPr id="4" name="3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59328" y="201635"/>
          <a:ext cx="954706" cy="6556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5.xml><?xml version="1.0" encoding="utf-8"?>
<c:userShapes xmlns:c="http://schemas.openxmlformats.org/drawingml/2006/chart">
  <cdr:relSizeAnchor xmlns:cdr="http://schemas.openxmlformats.org/drawingml/2006/chartDrawing">
    <cdr:from>
      <cdr:x>0.04534</cdr:x>
      <cdr:y>0.89341</cdr:y>
    </cdr:from>
    <cdr:to>
      <cdr:x>0.15078</cdr:x>
      <cdr:y>0.94307</cdr:y>
    </cdr:to>
    <cdr:sp macro="" textlink="">
      <cdr:nvSpPr>
        <cdr:cNvPr id="2" name="1 CuadroTexto"/>
        <cdr:cNvSpPr txBox="1"/>
      </cdr:nvSpPr>
      <cdr:spPr>
        <a:xfrm xmlns:a="http://schemas.openxmlformats.org/drawingml/2006/main">
          <a:off x="953311" y="5932488"/>
          <a:ext cx="2217154" cy="32974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2000" b="1"/>
            <a:t>Fuente: </a:t>
          </a:r>
          <a:r>
            <a:rPr lang="es-ES" sz="2000"/>
            <a:t>TSS</a:t>
          </a:r>
        </a:p>
      </cdr:txBody>
    </cdr:sp>
  </cdr:relSizeAnchor>
</c:userShapes>
</file>

<file path=xl/drawings/drawing96.xml><?xml version="1.0" encoding="utf-8"?>
<xdr:wsDr xmlns:xdr="http://schemas.openxmlformats.org/drawingml/2006/spreadsheetDrawing" xmlns:a="http://schemas.openxmlformats.org/drawingml/2006/main">
  <xdr:twoCellAnchor>
    <xdr:from>
      <xdr:col>0</xdr:col>
      <xdr:colOff>33618</xdr:colOff>
      <xdr:row>17</xdr:row>
      <xdr:rowOff>32496</xdr:rowOff>
    </xdr:from>
    <xdr:to>
      <xdr:col>9</xdr:col>
      <xdr:colOff>952501</xdr:colOff>
      <xdr:row>46</xdr:row>
      <xdr:rowOff>89647</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10</xdr:col>
      <xdr:colOff>0</xdr:colOff>
      <xdr:row>0</xdr:row>
      <xdr:rowOff>862852</xdr:rowOff>
    </xdr:to>
    <xdr:sp macro="" textlink="">
      <xdr:nvSpPr>
        <xdr:cNvPr id="6" name="6 Rectángulo redondeado"/>
        <xdr:cNvSpPr/>
      </xdr:nvSpPr>
      <xdr:spPr>
        <a:xfrm>
          <a:off x="0" y="0"/>
          <a:ext cx="11385176" cy="86285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Recaudo del Régimen Contributivo del SDSS por Sector Económico</a:t>
          </a:r>
        </a:p>
        <a:p>
          <a:pPr algn="ctr" eaLnBrk="1" fontAlgn="auto" latinLnBrk="0" hangingPunct="1"/>
          <a:r>
            <a:rPr lang="es-DO" sz="1800" b="1">
              <a:solidFill>
                <a:schemeClr val="lt1"/>
              </a:solidFill>
              <a:effectLst/>
              <a:latin typeface="+mn-lt"/>
              <a:ea typeface="+mn-ea"/>
              <a:cs typeface="+mn-cs"/>
            </a:rPr>
            <a:t> Período: 2003 -  Noviembre 2015</a:t>
          </a:r>
          <a:endParaRPr lang="es-DO" sz="1800">
            <a:effectLst/>
          </a:endParaRPr>
        </a:p>
      </xdr:txBody>
    </xdr:sp>
    <xdr:clientData/>
  </xdr:twoCellAnchor>
  <xdr:twoCellAnchor editAs="oneCell">
    <xdr:from>
      <xdr:col>0</xdr:col>
      <xdr:colOff>358588</xdr:colOff>
      <xdr:row>0</xdr:row>
      <xdr:rowOff>145678</xdr:rowOff>
    </xdr:from>
    <xdr:to>
      <xdr:col>1</xdr:col>
      <xdr:colOff>17584</xdr:colOff>
      <xdr:row>0</xdr:row>
      <xdr:rowOff>605118</xdr:rowOff>
    </xdr:to>
    <xdr:pic>
      <xdr:nvPicPr>
        <xdr:cNvPr id="4" name="3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58588" y="145678"/>
          <a:ext cx="667525" cy="459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7.xml><?xml version="1.0" encoding="utf-8"?>
<c:userShapes xmlns:c="http://schemas.openxmlformats.org/drawingml/2006/chart">
  <cdr:relSizeAnchor xmlns:cdr="http://schemas.openxmlformats.org/drawingml/2006/chartDrawing">
    <cdr:from>
      <cdr:x>0.2426</cdr:x>
      <cdr:y>0.0187</cdr:y>
    </cdr:from>
    <cdr:to>
      <cdr:x>0.80522</cdr:x>
      <cdr:y>0.09252</cdr:y>
    </cdr:to>
    <cdr:sp macro="" textlink="">
      <cdr:nvSpPr>
        <cdr:cNvPr id="2" name="1 CuadroTexto"/>
        <cdr:cNvSpPr txBox="1"/>
      </cdr:nvSpPr>
      <cdr:spPr>
        <a:xfrm xmlns:a="http://schemas.openxmlformats.org/drawingml/2006/main">
          <a:off x="2547260" y="82990"/>
          <a:ext cx="5907461" cy="3276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s-DO" sz="1600" b="1"/>
            <a:t>Recaudo del Régimen Contributivo del SDSS por Sector Económico</a:t>
          </a:r>
        </a:p>
      </cdr:txBody>
    </cdr:sp>
  </cdr:relSizeAnchor>
  <cdr:relSizeAnchor xmlns:cdr="http://schemas.openxmlformats.org/drawingml/2006/chartDrawing">
    <cdr:from>
      <cdr:x>0.04438</cdr:x>
      <cdr:y>0.91769</cdr:y>
    </cdr:from>
    <cdr:to>
      <cdr:x>0.18674</cdr:x>
      <cdr:y>0.97563</cdr:y>
    </cdr:to>
    <cdr:sp macro="" textlink="">
      <cdr:nvSpPr>
        <cdr:cNvPr id="3" name="1 CuadroTexto"/>
        <cdr:cNvSpPr txBox="1"/>
      </cdr:nvSpPr>
      <cdr:spPr>
        <a:xfrm xmlns:a="http://schemas.openxmlformats.org/drawingml/2006/main">
          <a:off x="532653" y="5122210"/>
          <a:ext cx="1708522" cy="32339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400" b="1"/>
            <a:t>Fuente: </a:t>
          </a:r>
          <a:r>
            <a:rPr lang="es-ES" sz="1400"/>
            <a:t>TSS</a:t>
          </a:r>
        </a:p>
      </cdr:txBody>
    </cdr:sp>
  </cdr:relSizeAnchor>
</c:userShapes>
</file>

<file path=xl/drawings/drawing98.xml><?xml version="1.0" encoding="utf-8"?>
<xdr:wsDr xmlns:xdr="http://schemas.openxmlformats.org/drawingml/2006/spreadsheetDrawing" xmlns:a="http://schemas.openxmlformats.org/drawingml/2006/main">
  <xdr:twoCellAnchor>
    <xdr:from>
      <xdr:col>0</xdr:col>
      <xdr:colOff>71437</xdr:colOff>
      <xdr:row>17</xdr:row>
      <xdr:rowOff>119061</xdr:rowOff>
    </xdr:from>
    <xdr:to>
      <xdr:col>10</xdr:col>
      <xdr:colOff>511968</xdr:colOff>
      <xdr:row>49</xdr:row>
      <xdr:rowOff>142875</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0</xdr:colOff>
      <xdr:row>1</xdr:row>
      <xdr:rowOff>68036</xdr:rowOff>
    </xdr:to>
    <xdr:sp macro="" textlink="">
      <xdr:nvSpPr>
        <xdr:cNvPr id="3" name="6 Rectángulo redondeado"/>
        <xdr:cNvSpPr/>
      </xdr:nvSpPr>
      <xdr:spPr>
        <a:xfrm>
          <a:off x="0" y="0"/>
          <a:ext cx="12545786" cy="7620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Recaudo del Régimen Contributivo del SDSS por Origen de los Aportes</a:t>
          </a:r>
        </a:p>
        <a:p>
          <a:pPr algn="ctr" eaLnBrk="1" fontAlgn="auto" latinLnBrk="0" hangingPunct="1"/>
          <a:r>
            <a:rPr lang="es-DO" sz="1600" b="1">
              <a:solidFill>
                <a:schemeClr val="lt1"/>
              </a:solidFill>
              <a:effectLst/>
              <a:latin typeface="+mn-lt"/>
              <a:ea typeface="+mn-ea"/>
              <a:cs typeface="+mn-cs"/>
            </a:rPr>
            <a:t>Período: 2003 - </a:t>
          </a:r>
          <a:r>
            <a:rPr lang="es-DO" sz="1600" b="1" baseline="0">
              <a:solidFill>
                <a:schemeClr val="lt1"/>
              </a:solidFill>
              <a:effectLst/>
              <a:latin typeface="+mn-lt"/>
              <a:ea typeface="+mn-ea"/>
              <a:cs typeface="+mn-cs"/>
            </a:rPr>
            <a:t> Noviembre</a:t>
          </a:r>
          <a:r>
            <a:rPr lang="es-DO" sz="1600" b="1">
              <a:solidFill>
                <a:schemeClr val="lt1"/>
              </a:solidFill>
              <a:effectLst/>
              <a:latin typeface="+mn-lt"/>
              <a:ea typeface="+mn-ea"/>
              <a:cs typeface="+mn-cs"/>
            </a:rPr>
            <a:t> 2015</a:t>
          </a:r>
          <a:endParaRPr lang="es-DO" sz="2400">
            <a:effectLst/>
          </a:endParaRPr>
        </a:p>
      </xdr:txBody>
    </xdr:sp>
    <xdr:clientData/>
  </xdr:twoCellAnchor>
  <xdr:twoCellAnchor editAs="oneCell">
    <xdr:from>
      <xdr:col>0</xdr:col>
      <xdr:colOff>324970</xdr:colOff>
      <xdr:row>0</xdr:row>
      <xdr:rowOff>67236</xdr:rowOff>
    </xdr:from>
    <xdr:to>
      <xdr:col>1</xdr:col>
      <xdr:colOff>1121</xdr:colOff>
      <xdr:row>0</xdr:row>
      <xdr:rowOff>549089</xdr:rowOff>
    </xdr:to>
    <xdr:pic>
      <xdr:nvPicPr>
        <xdr:cNvPr id="4" name="3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24970" y="67236"/>
          <a:ext cx="700089" cy="4818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631033</xdr:colOff>
      <xdr:row>47</xdr:row>
      <xdr:rowOff>95249</xdr:rowOff>
    </xdr:from>
    <xdr:to>
      <xdr:col>1</xdr:col>
      <xdr:colOff>1000125</xdr:colOff>
      <xdr:row>48</xdr:row>
      <xdr:rowOff>178592</xdr:rowOff>
    </xdr:to>
    <xdr:sp macro="" textlink="">
      <xdr:nvSpPr>
        <xdr:cNvPr id="5" name="CuadroTexto 4"/>
        <xdr:cNvSpPr txBox="1"/>
      </xdr:nvSpPr>
      <xdr:spPr>
        <a:xfrm>
          <a:off x="631033" y="9751218"/>
          <a:ext cx="1393030" cy="27384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400" b="1"/>
            <a:t>Fuente: </a:t>
          </a:r>
          <a:r>
            <a:rPr lang="es-ES" sz="1400"/>
            <a:t>TSS</a:t>
          </a:r>
        </a:p>
      </xdr:txBody>
    </xdr:sp>
    <xdr:clientData/>
  </xdr:twoCellAnchor>
</xdr:wsDr>
</file>

<file path=xl/drawings/drawing99.xml><?xml version="1.0" encoding="utf-8"?>
<xdr:wsDr xmlns:xdr="http://schemas.openxmlformats.org/drawingml/2006/spreadsheetDrawing" xmlns:a="http://schemas.openxmlformats.org/drawingml/2006/main">
  <xdr:twoCellAnchor>
    <xdr:from>
      <xdr:col>0</xdr:col>
      <xdr:colOff>13606</xdr:colOff>
      <xdr:row>16</xdr:row>
      <xdr:rowOff>41623</xdr:rowOff>
    </xdr:from>
    <xdr:to>
      <xdr:col>10</xdr:col>
      <xdr:colOff>666749</xdr:colOff>
      <xdr:row>49</xdr:row>
      <xdr:rowOff>67235</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273904</xdr:colOff>
      <xdr:row>46</xdr:row>
      <xdr:rowOff>134471</xdr:rowOff>
    </xdr:from>
    <xdr:to>
      <xdr:col>1</xdr:col>
      <xdr:colOff>750795</xdr:colOff>
      <xdr:row>48</xdr:row>
      <xdr:rowOff>44825</xdr:rowOff>
    </xdr:to>
    <xdr:sp macro="" textlink="">
      <xdr:nvSpPr>
        <xdr:cNvPr id="3" name="2 CuadroTexto"/>
        <xdr:cNvSpPr txBox="1"/>
      </xdr:nvSpPr>
      <xdr:spPr>
        <a:xfrm>
          <a:off x="273904" y="9581030"/>
          <a:ext cx="1485420" cy="29135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400" b="1"/>
            <a:t>Fuentes: </a:t>
          </a:r>
          <a:r>
            <a:rPr lang="es-DO" sz="1400"/>
            <a:t>TSS</a:t>
          </a:r>
        </a:p>
      </xdr:txBody>
    </xdr:sp>
    <xdr:clientData/>
  </xdr:twoCellAnchor>
  <xdr:twoCellAnchor>
    <xdr:from>
      <xdr:col>0</xdr:col>
      <xdr:colOff>0</xdr:colOff>
      <xdr:row>0</xdr:row>
      <xdr:rowOff>0</xdr:rowOff>
    </xdr:from>
    <xdr:to>
      <xdr:col>10</xdr:col>
      <xdr:colOff>750793</xdr:colOff>
      <xdr:row>2</xdr:row>
      <xdr:rowOff>163284</xdr:rowOff>
    </xdr:to>
    <xdr:sp macro="" textlink="">
      <xdr:nvSpPr>
        <xdr:cNvPr id="4" name="6 Rectángulo redondeado"/>
        <xdr:cNvSpPr/>
      </xdr:nvSpPr>
      <xdr:spPr>
        <a:xfrm>
          <a:off x="0" y="0"/>
          <a:ext cx="12929186" cy="89807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Aportes del Gobierno a la Seguridad Social</a:t>
          </a:r>
        </a:p>
        <a:p>
          <a:pPr algn="ctr" eaLnBrk="1" fontAlgn="auto" latinLnBrk="0" hangingPunct="1"/>
          <a:r>
            <a:rPr lang="es-DO" sz="2000" b="1">
              <a:solidFill>
                <a:schemeClr val="lt1"/>
              </a:solidFill>
              <a:effectLst/>
              <a:latin typeface="+mn-lt"/>
              <a:ea typeface="+mn-ea"/>
              <a:cs typeface="+mn-cs"/>
            </a:rPr>
            <a:t>Período: 2005 - Noviembre 2015  </a:t>
          </a:r>
          <a:endParaRPr lang="es-DO" sz="3200">
            <a:effectLst/>
          </a:endParaRPr>
        </a:p>
      </xdr:txBody>
    </xdr:sp>
    <xdr:clientData/>
  </xdr:twoCellAnchor>
  <xdr:twoCellAnchor editAs="oneCell">
    <xdr:from>
      <xdr:col>0</xdr:col>
      <xdr:colOff>246530</xdr:colOff>
      <xdr:row>1</xdr:row>
      <xdr:rowOff>22411</xdr:rowOff>
    </xdr:from>
    <xdr:to>
      <xdr:col>0</xdr:col>
      <xdr:colOff>962900</xdr:colOff>
      <xdr:row>1</xdr:row>
      <xdr:rowOff>515470</xdr:rowOff>
    </xdr:to>
    <xdr:pic>
      <xdr:nvPicPr>
        <xdr:cNvPr id="5" name="3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46530" y="224117"/>
          <a:ext cx="716370" cy="4930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Documents%20and%20Settings\amadera\Configuraci&#243;n%20local\Archivos%20temporales%20de%20Internet\OLK11B\2005_12_31%20Datos%20Estadisticos%20Control%20de%20Inversiones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ocuments%20and%20Settings/beliza.rivas/Desktop/Bolet&#237;n%20octubre%20201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02.%20Estadisticas/02.%20Informes%20y%20Metas%20SDSS/2015/02.%20Informe%20%20Enero%202015/Bolet&#237;n%20Diciembre%20201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1"/>
      <sheetName val="7.7.3 (T-1)"/>
      <sheetName val="7.7.3 (T-3)"/>
      <sheetName val="7.7.3 (T-4)"/>
      <sheetName val="7.7.3 (T-5)"/>
      <sheetName val="7.7.4"/>
      <sheetName val="7.7.5"/>
      <sheetName val="7.7.6"/>
      <sheetName val="7.7.7"/>
      <sheetName val="31 DIC 05 (2)"/>
      <sheetName val="31 DIC 05"/>
      <sheetName val="30 NOV 05 (2)"/>
      <sheetName val="30 NOV 05"/>
      <sheetName val="31 OCT 05 (2)"/>
      <sheetName val="31 OCT 05"/>
      <sheetName val="30 SEPT 05 (2)"/>
      <sheetName val="30 SEPT 05"/>
      <sheetName val="31 AGOSTO 05 (2)"/>
      <sheetName val="31 AGOSTO 05"/>
      <sheetName val="31 JULIO 05"/>
      <sheetName val="30 JUNIO 05"/>
      <sheetName val="31 MAYO 05"/>
      <sheetName val="30 ABRIL 05"/>
      <sheetName val="31 MARZO 05"/>
      <sheetName val="28 FEBRERO 05"/>
      <sheetName val="31 ENERO 05"/>
      <sheetName val="Moneda"/>
      <sheetName val="Valor Cuota2003-2004"/>
      <sheetName val="8.1-8.2"/>
      <sheetName val="Hoja2"/>
    </sheetNames>
    <sheetDataSet>
      <sheetData sheetId="0" refreshError="1"/>
      <sheetData sheetId="1"/>
      <sheetData sheetId="2"/>
      <sheetData sheetId="3"/>
      <sheetData sheetId="4"/>
      <sheetData sheetId="5" refreshError="1"/>
      <sheetData sheetId="6" refreshError="1"/>
      <sheetData sheetId="7">
        <row r="2">
          <cell r="A2" t="str">
            <v>Composición Cartera de Inversiones</v>
          </cell>
        </row>
        <row r="3">
          <cell r="A3" t="str">
            <v>de los Fondos de Pensiones por Emisor</v>
          </cell>
        </row>
        <row r="4">
          <cell r="A4" t="str">
            <v>Al 30 de diciembre del 2005</v>
          </cell>
        </row>
        <row r="6">
          <cell r="A6" t="str">
            <v>Sub-Sector Económico / Emisor</v>
          </cell>
          <cell r="B6" t="str">
            <v>BBVA Crecer</v>
          </cell>
          <cell r="D6" t="str">
            <v>Caribalico</v>
          </cell>
          <cell r="F6" t="str">
            <v>León</v>
          </cell>
          <cell r="H6" t="str">
            <v>Popular</v>
          </cell>
          <cell r="J6" t="str">
            <v>Reservas</v>
          </cell>
          <cell r="L6" t="str">
            <v>Romana</v>
          </cell>
          <cell r="N6" t="str">
            <v>Siembra</v>
          </cell>
          <cell r="Q6" t="str">
            <v>Sub-Total Fondos CCI</v>
          </cell>
          <cell r="T6" t="str">
            <v>Fondo de Reparto -
 Banco Central</v>
          </cell>
          <cell r="V6" t="str">
            <v>Fondo de Reparto -              Banco de Reservas</v>
          </cell>
          <cell r="X6" t="str">
            <v>Fondo de                 Solidaridad Social</v>
          </cell>
          <cell r="AA6" t="str">
            <v>León T-3</v>
          </cell>
          <cell r="AC6" t="str">
            <v>Popular T-3</v>
          </cell>
          <cell r="AE6" t="str">
            <v>Romana T-3</v>
          </cell>
          <cell r="AG6" t="str">
            <v>Siembra T-3</v>
          </cell>
          <cell r="AI6" t="str">
            <v>Fondos Complementarios</v>
          </cell>
          <cell r="AL6" t="str">
            <v>TOTAL CCI + BRRD + FSS</v>
          </cell>
          <cell r="AO6" t="str">
            <v>TOTAL GENERAL</v>
          </cell>
        </row>
        <row r="7">
          <cell r="B7" t="str">
            <v>RD$</v>
          </cell>
          <cell r="C7" t="str">
            <v>%</v>
          </cell>
          <cell r="D7" t="str">
            <v>RD$</v>
          </cell>
          <cell r="E7" t="str">
            <v>%</v>
          </cell>
          <cell r="F7" t="str">
            <v>RD$</v>
          </cell>
          <cell r="G7" t="str">
            <v>%</v>
          </cell>
          <cell r="H7" t="str">
            <v>RD$</v>
          </cell>
          <cell r="I7" t="str">
            <v>%</v>
          </cell>
          <cell r="J7" t="str">
            <v>RD$</v>
          </cell>
          <cell r="K7" t="str">
            <v>%</v>
          </cell>
          <cell r="L7" t="str">
            <v>RD$</v>
          </cell>
          <cell r="M7" t="str">
            <v>%</v>
          </cell>
          <cell r="N7" t="str">
            <v>RD$</v>
          </cell>
          <cell r="O7" t="str">
            <v>%</v>
          </cell>
          <cell r="Q7" t="str">
            <v>RD$</v>
          </cell>
          <cell r="R7" t="str">
            <v>%</v>
          </cell>
          <cell r="T7" t="str">
            <v>RD$</v>
          </cell>
          <cell r="U7" t="str">
            <v>%</v>
          </cell>
          <cell r="V7" t="str">
            <v>RD$</v>
          </cell>
          <cell r="W7" t="str">
            <v>%</v>
          </cell>
          <cell r="AA7" t="str">
            <v>RD$</v>
          </cell>
          <cell r="AB7" t="str">
            <v>%</v>
          </cell>
          <cell r="AC7" t="str">
            <v>RD$</v>
          </cell>
          <cell r="AD7" t="str">
            <v>%</v>
          </cell>
          <cell r="AE7" t="str">
            <v>RD$</v>
          </cell>
          <cell r="AF7" t="str">
            <v>%</v>
          </cell>
          <cell r="AG7" t="str">
            <v>RD$</v>
          </cell>
          <cell r="AH7" t="str">
            <v>%</v>
          </cell>
          <cell r="AI7" t="str">
            <v>RD$</v>
          </cell>
          <cell r="AJ7" t="str">
            <v>%</v>
          </cell>
          <cell r="AL7" t="str">
            <v>RD$</v>
          </cell>
          <cell r="AM7" t="str">
            <v>%</v>
          </cell>
          <cell r="AO7" t="str">
            <v>RD$</v>
          </cell>
          <cell r="AP7" t="str">
            <v>%</v>
          </cell>
        </row>
        <row r="8">
          <cell r="A8" t="str">
            <v>Banco Central de la Republica Dominicana</v>
          </cell>
          <cell r="C8">
            <v>0</v>
          </cell>
          <cell r="E8">
            <v>0</v>
          </cell>
          <cell r="G8">
            <v>0</v>
          </cell>
          <cell r="I8">
            <v>0</v>
          </cell>
          <cell r="K8">
            <v>0</v>
          </cell>
          <cell r="M8">
            <v>0</v>
          </cell>
          <cell r="O8">
            <v>0</v>
          </cell>
          <cell r="Q8">
            <v>0</v>
          </cell>
          <cell r="R8">
            <v>0</v>
          </cell>
          <cell r="T8">
            <v>4826121601.3500004</v>
          </cell>
          <cell r="U8">
            <v>0.7206989332031517</v>
          </cell>
          <cell r="W8">
            <v>0</v>
          </cell>
          <cell r="X8" t="str">
            <v>RD$</v>
          </cell>
          <cell r="Y8" t="str">
            <v>%</v>
          </cell>
          <cell r="AB8">
            <v>0</v>
          </cell>
          <cell r="AD8">
            <v>0</v>
          </cell>
          <cell r="AF8">
            <v>0</v>
          </cell>
          <cell r="AH8">
            <v>0</v>
          </cell>
          <cell r="AJ8">
            <v>0</v>
          </cell>
          <cell r="AL8">
            <v>0</v>
          </cell>
          <cell r="AM8">
            <v>0</v>
          </cell>
          <cell r="AO8">
            <v>4826121601.3500004</v>
          </cell>
          <cell r="AP8">
            <v>0.20978448735781141</v>
          </cell>
        </row>
        <row r="9">
          <cell r="Y9">
            <v>0</v>
          </cell>
        </row>
        <row r="10">
          <cell r="A10" t="str">
            <v>Bancos Múltiples</v>
          </cell>
          <cell r="B10">
            <v>1349063641.55</v>
          </cell>
          <cell r="C10">
            <v>0.45378942057814325</v>
          </cell>
          <cell r="D10">
            <v>68217626.650000006</v>
          </cell>
          <cell r="E10">
            <v>0.26899289512651497</v>
          </cell>
          <cell r="F10">
            <v>124927816.73999999</v>
          </cell>
          <cell r="G10">
            <v>0.34726608836448641</v>
          </cell>
          <cell r="H10">
            <v>2586313391.0999999</v>
          </cell>
          <cell r="I10">
            <v>0.54317025409501396</v>
          </cell>
          <cell r="J10">
            <v>729768409.72000003</v>
          </cell>
          <cell r="K10">
            <v>0.399008177499867</v>
          </cell>
          <cell r="L10">
            <v>150307961.51000002</v>
          </cell>
          <cell r="M10">
            <v>0.69565853700323099</v>
          </cell>
          <cell r="N10">
            <v>1061396233.7900001</v>
          </cell>
          <cell r="O10">
            <v>0.43287825412781256</v>
          </cell>
          <cell r="Q10">
            <v>6069995081.0600004</v>
          </cell>
          <cell r="R10">
            <v>0.47256722210415697</v>
          </cell>
          <cell r="T10">
            <v>1184751820.3899999</v>
          </cell>
          <cell r="U10">
            <v>0.17692247390258872</v>
          </cell>
          <cell r="V10">
            <v>679798648.63999999</v>
          </cell>
          <cell r="W10">
            <v>0.40571293289109112</v>
          </cell>
          <cell r="AA10">
            <v>171479773.22</v>
          </cell>
          <cell r="AB10">
            <v>0.47904811569565098</v>
          </cell>
          <cell r="AC10">
            <v>92416010.239999995</v>
          </cell>
          <cell r="AD10">
            <v>1</v>
          </cell>
          <cell r="AE10">
            <v>138448735</v>
          </cell>
          <cell r="AF10">
            <v>0.78356879658187584</v>
          </cell>
          <cell r="AG10">
            <v>9876761.6699999999</v>
          </cell>
          <cell r="AH10">
            <v>0.11780992520662209</v>
          </cell>
          <cell r="AI10">
            <v>396083729.13</v>
          </cell>
          <cell r="AJ10">
            <v>0.57009805151022253</v>
          </cell>
          <cell r="AL10">
            <v>7156133388.3899994</v>
          </cell>
          <cell r="AM10">
            <v>0.45831724259709561</v>
          </cell>
          <cell r="AO10">
            <v>8736968937.9099998</v>
          </cell>
          <cell r="AP10">
            <v>0.37978333351315963</v>
          </cell>
        </row>
        <row r="11">
          <cell r="A11" t="str">
            <v>Banco BDI</v>
          </cell>
          <cell r="C11">
            <v>0</v>
          </cell>
          <cell r="E11">
            <v>0</v>
          </cell>
          <cell r="F11">
            <v>22993113.699999999</v>
          </cell>
          <cell r="G11">
            <v>6.391473782445678E-2</v>
          </cell>
          <cell r="I11">
            <v>0</v>
          </cell>
          <cell r="J11">
            <v>98959439.329999998</v>
          </cell>
          <cell r="K11">
            <v>5.4107063292342203E-2</v>
          </cell>
          <cell r="M11">
            <v>0</v>
          </cell>
          <cell r="N11">
            <v>24314122.710000001</v>
          </cell>
          <cell r="O11">
            <v>9.9162354776516082E-3</v>
          </cell>
          <cell r="Q11">
            <v>146266675.74000001</v>
          </cell>
          <cell r="R11">
            <v>1.1387296977642816E-2</v>
          </cell>
          <cell r="U11">
            <v>0</v>
          </cell>
          <cell r="V11">
            <v>166201650.94999999</v>
          </cell>
          <cell r="W11">
            <v>9.919136996398295E-2</v>
          </cell>
          <cell r="X11">
            <v>406339658.69</v>
          </cell>
          <cell r="Y11">
            <v>0.371547426089752</v>
          </cell>
          <cell r="AA11">
            <v>173553.86</v>
          </cell>
          <cell r="AB11">
            <v>4.8484231139051892E-4</v>
          </cell>
          <cell r="AD11">
            <v>0</v>
          </cell>
          <cell r="AF11">
            <v>0</v>
          </cell>
          <cell r="AG11">
            <v>242523.48</v>
          </cell>
          <cell r="AH11">
            <v>2.8928179087720873E-3</v>
          </cell>
          <cell r="AI11">
            <v>416077.33999999997</v>
          </cell>
          <cell r="AJ11">
            <v>5.9887559969347426E-4</v>
          </cell>
          <cell r="AL11">
            <v>328233591.52999997</v>
          </cell>
          <cell r="AM11">
            <v>2.1021843282272322E-2</v>
          </cell>
          <cell r="AO11">
            <v>328649668.86999995</v>
          </cell>
          <cell r="AP11">
            <v>1.4285923148915563E-2</v>
          </cell>
        </row>
        <row r="12">
          <cell r="A12" t="str">
            <v>Banco BHD</v>
          </cell>
          <cell r="B12">
            <v>88547317.359999999</v>
          </cell>
          <cell r="C12">
            <v>2.9784981672455899E-2</v>
          </cell>
          <cell r="E12">
            <v>0</v>
          </cell>
          <cell r="G12">
            <v>0</v>
          </cell>
          <cell r="H12">
            <v>310647216.66000003</v>
          </cell>
          <cell r="I12">
            <v>6.5241253510795794E-2</v>
          </cell>
          <cell r="K12">
            <v>0</v>
          </cell>
          <cell r="L12">
            <v>15406625.93</v>
          </cell>
          <cell r="M12">
            <v>7.1305277158634009E-2</v>
          </cell>
          <cell r="O12">
            <v>0</v>
          </cell>
          <cell r="Q12">
            <v>414601159.95000005</v>
          </cell>
          <cell r="R12">
            <v>3.2277936937721234E-2</v>
          </cell>
          <cell r="T12">
            <v>95651245.519999996</v>
          </cell>
          <cell r="U12">
            <v>1.4283881820659781E-2</v>
          </cell>
          <cell r="W12">
            <v>0</v>
          </cell>
          <cell r="X12">
            <v>15765264.84</v>
          </cell>
          <cell r="Y12">
            <v>1.4415387343212875E-2</v>
          </cell>
          <cell r="AA12">
            <v>24795623.800000001</v>
          </cell>
          <cell r="AB12">
            <v>6.9269375832734362E-2</v>
          </cell>
          <cell r="AD12">
            <v>0</v>
          </cell>
          <cell r="AF12">
            <v>0</v>
          </cell>
          <cell r="AH12">
            <v>0</v>
          </cell>
          <cell r="AI12">
            <v>24795623.800000001</v>
          </cell>
          <cell r="AJ12">
            <v>3.5689264099310919E-2</v>
          </cell>
          <cell r="AL12">
            <v>414601159.95000005</v>
          </cell>
          <cell r="AM12">
            <v>2.6553286543557878E-2</v>
          </cell>
          <cell r="AO12">
            <v>535048029.27000004</v>
          </cell>
          <cell r="AP12">
            <v>2.325775970933187E-2</v>
          </cell>
        </row>
        <row r="13">
          <cell r="A13" t="str">
            <v>Banco Caribe Internacional</v>
          </cell>
          <cell r="B13">
            <v>27591707.43</v>
          </cell>
          <cell r="C13">
            <v>9.2811225073382072E-3</v>
          </cell>
          <cell r="E13">
            <v>0</v>
          </cell>
          <cell r="G13">
            <v>0</v>
          </cell>
          <cell r="I13">
            <v>0</v>
          </cell>
          <cell r="K13">
            <v>0</v>
          </cell>
          <cell r="M13">
            <v>0</v>
          </cell>
          <cell r="N13">
            <v>35508834.759999998</v>
          </cell>
          <cell r="O13">
            <v>1.4481870113798589E-2</v>
          </cell>
          <cell r="Q13">
            <v>63100542.189999998</v>
          </cell>
          <cell r="R13">
            <v>4.9125654201991774E-3</v>
          </cell>
          <cell r="U13">
            <v>0</v>
          </cell>
          <cell r="W13">
            <v>0</v>
          </cell>
          <cell r="Y13">
            <v>0</v>
          </cell>
          <cell r="AB13">
            <v>0</v>
          </cell>
          <cell r="AD13">
            <v>0</v>
          </cell>
          <cell r="AF13">
            <v>0</v>
          </cell>
          <cell r="AH13">
            <v>0</v>
          </cell>
          <cell r="AI13">
            <v>0</v>
          </cell>
          <cell r="AJ13">
            <v>0</v>
          </cell>
          <cell r="AL13">
            <v>63100542.189999998</v>
          </cell>
          <cell r="AM13">
            <v>4.0412978536456525E-3</v>
          </cell>
          <cell r="AO13">
            <v>63100542.189999998</v>
          </cell>
          <cell r="AP13">
            <v>2.7428888015640137E-3</v>
          </cell>
        </row>
        <row r="14">
          <cell r="A14" t="str">
            <v>Banco de Reservas</v>
          </cell>
          <cell r="B14">
            <v>526002453.79000002</v>
          </cell>
          <cell r="C14">
            <v>0.17693334945547787</v>
          </cell>
          <cell r="E14">
            <v>0</v>
          </cell>
          <cell r="F14">
            <v>35739799.43</v>
          </cell>
          <cell r="G14">
            <v>9.9347132374991043E-2</v>
          </cell>
          <cell r="H14">
            <v>949865283.0999999</v>
          </cell>
          <cell r="I14">
            <v>0.19948803147866875</v>
          </cell>
          <cell r="J14">
            <v>53377278.579999998</v>
          </cell>
          <cell r="K14">
            <v>2.9184560968157233E-2</v>
          </cell>
          <cell r="L14">
            <v>35137773.100000001</v>
          </cell>
          <cell r="M14">
            <v>0.16262539643764135</v>
          </cell>
          <cell r="N14">
            <v>220416452.03999999</v>
          </cell>
          <cell r="O14">
            <v>8.9894316469752739E-2</v>
          </cell>
          <cell r="Q14">
            <v>1820539040.0399997</v>
          </cell>
          <cell r="R14">
            <v>0.14173439440969576</v>
          </cell>
          <cell r="T14">
            <v>651636421.36000001</v>
          </cell>
          <cell r="U14">
            <v>9.731078337916349E-2</v>
          </cell>
          <cell r="V14">
            <v>63893223.670000002</v>
          </cell>
          <cell r="W14">
            <v>3.8132331123167364E-2</v>
          </cell>
          <cell r="Y14">
            <v>0</v>
          </cell>
          <cell r="AA14">
            <v>44137065.109999999</v>
          </cell>
          <cell r="AB14">
            <v>0.12330187681176454</v>
          </cell>
          <cell r="AD14">
            <v>0</v>
          </cell>
          <cell r="AE14">
            <v>37090455</v>
          </cell>
          <cell r="AF14">
            <v>0.2099183007271552</v>
          </cell>
          <cell r="AG14">
            <v>4168114.35</v>
          </cell>
          <cell r="AH14">
            <v>4.9717230832618461E-2</v>
          </cell>
          <cell r="AI14">
            <v>85395634.459999993</v>
          </cell>
          <cell r="AJ14">
            <v>0.12291311465901318</v>
          </cell>
          <cell r="AL14">
            <v>1909646113.5299997</v>
          </cell>
          <cell r="AM14">
            <v>0.12230400044097546</v>
          </cell>
          <cell r="AO14">
            <v>2646678169.3499999</v>
          </cell>
          <cell r="AP14">
            <v>0.11504725094429587</v>
          </cell>
        </row>
        <row r="15">
          <cell r="A15" t="str">
            <v>Banco Dominicano del Progreso</v>
          </cell>
          <cell r="B15">
            <v>112835111.51000001</v>
          </cell>
          <cell r="C15">
            <v>3.7954754909978308E-2</v>
          </cell>
          <cell r="D15">
            <v>50475886.539999999</v>
          </cell>
          <cell r="E15">
            <v>0.19903440681298004</v>
          </cell>
          <cell r="F15">
            <v>9177341.5399999991</v>
          </cell>
          <cell r="G15">
            <v>2.5510567472842811E-2</v>
          </cell>
          <cell r="H15">
            <v>461886666.67000002</v>
          </cell>
          <cell r="I15">
            <v>9.7004136838783631E-2</v>
          </cell>
          <cell r="J15">
            <v>297949911.81</v>
          </cell>
          <cell r="K15">
            <v>0.16290709451669494</v>
          </cell>
          <cell r="L15">
            <v>40727323.68</v>
          </cell>
          <cell r="M15">
            <v>0.18849507453004008</v>
          </cell>
          <cell r="N15">
            <v>222013575.11000001</v>
          </cell>
          <cell r="O15">
            <v>9.0545684756316344E-2</v>
          </cell>
          <cell r="Q15">
            <v>1195065816.8599999</v>
          </cell>
          <cell r="R15">
            <v>9.3039438379008299E-2</v>
          </cell>
          <cell r="U15">
            <v>0</v>
          </cell>
          <cell r="V15">
            <v>296672223.81</v>
          </cell>
          <cell r="W15">
            <v>0.17705795424877074</v>
          </cell>
          <cell r="X15">
            <v>25213849.82</v>
          </cell>
          <cell r="Y15">
            <v>2.3054951201752105E-2</v>
          </cell>
          <cell r="AB15">
            <v>0</v>
          </cell>
          <cell r="AD15">
            <v>0</v>
          </cell>
          <cell r="AE15">
            <v>12261785</v>
          </cell>
          <cell r="AF15">
            <v>6.9397182403982932E-2</v>
          </cell>
          <cell r="AG15">
            <v>414938.34</v>
          </cell>
          <cell r="AH15">
            <v>4.9493808227894526E-3</v>
          </cell>
          <cell r="AI15">
            <v>12676723.34</v>
          </cell>
          <cell r="AJ15">
            <v>1.8246079664878557E-2</v>
          </cell>
          <cell r="AL15">
            <v>1673904116.9699998</v>
          </cell>
          <cell r="AM15">
            <v>0.10720581599363088</v>
          </cell>
          <cell r="AO15">
            <v>1686580840.3099997</v>
          </cell>
          <cell r="AP15">
            <v>7.3313216325292599E-2</v>
          </cell>
        </row>
        <row r="16">
          <cell r="A16" t="str">
            <v>Banco León</v>
          </cell>
          <cell r="B16">
            <v>317670638.44999999</v>
          </cell>
          <cell r="C16">
            <v>0.10685602259007401</v>
          </cell>
          <cell r="D16">
            <v>17741740.109999999</v>
          </cell>
          <cell r="E16">
            <v>6.9958488313534933E-2</v>
          </cell>
          <cell r="F16">
            <v>17931734.280000001</v>
          </cell>
          <cell r="G16">
            <v>4.98454498245718E-2</v>
          </cell>
          <cell r="H16">
            <v>306332202.77999997</v>
          </cell>
          <cell r="I16">
            <v>6.4335026448874941E-2</v>
          </cell>
          <cell r="K16">
            <v>0</v>
          </cell>
          <cell r="L16">
            <v>11843328.359999999</v>
          </cell>
          <cell r="M16">
            <v>5.4813546783537073E-2</v>
          </cell>
          <cell r="O16">
            <v>0</v>
          </cell>
          <cell r="Q16">
            <v>671519643.98000002</v>
          </cell>
          <cell r="R16">
            <v>5.2279807233152564E-2</v>
          </cell>
          <cell r="T16">
            <v>107809878</v>
          </cell>
          <cell r="U16">
            <v>1.609956616957756E-2</v>
          </cell>
          <cell r="W16">
            <v>0</v>
          </cell>
          <cell r="X16">
            <v>182166076.30000001</v>
          </cell>
          <cell r="Y16">
            <v>0.16656837530537616</v>
          </cell>
          <cell r="AA16">
            <v>17109058.23</v>
          </cell>
          <cell r="AB16">
            <v>4.779608669002338E-2</v>
          </cell>
          <cell r="AD16">
            <v>0</v>
          </cell>
          <cell r="AF16">
            <v>0</v>
          </cell>
          <cell r="AG16">
            <v>185486.82</v>
          </cell>
          <cell r="AH16">
            <v>2.2124851364378599E-3</v>
          </cell>
          <cell r="AI16">
            <v>17294545.050000001</v>
          </cell>
          <cell r="AJ16">
            <v>2.4892682303353883E-2</v>
          </cell>
          <cell r="AL16">
            <v>671519643.98000002</v>
          </cell>
          <cell r="AM16">
            <v>4.3007727060819838E-2</v>
          </cell>
          <cell r="AO16">
            <v>796624067.02999997</v>
          </cell>
          <cell r="AP16">
            <v>3.4628089659414177E-2</v>
          </cell>
        </row>
        <row r="17">
          <cell r="A17" t="str">
            <v>Banco Popular</v>
          </cell>
          <cell r="B17">
            <v>39268526.75</v>
          </cell>
          <cell r="C17">
            <v>1.3208896490877205E-2</v>
          </cell>
          <cell r="E17">
            <v>0</v>
          </cell>
          <cell r="F17">
            <v>10351067.300000001</v>
          </cell>
          <cell r="G17">
            <v>2.8773212767734362E-2</v>
          </cell>
          <cell r="H17">
            <v>6775004.3300000001</v>
          </cell>
          <cell r="I17">
            <v>1.4228673277122714E-3</v>
          </cell>
          <cell r="J17">
            <v>49604356.619999997</v>
          </cell>
          <cell r="K17">
            <v>2.7121678147994554E-2</v>
          </cell>
          <cell r="L17">
            <v>36677209.200000003</v>
          </cell>
          <cell r="M17">
            <v>0.1697502476722495</v>
          </cell>
          <cell r="N17">
            <v>72351006.769999996</v>
          </cell>
          <cell r="O17">
            <v>2.9507526499461579E-2</v>
          </cell>
          <cell r="Q17">
            <v>215027170.96999997</v>
          </cell>
          <cell r="R17">
            <v>1.6740506624012549E-2</v>
          </cell>
          <cell r="T17">
            <v>182080479.34999999</v>
          </cell>
          <cell r="U17">
            <v>2.7190613512091399E-2</v>
          </cell>
          <cell r="V17">
            <v>6224489.5999999996</v>
          </cell>
          <cell r="W17">
            <v>3.7148587106171837E-3</v>
          </cell>
          <cell r="Y17">
            <v>0</v>
          </cell>
          <cell r="AB17">
            <v>0</v>
          </cell>
          <cell r="AC17">
            <v>92416010.239999995</v>
          </cell>
          <cell r="AD17">
            <v>1</v>
          </cell>
          <cell r="AF17">
            <v>0</v>
          </cell>
          <cell r="AH17">
            <v>0</v>
          </cell>
          <cell r="AI17">
            <v>92416010.239999995</v>
          </cell>
          <cell r="AJ17">
            <v>0.1330178027809884</v>
          </cell>
          <cell r="AL17">
            <v>222791432.07999995</v>
          </cell>
          <cell r="AM17">
            <v>1.4268760695660593E-2</v>
          </cell>
          <cell r="AO17">
            <v>497287921.66999996</v>
          </cell>
          <cell r="AP17">
            <v>2.1616382746673914E-2</v>
          </cell>
        </row>
        <row r="18">
          <cell r="A18" t="str">
            <v>Banco Santa Cruz</v>
          </cell>
          <cell r="B18">
            <v>71375007.049999997</v>
          </cell>
          <cell r="C18">
            <v>2.4008669491505194E-2</v>
          </cell>
          <cell r="E18">
            <v>0</v>
          </cell>
          <cell r="F18">
            <v>10051530.039999999</v>
          </cell>
          <cell r="G18">
            <v>2.7940578889115466E-2</v>
          </cell>
          <cell r="H18">
            <v>74494820.760000005</v>
          </cell>
          <cell r="I18">
            <v>1.5645192442731007E-2</v>
          </cell>
          <cell r="J18">
            <v>84432034.739999995</v>
          </cell>
          <cell r="K18">
            <v>4.6164059522854371E-2</v>
          </cell>
          <cell r="M18">
            <v>0</v>
          </cell>
          <cell r="N18">
            <v>236181626.75</v>
          </cell>
          <cell r="O18">
            <v>9.6323961768301034E-2</v>
          </cell>
          <cell r="Q18">
            <v>476535019.34000003</v>
          </cell>
          <cell r="R18">
            <v>3.7099672622062305E-2</v>
          </cell>
          <cell r="U18">
            <v>0</v>
          </cell>
          <cell r="V18">
            <v>19868311.469999999</v>
          </cell>
          <cell r="W18">
            <v>1.185767423076501E-2</v>
          </cell>
          <cell r="X18">
            <v>1539771.51</v>
          </cell>
          <cell r="Y18">
            <v>1.4079308506366821E-3</v>
          </cell>
          <cell r="AA18">
            <v>26543974.949999999</v>
          </cell>
          <cell r="AB18">
            <v>7.4153592252284295E-2</v>
          </cell>
          <cell r="AD18">
            <v>0</v>
          </cell>
          <cell r="AF18">
            <v>0</v>
          </cell>
          <cell r="AH18">
            <v>0</v>
          </cell>
          <cell r="AI18">
            <v>26543974.949999999</v>
          </cell>
          <cell r="AJ18">
            <v>3.820573097402951E-2</v>
          </cell>
          <cell r="AL18">
            <v>549547903.01000011</v>
          </cell>
          <cell r="AM18">
            <v>3.5196001235972628E-2</v>
          </cell>
          <cell r="AO18">
            <v>576091877.96000016</v>
          </cell>
          <cell r="AP18">
            <v>2.5041876121610976E-2</v>
          </cell>
        </row>
        <row r="19">
          <cell r="A19" t="str">
            <v>Banco Vimenca</v>
          </cell>
          <cell r="C19">
            <v>0</v>
          </cell>
          <cell r="E19">
            <v>0</v>
          </cell>
          <cell r="G19">
            <v>0</v>
          </cell>
          <cell r="I19">
            <v>0</v>
          </cell>
          <cell r="K19">
            <v>0</v>
          </cell>
          <cell r="M19">
            <v>0</v>
          </cell>
          <cell r="N19">
            <v>14725029.130000001</v>
          </cell>
          <cell r="O19">
            <v>6.0054338793110165E-3</v>
          </cell>
          <cell r="Q19">
            <v>14725029.130000001</v>
          </cell>
          <cell r="R19">
            <v>1.1463874382830177E-3</v>
          </cell>
          <cell r="U19">
            <v>0</v>
          </cell>
          <cell r="W19">
            <v>0</v>
          </cell>
          <cell r="X19">
            <v>53144572.200000003</v>
          </cell>
          <cell r="Y19">
            <v>4.8594146766794362E-2</v>
          </cell>
          <cell r="AB19">
            <v>0</v>
          </cell>
          <cell r="AD19">
            <v>0</v>
          </cell>
          <cell r="AF19">
            <v>0</v>
          </cell>
          <cell r="AH19">
            <v>0</v>
          </cell>
          <cell r="AI19">
            <v>0</v>
          </cell>
          <cell r="AJ19">
            <v>0</v>
          </cell>
          <cell r="AL19">
            <v>14725029.130000001</v>
          </cell>
          <cell r="AM19">
            <v>9.4307000467215346E-4</v>
          </cell>
          <cell r="AO19">
            <v>14725029.130000001</v>
          </cell>
          <cell r="AP19">
            <v>6.4007560159731324E-4</v>
          </cell>
        </row>
        <row r="20">
          <cell r="A20" t="str">
            <v>Citibank N A</v>
          </cell>
          <cell r="C20">
            <v>0</v>
          </cell>
          <cell r="E20">
            <v>0</v>
          </cell>
          <cell r="G20">
            <v>0</v>
          </cell>
          <cell r="I20">
            <v>0</v>
          </cell>
          <cell r="K20">
            <v>0</v>
          </cell>
          <cell r="M20">
            <v>0</v>
          </cell>
          <cell r="O20">
            <v>0</v>
          </cell>
          <cell r="R20">
            <v>0</v>
          </cell>
          <cell r="U20">
            <v>0</v>
          </cell>
          <cell r="W20">
            <v>0</v>
          </cell>
          <cell r="Y20">
            <v>0</v>
          </cell>
          <cell r="AB20">
            <v>0</v>
          </cell>
          <cell r="AD20">
            <v>0</v>
          </cell>
          <cell r="AE20">
            <v>16137551</v>
          </cell>
          <cell r="AF20">
            <v>9.1332589039897299E-2</v>
          </cell>
          <cell r="AH20">
            <v>0</v>
          </cell>
          <cell r="AJ20">
            <v>0</v>
          </cell>
          <cell r="AL20">
            <v>0</v>
          </cell>
          <cell r="AM20">
            <v>0</v>
          </cell>
          <cell r="AO20">
            <v>0</v>
          </cell>
          <cell r="AP20">
            <v>0</v>
          </cell>
        </row>
        <row r="21">
          <cell r="A21" t="str">
            <v>Republic Bank</v>
          </cell>
          <cell r="B21">
            <v>165772879.21000001</v>
          </cell>
          <cell r="C21">
            <v>5.5761623460436539E-2</v>
          </cell>
          <cell r="E21">
            <v>0</v>
          </cell>
          <cell r="F21">
            <v>18683230.449999999</v>
          </cell>
          <cell r="G21">
            <v>5.193440921077417E-2</v>
          </cell>
          <cell r="H21">
            <v>90709393.390000001</v>
          </cell>
          <cell r="I21">
            <v>1.9050531318439833E-2</v>
          </cell>
          <cell r="J21">
            <v>122566784.17</v>
          </cell>
          <cell r="K21">
            <v>6.7014615215332959E-2</v>
          </cell>
          <cell r="M21">
            <v>0</v>
          </cell>
          <cell r="N21">
            <v>210065125.44</v>
          </cell>
          <cell r="O21">
            <v>8.5672646895408516E-2</v>
          </cell>
          <cell r="Q21">
            <v>607797412.66000009</v>
          </cell>
          <cell r="R21">
            <v>4.7318841459863627E-2</v>
          </cell>
          <cell r="T21">
            <v>108940940.31</v>
          </cell>
          <cell r="U21">
            <v>1.6268471030983302E-2</v>
          </cell>
          <cell r="V21">
            <v>126938749.14</v>
          </cell>
          <cell r="W21">
            <v>7.5758744613787871E-2</v>
          </cell>
          <cell r="Y21">
            <v>0</v>
          </cell>
          <cell r="AA21">
            <v>28051822.170000002</v>
          </cell>
          <cell r="AB21">
            <v>7.8365933777667651E-2</v>
          </cell>
          <cell r="AD21">
            <v>0</v>
          </cell>
          <cell r="AF21">
            <v>0</v>
          </cell>
          <cell r="AG21">
            <v>4031729.26</v>
          </cell>
          <cell r="AH21">
            <v>4.8090430694167977E-2</v>
          </cell>
          <cell r="AI21">
            <v>32083551.43</v>
          </cell>
          <cell r="AJ21">
            <v>4.6179049555877455E-2</v>
          </cell>
          <cell r="AL21">
            <v>852856731.82000005</v>
          </cell>
          <cell r="AM21">
            <v>5.4621528756334956E-2</v>
          </cell>
          <cell r="AO21">
            <v>993881223.56000006</v>
          </cell>
          <cell r="AP21">
            <v>4.3202571381700264E-2</v>
          </cell>
        </row>
        <row r="22">
          <cell r="A22" t="str">
            <v>The Bank of Nova Scotia</v>
          </cell>
          <cell r="C22">
            <v>0</v>
          </cell>
          <cell r="E22">
            <v>0</v>
          </cell>
          <cell r="G22">
            <v>0</v>
          </cell>
          <cell r="H22">
            <v>385602803.41000003</v>
          </cell>
          <cell r="I22">
            <v>8.0983214729007713E-2</v>
          </cell>
          <cell r="J22">
            <v>22878604.469999999</v>
          </cell>
          <cell r="K22">
            <v>1.2509105836490729E-2</v>
          </cell>
          <cell r="L22">
            <v>10515701.24</v>
          </cell>
          <cell r="M22">
            <v>4.8668994421129E-2</v>
          </cell>
          <cell r="N22">
            <v>25820461.079999998</v>
          </cell>
          <cell r="O22">
            <v>1.0530578267811109E-2</v>
          </cell>
          <cell r="Q22">
            <v>444817570.19999999</v>
          </cell>
          <cell r="R22">
            <v>3.4630374602515598E-2</v>
          </cell>
          <cell r="T22">
            <v>38632855.850000001</v>
          </cell>
          <cell r="U22">
            <v>5.7691579901131742E-3</v>
          </cell>
          <cell r="W22">
            <v>0</v>
          </cell>
          <cell r="X22">
            <v>118120570.02</v>
          </cell>
          <cell r="Y22">
            <v>0.10800667082478255</v>
          </cell>
          <cell r="AA22">
            <v>30668675.100000001</v>
          </cell>
          <cell r="AB22">
            <v>8.5676408019786224E-2</v>
          </cell>
          <cell r="AD22">
            <v>0</v>
          </cell>
          <cell r="AE22">
            <v>72958944</v>
          </cell>
          <cell r="AF22">
            <v>0.41292072441084032</v>
          </cell>
          <cell r="AG22">
            <v>833969.42</v>
          </cell>
          <cell r="AH22">
            <v>9.9475798118362421E-3</v>
          </cell>
          <cell r="AI22">
            <v>104461588.52</v>
          </cell>
          <cell r="AJ22">
            <v>0.15035545187307711</v>
          </cell>
          <cell r="AL22">
            <v>455207124.19999999</v>
          </cell>
          <cell r="AM22">
            <v>2.9153910729553274E-2</v>
          </cell>
          <cell r="AO22">
            <v>598301568.56999993</v>
          </cell>
          <cell r="AP22">
            <v>2.6007299072763113E-2</v>
          </cell>
        </row>
        <row r="23">
          <cell r="X23">
            <v>10389554</v>
          </cell>
          <cell r="Y23">
            <v>9.4999637971972511E-3</v>
          </cell>
        </row>
        <row r="24">
          <cell r="A24" t="str">
            <v>Asociaciones de Ahorros y Préstamos</v>
          </cell>
          <cell r="B24">
            <v>900674342.55999994</v>
          </cell>
          <cell r="C24">
            <v>0.30296308895428364</v>
          </cell>
          <cell r="D24">
            <v>162287991.72</v>
          </cell>
          <cell r="E24">
            <v>0.6399272282075309</v>
          </cell>
          <cell r="F24">
            <v>203305182.5</v>
          </cell>
          <cell r="G24">
            <v>0.56513430966249867</v>
          </cell>
          <cell r="H24">
            <v>1474207712.3000002</v>
          </cell>
          <cell r="I24">
            <v>0.30960895165850355</v>
          </cell>
          <cell r="J24">
            <v>684175996.34000003</v>
          </cell>
          <cell r="K24">
            <v>0.37408006944767791</v>
          </cell>
          <cell r="L24">
            <v>31639794.689999998</v>
          </cell>
          <cell r="M24">
            <v>0.14643597760231505</v>
          </cell>
          <cell r="N24">
            <v>1166598783.3099999</v>
          </cell>
          <cell r="O24">
            <v>0.47578390473804694</v>
          </cell>
          <cell r="Q24">
            <v>4622889803.4199991</v>
          </cell>
          <cell r="R24">
            <v>0.35990575994244811</v>
          </cell>
          <cell r="T24">
            <v>685572734.90999997</v>
          </cell>
          <cell r="U24">
            <v>0.10237859289425966</v>
          </cell>
          <cell r="V24">
            <v>736197200.15999997</v>
          </cell>
          <cell r="W24">
            <v>0.43937234335588882</v>
          </cell>
          <cell r="AA24">
            <v>144486240.28</v>
          </cell>
          <cell r="AB24">
            <v>0.40363863241924491</v>
          </cell>
          <cell r="AC24">
            <v>0</v>
          </cell>
          <cell r="AD24">
            <v>0</v>
          </cell>
          <cell r="AE24">
            <v>34256592.219999999</v>
          </cell>
          <cell r="AF24">
            <v>0.19387968218576679</v>
          </cell>
          <cell r="AG24">
            <v>38759922.740000002</v>
          </cell>
          <cell r="AH24">
            <v>0.46232801312637628</v>
          </cell>
          <cell r="AI24">
            <v>217502755.23999998</v>
          </cell>
          <cell r="AJ24">
            <v>0.31305980993662846</v>
          </cell>
          <cell r="AL24">
            <v>5815946299.3499994</v>
          </cell>
          <cell r="AM24">
            <v>0.3724844586233424</v>
          </cell>
          <cell r="AO24">
            <v>6719021789.5</v>
          </cell>
          <cell r="AP24">
            <v>0.29206610568244545</v>
          </cell>
        </row>
        <row r="25">
          <cell r="A25" t="str">
            <v>Asociación Central de Ahorros y Préstamos</v>
          </cell>
          <cell r="B25">
            <v>66070912.090000004</v>
          </cell>
          <cell r="C25">
            <v>2.2224511869538301E-2</v>
          </cell>
          <cell r="E25">
            <v>0</v>
          </cell>
          <cell r="F25">
            <v>28899620.02</v>
          </cell>
          <cell r="G25">
            <v>8.0333253725645801E-2</v>
          </cell>
          <cell r="I25">
            <v>0</v>
          </cell>
          <cell r="J25">
            <v>124638528.48999999</v>
          </cell>
          <cell r="K25">
            <v>6.8147362144850052E-2</v>
          </cell>
          <cell r="M25">
            <v>0</v>
          </cell>
          <cell r="N25">
            <v>29177591.760000002</v>
          </cell>
          <cell r="O25">
            <v>1.1899745428361672E-2</v>
          </cell>
          <cell r="Q25">
            <v>248786652.35999998</v>
          </cell>
          <cell r="R25">
            <v>1.9368782945014658E-2</v>
          </cell>
          <cell r="U25">
            <v>0</v>
          </cell>
          <cell r="V25">
            <v>166607120.80000001</v>
          </cell>
          <cell r="W25">
            <v>9.9433359797842624E-2</v>
          </cell>
          <cell r="X25">
            <v>456859295.76999998</v>
          </cell>
          <cell r="Y25">
            <v>0.41774139392586351</v>
          </cell>
          <cell r="AA25">
            <v>10733818.23</v>
          </cell>
          <cell r="AB25">
            <v>2.9986133645652648E-2</v>
          </cell>
          <cell r="AD25">
            <v>0</v>
          </cell>
          <cell r="AF25">
            <v>0</v>
          </cell>
          <cell r="AH25">
            <v>0</v>
          </cell>
          <cell r="AI25">
            <v>10733818.23</v>
          </cell>
          <cell r="AJ25">
            <v>1.54495840352469E-2</v>
          </cell>
          <cell r="AL25">
            <v>556322958.56999993</v>
          </cell>
          <cell r="AM25">
            <v>3.5629912206349305E-2</v>
          </cell>
          <cell r="AO25">
            <v>567056776.79999995</v>
          </cell>
          <cell r="AP25">
            <v>2.464913341397874E-2</v>
          </cell>
        </row>
        <row r="26">
          <cell r="A26" t="str">
            <v>Asociación Cibao de Ahorros y Préstamos</v>
          </cell>
          <cell r="C26">
            <v>0</v>
          </cell>
          <cell r="E26">
            <v>0</v>
          </cell>
          <cell r="F26">
            <v>35101310.329999998</v>
          </cell>
          <cell r="G26">
            <v>9.7572302573219846E-2</v>
          </cell>
          <cell r="I26">
            <v>0</v>
          </cell>
          <cell r="K26">
            <v>0</v>
          </cell>
          <cell r="M26">
            <v>0</v>
          </cell>
          <cell r="N26">
            <v>183638351.47</v>
          </cell>
          <cell r="O26">
            <v>7.4894790884448462E-2</v>
          </cell>
          <cell r="Q26">
            <v>218739661.80000001</v>
          </cell>
          <cell r="R26">
            <v>1.702953510841684E-2</v>
          </cell>
          <cell r="U26">
            <v>0</v>
          </cell>
          <cell r="W26">
            <v>0</v>
          </cell>
          <cell r="X26">
            <v>140929185.41</v>
          </cell>
          <cell r="Y26">
            <v>0.128862332239045</v>
          </cell>
          <cell r="AB26">
            <v>0</v>
          </cell>
          <cell r="AD26">
            <v>0</v>
          </cell>
          <cell r="AF26">
            <v>0</v>
          </cell>
          <cell r="AG26">
            <v>4112919.05</v>
          </cell>
          <cell r="AH26">
            <v>4.9058861785959355E-2</v>
          </cell>
          <cell r="AI26">
            <v>4112919.05</v>
          </cell>
          <cell r="AJ26">
            <v>5.9198774500900829E-3</v>
          </cell>
          <cell r="AL26">
            <v>218739661.80000001</v>
          </cell>
          <cell r="AM26">
            <v>1.4009263550822685E-2</v>
          </cell>
          <cell r="AO26">
            <v>222852580.85000002</v>
          </cell>
          <cell r="AP26">
            <v>9.6870775939223996E-3</v>
          </cell>
        </row>
        <row r="27">
          <cell r="A27" t="str">
            <v>Asociación Dominicana de Ahorros y Préstamos</v>
          </cell>
          <cell r="B27">
            <v>272607687.82999998</v>
          </cell>
          <cell r="C27">
            <v>9.1698034766833594E-2</v>
          </cell>
          <cell r="D27">
            <v>32022115.510000002</v>
          </cell>
          <cell r="E27">
            <v>0.12626826792589066</v>
          </cell>
          <cell r="F27">
            <v>55542439.439999998</v>
          </cell>
          <cell r="G27">
            <v>0.15439320229771092</v>
          </cell>
          <cell r="H27">
            <v>471926715.06999999</v>
          </cell>
          <cell r="I27">
            <v>9.9112719526141091E-2</v>
          </cell>
          <cell r="J27">
            <v>190667837.84999999</v>
          </cell>
          <cell r="K27">
            <v>0.10424954749351034</v>
          </cell>
          <cell r="M27">
            <v>0</v>
          </cell>
          <cell r="N27">
            <v>132435618.09999999</v>
          </cell>
          <cell r="O27">
            <v>5.4012344610230002E-2</v>
          </cell>
          <cell r="Q27">
            <v>1155202413.8</v>
          </cell>
          <cell r="R27">
            <v>8.9935953549759834E-2</v>
          </cell>
          <cell r="T27">
            <v>200401530.33000001</v>
          </cell>
          <cell r="U27">
            <v>2.9926549940372249E-2</v>
          </cell>
          <cell r="V27">
            <v>211785714.43000001</v>
          </cell>
          <cell r="W27">
            <v>0.12639654921016641</v>
          </cell>
          <cell r="Y27">
            <v>0</v>
          </cell>
          <cell r="AA27">
            <v>66000001.780000001</v>
          </cell>
          <cell r="AB27">
            <v>0.18437845989016646</v>
          </cell>
          <cell r="AD27">
            <v>0</v>
          </cell>
          <cell r="AF27">
            <v>0</v>
          </cell>
          <cell r="AH27">
            <v>0</v>
          </cell>
          <cell r="AI27">
            <v>66000001.780000001</v>
          </cell>
          <cell r="AJ27">
            <v>9.4996258738262146E-2</v>
          </cell>
          <cell r="AL27">
            <v>1535908761.8800001</v>
          </cell>
          <cell r="AM27">
            <v>9.8367851802149409E-2</v>
          </cell>
          <cell r="AO27">
            <v>1802310293.9900002</v>
          </cell>
          <cell r="AP27">
            <v>7.8343807370836752E-2</v>
          </cell>
        </row>
        <row r="28">
          <cell r="A28" t="str">
            <v>Asociación Duarte de Ahorros y Préstamos</v>
          </cell>
          <cell r="C28">
            <v>0</v>
          </cell>
          <cell r="E28">
            <v>0</v>
          </cell>
          <cell r="G28">
            <v>0</v>
          </cell>
          <cell r="I28">
            <v>0</v>
          </cell>
          <cell r="K28">
            <v>0</v>
          </cell>
          <cell r="M28">
            <v>0</v>
          </cell>
          <cell r="N28">
            <v>125893850.69</v>
          </cell>
          <cell r="O28">
            <v>5.1344359963968952E-2</v>
          </cell>
          <cell r="Q28">
            <v>125893850.69</v>
          </cell>
          <cell r="R28">
            <v>9.8012117812424186E-3</v>
          </cell>
          <cell r="U28">
            <v>0</v>
          </cell>
          <cell r="W28">
            <v>0</v>
          </cell>
          <cell r="X28">
            <v>168920633.65000001</v>
          </cell>
          <cell r="Y28">
            <v>0.15445705410209329</v>
          </cell>
          <cell r="AB28">
            <v>0</v>
          </cell>
          <cell r="AD28">
            <v>0</v>
          </cell>
          <cell r="AF28">
            <v>0</v>
          </cell>
          <cell r="AH28">
            <v>0</v>
          </cell>
          <cell r="AI28">
            <v>0</v>
          </cell>
          <cell r="AJ28">
            <v>0</v>
          </cell>
          <cell r="AL28">
            <v>125893850.69</v>
          </cell>
          <cell r="AM28">
            <v>8.0629188105662969E-3</v>
          </cell>
          <cell r="AO28">
            <v>125893850.69</v>
          </cell>
          <cell r="AP28">
            <v>5.4724226014352248E-3</v>
          </cell>
        </row>
        <row r="29">
          <cell r="A29" t="str">
            <v>Asociación La Nacional de Ahorros y Préstamos</v>
          </cell>
          <cell r="B29">
            <v>171243830.03</v>
          </cell>
          <cell r="C29">
            <v>5.7601906992032478E-2</v>
          </cell>
          <cell r="D29">
            <v>45345250.289999999</v>
          </cell>
          <cell r="E29">
            <v>0.17880349632104275</v>
          </cell>
          <cell r="F29">
            <v>20259688.050000001</v>
          </cell>
          <cell r="G29">
            <v>5.6316541857531467E-2</v>
          </cell>
          <cell r="H29">
            <v>264224275.03999999</v>
          </cell>
          <cell r="I29">
            <v>5.5491638061119439E-2</v>
          </cell>
          <cell r="J29">
            <v>316052329.61000001</v>
          </cell>
          <cell r="K29">
            <v>0.17280477251770693</v>
          </cell>
          <cell r="M29">
            <v>0</v>
          </cell>
          <cell r="N29">
            <v>361224890.32999998</v>
          </cell>
          <cell r="O29">
            <v>0.147321419556213</v>
          </cell>
          <cell r="Q29">
            <v>1178350263.3499999</v>
          </cell>
          <cell r="R29">
            <v>9.1738082680582492E-2</v>
          </cell>
          <cell r="T29">
            <v>305733611.81999999</v>
          </cell>
          <cell r="U29">
            <v>4.5656099469475603E-2</v>
          </cell>
          <cell r="V29">
            <v>200777764.53</v>
          </cell>
          <cell r="W29">
            <v>0.11982685736393815</v>
          </cell>
          <cell r="Y29">
            <v>0</v>
          </cell>
          <cell r="AB29">
            <v>0</v>
          </cell>
          <cell r="AD29">
            <v>0</v>
          </cell>
          <cell r="AF29">
            <v>0</v>
          </cell>
          <cell r="AG29">
            <v>17987866.219999999</v>
          </cell>
          <cell r="AH29">
            <v>0.21455910801631439</v>
          </cell>
          <cell r="AI29">
            <v>17987866.219999999</v>
          </cell>
          <cell r="AJ29">
            <v>2.5890605265137697E-2</v>
          </cell>
          <cell r="AL29">
            <v>1505704981.3899999</v>
          </cell>
          <cell r="AM29">
            <v>9.6433439370340435E-2</v>
          </cell>
          <cell r="AO29">
            <v>1829426459.4299998</v>
          </cell>
          <cell r="AP29">
            <v>7.9522507647337995E-2</v>
          </cell>
        </row>
        <row r="30">
          <cell r="A30" t="str">
            <v>Asociación La Previsora de Ahorros y Préstamos</v>
          </cell>
          <cell r="C30">
            <v>0</v>
          </cell>
          <cell r="E30">
            <v>0</v>
          </cell>
          <cell r="G30">
            <v>0</v>
          </cell>
          <cell r="H30">
            <v>49138074.950000003</v>
          </cell>
          <cell r="I30">
            <v>1.0319840104520171E-2</v>
          </cell>
          <cell r="K30">
            <v>0</v>
          </cell>
          <cell r="M30">
            <v>0</v>
          </cell>
          <cell r="O30">
            <v>0</v>
          </cell>
          <cell r="Q30">
            <v>49138074.950000003</v>
          </cell>
          <cell r="R30">
            <v>3.8255456995547163E-3</v>
          </cell>
          <cell r="U30">
            <v>0</v>
          </cell>
          <cell r="W30">
            <v>0</v>
          </cell>
          <cell r="X30">
            <v>126576953.51000001</v>
          </cell>
          <cell r="Y30">
            <v>0.11573898897917269</v>
          </cell>
          <cell r="AB30">
            <v>0</v>
          </cell>
          <cell r="AD30">
            <v>0</v>
          </cell>
          <cell r="AF30">
            <v>0</v>
          </cell>
          <cell r="AH30">
            <v>0</v>
          </cell>
          <cell r="AI30">
            <v>0</v>
          </cell>
          <cell r="AJ30">
            <v>0</v>
          </cell>
          <cell r="AL30">
            <v>49138074.950000003</v>
          </cell>
          <cell r="AM30">
            <v>3.1470664107730107E-3</v>
          </cell>
          <cell r="AO30">
            <v>49138074.950000003</v>
          </cell>
          <cell r="AP30">
            <v>2.1359606563274157E-3</v>
          </cell>
        </row>
        <row r="31">
          <cell r="A31" t="str">
            <v>Asociación La Vega Real de Ahorros y Préstamos</v>
          </cell>
          <cell r="C31">
            <v>0</v>
          </cell>
          <cell r="E31">
            <v>0</v>
          </cell>
          <cell r="G31">
            <v>0</v>
          </cell>
          <cell r="H31">
            <v>63053282.990000002</v>
          </cell>
          <cell r="I31">
            <v>1.3242272905155018E-2</v>
          </cell>
          <cell r="K31">
            <v>0</v>
          </cell>
          <cell r="M31">
            <v>0</v>
          </cell>
          <cell r="N31">
            <v>94766271.060000002</v>
          </cell>
          <cell r="O31">
            <v>3.8649334396236613E-2</v>
          </cell>
          <cell r="Q31">
            <v>157819554.05000001</v>
          </cell>
          <cell r="R31">
            <v>1.2286723012978363E-2</v>
          </cell>
          <cell r="U31">
            <v>0</v>
          </cell>
          <cell r="W31">
            <v>0</v>
          </cell>
          <cell r="Y31">
            <v>0</v>
          </cell>
          <cell r="AB31">
            <v>0</v>
          </cell>
          <cell r="AD31">
            <v>0</v>
          </cell>
          <cell r="AF31">
            <v>0</v>
          </cell>
          <cell r="AH31">
            <v>0</v>
          </cell>
          <cell r="AI31">
            <v>0</v>
          </cell>
          <cell r="AJ31">
            <v>0</v>
          </cell>
          <cell r="AL31">
            <v>157819554.05000001</v>
          </cell>
          <cell r="AM31">
            <v>1.0107612437388142E-2</v>
          </cell>
          <cell r="AO31">
            <v>157819554.05000001</v>
          </cell>
          <cell r="AP31">
            <v>6.8601864967837546E-3</v>
          </cell>
        </row>
        <row r="32">
          <cell r="A32" t="str">
            <v>Asociación Mocana de Ahorros y Préstamos</v>
          </cell>
          <cell r="C32">
            <v>0</v>
          </cell>
          <cell r="D32">
            <v>34239623.939999998</v>
          </cell>
          <cell r="E32">
            <v>0.1350122545147755</v>
          </cell>
          <cell r="G32">
            <v>0</v>
          </cell>
          <cell r="I32">
            <v>0</v>
          </cell>
          <cell r="K32">
            <v>0</v>
          </cell>
          <cell r="M32">
            <v>0</v>
          </cell>
          <cell r="O32">
            <v>0</v>
          </cell>
          <cell r="Q32">
            <v>34239623.939999998</v>
          </cell>
          <cell r="R32">
            <v>2.6656568506462767E-3</v>
          </cell>
          <cell r="U32">
            <v>0</v>
          </cell>
          <cell r="W32">
            <v>0</v>
          </cell>
          <cell r="Y32">
            <v>0</v>
          </cell>
          <cell r="AB32">
            <v>0</v>
          </cell>
          <cell r="AD32">
            <v>0</v>
          </cell>
          <cell r="AF32">
            <v>0</v>
          </cell>
          <cell r="AH32">
            <v>0</v>
          </cell>
          <cell r="AI32">
            <v>0</v>
          </cell>
          <cell r="AJ32">
            <v>0</v>
          </cell>
          <cell r="AL32">
            <v>34239623.939999998</v>
          </cell>
          <cell r="AM32">
            <v>2.1928895368554407E-3</v>
          </cell>
          <cell r="AO32">
            <v>34239623.939999998</v>
          </cell>
          <cell r="AP32">
            <v>1.488346657814813E-3</v>
          </cell>
        </row>
        <row r="33">
          <cell r="A33" t="str">
            <v>Asociación Norestana de Ahorros y Préstamos</v>
          </cell>
          <cell r="C33">
            <v>0</v>
          </cell>
          <cell r="D33">
            <v>50681001.980000004</v>
          </cell>
          <cell r="E33">
            <v>0.19984320944582201</v>
          </cell>
          <cell r="G33">
            <v>0</v>
          </cell>
          <cell r="I33">
            <v>0</v>
          </cell>
          <cell r="K33">
            <v>0</v>
          </cell>
          <cell r="M33">
            <v>0</v>
          </cell>
          <cell r="N33">
            <v>59165823.450000003</v>
          </cell>
          <cell r="O33">
            <v>2.4130101034575288E-2</v>
          </cell>
          <cell r="Q33">
            <v>109846825.43000001</v>
          </cell>
          <cell r="R33">
            <v>8.55190300110595E-3</v>
          </cell>
          <cell r="U33">
            <v>0</v>
          </cell>
          <cell r="W33">
            <v>0</v>
          </cell>
          <cell r="Y33">
            <v>0</v>
          </cell>
          <cell r="AB33">
            <v>0</v>
          </cell>
          <cell r="AD33">
            <v>0</v>
          </cell>
          <cell r="AF33">
            <v>0</v>
          </cell>
          <cell r="AH33">
            <v>0</v>
          </cell>
          <cell r="AI33">
            <v>0</v>
          </cell>
          <cell r="AJ33">
            <v>0</v>
          </cell>
          <cell r="AL33">
            <v>109846825.43000001</v>
          </cell>
          <cell r="AM33">
            <v>7.0351810687040266E-3</v>
          </cell>
          <cell r="AO33">
            <v>109846825.43000001</v>
          </cell>
          <cell r="AP33">
            <v>4.7748817506524212E-3</v>
          </cell>
        </row>
        <row r="34">
          <cell r="A34" t="str">
            <v>Asociación Norteña de Ahorros y Préstamos</v>
          </cell>
          <cell r="B34">
            <v>26277167.309999999</v>
          </cell>
          <cell r="C34">
            <v>8.8389458886753928E-3</v>
          </cell>
          <cell r="E34">
            <v>0</v>
          </cell>
          <cell r="G34">
            <v>0</v>
          </cell>
          <cell r="I34">
            <v>0</v>
          </cell>
          <cell r="J34">
            <v>18917120.09</v>
          </cell>
          <cell r="K34">
            <v>1.0343124627103404E-2</v>
          </cell>
          <cell r="M34">
            <v>0</v>
          </cell>
          <cell r="N34">
            <v>59183592.090000004</v>
          </cell>
          <cell r="O34">
            <v>2.4137347770164276E-2</v>
          </cell>
          <cell r="Q34">
            <v>104377879.49000001</v>
          </cell>
          <cell r="R34">
            <v>8.1261292473894502E-3</v>
          </cell>
          <cell r="U34">
            <v>0</v>
          </cell>
          <cell r="V34">
            <v>130531538.62</v>
          </cell>
          <cell r="W34">
            <v>7.7902969466407401E-2</v>
          </cell>
          <cell r="Y34">
            <v>0</v>
          </cell>
          <cell r="AB34">
            <v>0</v>
          </cell>
          <cell r="AD34">
            <v>0</v>
          </cell>
          <cell r="AF34">
            <v>0</v>
          </cell>
          <cell r="AH34">
            <v>0</v>
          </cell>
          <cell r="AI34">
            <v>0</v>
          </cell>
          <cell r="AJ34">
            <v>0</v>
          </cell>
          <cell r="AL34">
            <v>241009748.55000001</v>
          </cell>
          <cell r="AM34">
            <v>1.5435559596144788E-2</v>
          </cell>
          <cell r="AO34">
            <v>241009748.55000001</v>
          </cell>
          <cell r="AP34">
            <v>1.047634326778126E-2</v>
          </cell>
        </row>
        <row r="35">
          <cell r="A35" t="str">
            <v>Asociación Popular de Ahorros y Préstamos</v>
          </cell>
          <cell r="B35">
            <v>364474745.30000001</v>
          </cell>
          <cell r="C35">
            <v>0.12259968943720388</v>
          </cell>
          <cell r="E35">
            <v>0</v>
          </cell>
          <cell r="F35">
            <v>63502124.660000004</v>
          </cell>
          <cell r="G35">
            <v>0.17651900920839061</v>
          </cell>
          <cell r="H35">
            <v>625865364.25</v>
          </cell>
          <cell r="I35">
            <v>0.13144248106156781</v>
          </cell>
          <cell r="J35">
            <v>33900180.299999997</v>
          </cell>
          <cell r="K35">
            <v>1.8535262664507179E-2</v>
          </cell>
          <cell r="M35">
            <v>0</v>
          </cell>
          <cell r="N35">
            <v>121112794.36</v>
          </cell>
          <cell r="O35">
            <v>4.9394461093848596E-2</v>
          </cell>
          <cell r="Q35">
            <v>1208855208.8699999</v>
          </cell>
          <cell r="R35">
            <v>9.4112983676763795E-2</v>
          </cell>
          <cell r="T35">
            <v>179437592.75999999</v>
          </cell>
          <cell r="U35">
            <v>2.6795943484411798E-2</v>
          </cell>
          <cell r="V35">
            <v>26495061.780000001</v>
          </cell>
          <cell r="W35">
            <v>1.5812607517534199E-2</v>
          </cell>
          <cell r="X35">
            <v>6100330.4400000004</v>
          </cell>
          <cell r="Y35">
            <v>5.5779986639407598E-3</v>
          </cell>
          <cell r="AA35">
            <v>67752420.269999996</v>
          </cell>
          <cell r="AB35">
            <v>0.18927403888342584</v>
          </cell>
          <cell r="AD35">
            <v>0</v>
          </cell>
          <cell r="AF35">
            <v>0</v>
          </cell>
          <cell r="AG35">
            <v>16659137.470000001</v>
          </cell>
          <cell r="AH35">
            <v>0.19871004332410255</v>
          </cell>
          <cell r="AI35">
            <v>84411557.739999995</v>
          </cell>
          <cell r="AJ35">
            <v>0.12149669641370718</v>
          </cell>
          <cell r="AL35">
            <v>1249682463.4099998</v>
          </cell>
          <cell r="AM35">
            <v>8.0036381334260678E-2</v>
          </cell>
          <cell r="AO35">
            <v>1513531613.9099998</v>
          </cell>
          <cell r="AP35">
            <v>6.5791018120043301E-2</v>
          </cell>
        </row>
        <row r="36">
          <cell r="A36" t="str">
            <v>Asociación Romana de Ahorros y Préstamos</v>
          </cell>
          <cell r="C36">
            <v>0</v>
          </cell>
          <cell r="E36">
            <v>0</v>
          </cell>
          <cell r="G36">
            <v>0</v>
          </cell>
          <cell r="I36">
            <v>0</v>
          </cell>
          <cell r="K36">
            <v>0</v>
          </cell>
          <cell r="L36">
            <v>31639794.689999998</v>
          </cell>
          <cell r="M36">
            <v>0.14643597760231505</v>
          </cell>
          <cell r="O36">
            <v>0</v>
          </cell>
          <cell r="Q36">
            <v>31639794.689999998</v>
          </cell>
          <cell r="R36">
            <v>2.4632523889933874E-3</v>
          </cell>
          <cell r="U36">
            <v>0</v>
          </cell>
          <cell r="W36">
            <v>0</v>
          </cell>
          <cell r="X36">
            <v>14332192.76</v>
          </cell>
          <cell r="Y36">
            <v>1.3105019941611789E-2</v>
          </cell>
          <cell r="AB36">
            <v>0</v>
          </cell>
          <cell r="AD36">
            <v>0</v>
          </cell>
          <cell r="AE36">
            <v>34256592.219999999</v>
          </cell>
          <cell r="AF36">
            <v>0.19387968218576679</v>
          </cell>
          <cell r="AH36">
            <v>0</v>
          </cell>
          <cell r="AI36">
            <v>34256592.219999999</v>
          </cell>
          <cell r="AJ36">
            <v>4.9306788034184472E-2</v>
          </cell>
          <cell r="AL36">
            <v>31639794.689999998</v>
          </cell>
          <cell r="AM36">
            <v>2.0263824989882567E-3</v>
          </cell>
          <cell r="AO36">
            <v>65896386.909999996</v>
          </cell>
          <cell r="AP36">
            <v>2.8644201055314017E-3</v>
          </cell>
        </row>
        <row r="37">
          <cell r="Y37">
            <v>0</v>
          </cell>
        </row>
        <row r="38">
          <cell r="A38" t="str">
            <v>Bancos de Ahorro y Credito</v>
          </cell>
          <cell r="B38">
            <v>319615553.38</v>
          </cell>
          <cell r="C38">
            <v>0.10751024066546773</v>
          </cell>
          <cell r="D38">
            <v>11163724.99</v>
          </cell>
          <cell r="E38">
            <v>4.4020333936028611E-2</v>
          </cell>
          <cell r="F38">
            <v>10536202.880000001</v>
          </cell>
          <cell r="G38">
            <v>2.9287840417215289E-2</v>
          </cell>
          <cell r="H38">
            <v>401251055.31999999</v>
          </cell>
          <cell r="I38">
            <v>8.4269616522133967E-2</v>
          </cell>
          <cell r="J38">
            <v>415011617.57999998</v>
          </cell>
          <cell r="K38">
            <v>0.22691175305245517</v>
          </cell>
          <cell r="L38">
            <v>34117962.129999995</v>
          </cell>
          <cell r="M38">
            <v>0.15790548539445384</v>
          </cell>
          <cell r="N38">
            <v>201038488.28999996</v>
          </cell>
          <cell r="O38">
            <v>8.199123668709761E-2</v>
          </cell>
          <cell r="Q38">
            <v>1392734604.5699999</v>
          </cell>
          <cell r="R38">
            <v>0.10842854309118188</v>
          </cell>
          <cell r="T38">
            <v>0</v>
          </cell>
          <cell r="U38">
            <v>0</v>
          </cell>
          <cell r="V38">
            <v>254763821.25999999</v>
          </cell>
          <cell r="W38">
            <v>0.15204645864583505</v>
          </cell>
          <cell r="AA38">
            <v>30238738.809999999</v>
          </cell>
          <cell r="AB38">
            <v>8.4475332430950192E-2</v>
          </cell>
          <cell r="AC38">
            <v>0</v>
          </cell>
          <cell r="AD38">
            <v>0</v>
          </cell>
          <cell r="AE38">
            <v>3984627.26</v>
          </cell>
          <cell r="AF38">
            <v>2.2551521232357499E-2</v>
          </cell>
          <cell r="AG38">
            <v>0</v>
          </cell>
          <cell r="AH38">
            <v>0</v>
          </cell>
          <cell r="AI38">
            <v>34223366.07</v>
          </cell>
          <cell r="AJ38">
            <v>4.9258964399985221E-2</v>
          </cell>
          <cell r="AL38">
            <v>1877940902.2</v>
          </cell>
          <cell r="AM38">
            <v>0.12027342830878203</v>
          </cell>
          <cell r="AO38">
            <v>1912164268.27</v>
          </cell>
          <cell r="AP38">
            <v>8.311899987160204E-2</v>
          </cell>
        </row>
        <row r="39">
          <cell r="A39" t="str">
            <v>Banco de Ahorro y Credito ADEMI</v>
          </cell>
          <cell r="B39">
            <v>272261761.90999997</v>
          </cell>
          <cell r="C39">
            <v>9.1581674412907363E-2</v>
          </cell>
          <cell r="E39">
            <v>0</v>
          </cell>
          <cell r="G39">
            <v>0</v>
          </cell>
          <cell r="H39">
            <v>313996944.24000001</v>
          </cell>
          <cell r="I39">
            <v>6.5944753862701655E-2</v>
          </cell>
          <cell r="J39">
            <v>281528350.94</v>
          </cell>
          <cell r="K39">
            <v>0.15392844185487878</v>
          </cell>
          <cell r="M39">
            <v>0</v>
          </cell>
          <cell r="N39">
            <v>142504412.00999999</v>
          </cell>
          <cell r="O39">
            <v>5.8118786474424422E-2</v>
          </cell>
          <cell r="Q39">
            <v>1010291469.0999999</v>
          </cell>
          <cell r="R39">
            <v>7.8654204277335465E-2</v>
          </cell>
          <cell r="U39">
            <v>0</v>
          </cell>
          <cell r="V39">
            <v>90435373.950000003</v>
          </cell>
          <cell r="W39">
            <v>5.3973041687800379E-2</v>
          </cell>
          <cell r="X39">
            <v>230442476.36999997</v>
          </cell>
          <cell r="Y39">
            <v>0.21071117998438457</v>
          </cell>
          <cell r="AB39">
            <v>0</v>
          </cell>
          <cell r="AD39">
            <v>0</v>
          </cell>
          <cell r="AF39">
            <v>0</v>
          </cell>
          <cell r="AH39">
            <v>0</v>
          </cell>
          <cell r="AI39">
            <v>0</v>
          </cell>
          <cell r="AJ39">
            <v>0</v>
          </cell>
          <cell r="AL39">
            <v>1264120392.4400001</v>
          </cell>
          <cell r="AM39">
            <v>8.0961063905518757E-2</v>
          </cell>
          <cell r="AO39">
            <v>1264120392.4400001</v>
          </cell>
          <cell r="AP39">
            <v>5.4949475042733897E-2</v>
          </cell>
        </row>
        <row r="40">
          <cell r="A40" t="str">
            <v>Banco de Desarrollo Altas Cumbres</v>
          </cell>
          <cell r="B40">
            <v>1205426.8600000001</v>
          </cell>
          <cell r="C40">
            <v>4.0547379641797047E-4</v>
          </cell>
          <cell r="D40">
            <v>11163724.99</v>
          </cell>
          <cell r="E40">
            <v>4.4020333936028611E-2</v>
          </cell>
          <cell r="G40">
            <v>0</v>
          </cell>
          <cell r="I40">
            <v>0</v>
          </cell>
          <cell r="K40">
            <v>0</v>
          </cell>
          <cell r="M40">
            <v>0</v>
          </cell>
          <cell r="N40">
            <v>22917271.140000001</v>
          </cell>
          <cell r="O40">
            <v>9.3465456204168892E-3</v>
          </cell>
          <cell r="Q40">
            <v>35286422.990000002</v>
          </cell>
          <cell r="R40">
            <v>2.7471532789882557E-3</v>
          </cell>
          <cell r="U40">
            <v>0</v>
          </cell>
          <cell r="W40">
            <v>0</v>
          </cell>
          <cell r="X40">
            <v>163393549.38999999</v>
          </cell>
          <cell r="Y40">
            <v>0.14940321826139608</v>
          </cell>
          <cell r="AB40">
            <v>0</v>
          </cell>
          <cell r="AD40">
            <v>0</v>
          </cell>
          <cell r="AF40">
            <v>0</v>
          </cell>
          <cell r="AH40">
            <v>0</v>
          </cell>
          <cell r="AI40">
            <v>0</v>
          </cell>
          <cell r="AJ40">
            <v>0</v>
          </cell>
          <cell r="AL40">
            <v>35286422.990000002</v>
          </cell>
          <cell r="AM40">
            <v>2.2599321740046623E-3</v>
          </cell>
          <cell r="AO40">
            <v>35286422.990000002</v>
          </cell>
          <cell r="AP40">
            <v>1.5338494901531996E-3</v>
          </cell>
        </row>
        <row r="41">
          <cell r="A41" t="str">
            <v>Banco Lopez de Haro de Ahorro y Crédito</v>
          </cell>
          <cell r="B41">
            <v>22687763.23</v>
          </cell>
          <cell r="C41">
            <v>7.6315650450166144E-3</v>
          </cell>
          <cell r="E41">
            <v>0</v>
          </cell>
          <cell r="G41">
            <v>0</v>
          </cell>
          <cell r="I41">
            <v>0</v>
          </cell>
          <cell r="J41">
            <v>133483266.64</v>
          </cell>
          <cell r="K41">
            <v>7.2983311197576395E-2</v>
          </cell>
          <cell r="L41">
            <v>34117962.129999995</v>
          </cell>
          <cell r="M41">
            <v>0.15790548539445384</v>
          </cell>
          <cell r="O41">
            <v>0</v>
          </cell>
          <cell r="Q41">
            <v>190288992</v>
          </cell>
          <cell r="R41">
            <v>1.4814565604349173E-2</v>
          </cell>
          <cell r="U41">
            <v>0</v>
          </cell>
          <cell r="V41">
            <v>164328447.31</v>
          </cell>
          <cell r="W41">
            <v>9.8073416958034676E-2</v>
          </cell>
          <cell r="Y41">
            <v>0</v>
          </cell>
          <cell r="AB41">
            <v>0</v>
          </cell>
          <cell r="AD41">
            <v>0</v>
          </cell>
          <cell r="AE41">
            <v>3984627.26</v>
          </cell>
          <cell r="AF41">
            <v>2.2551521232357499E-2</v>
          </cell>
          <cell r="AH41">
            <v>0</v>
          </cell>
          <cell r="AI41">
            <v>3984627.26</v>
          </cell>
          <cell r="AJ41">
            <v>5.7352223023908605E-3</v>
          </cell>
          <cell r="AL41">
            <v>421666366.29000002</v>
          </cell>
          <cell r="AM41">
            <v>2.7005780329291632E-2</v>
          </cell>
          <cell r="AO41">
            <v>425650993.55000001</v>
          </cell>
          <cell r="AP41">
            <v>1.8502429663241712E-2</v>
          </cell>
        </row>
        <row r="42">
          <cell r="A42" t="str">
            <v>Banco de Ahorro y Crédito Pyme BHD</v>
          </cell>
          <cell r="B42">
            <v>13091196.550000001</v>
          </cell>
          <cell r="C42">
            <v>4.4035331722924584E-3</v>
          </cell>
          <cell r="E42">
            <v>0</v>
          </cell>
          <cell r="F42">
            <v>10536202.880000001</v>
          </cell>
          <cell r="G42">
            <v>2.9287840417215289E-2</v>
          </cell>
          <cell r="I42">
            <v>0</v>
          </cell>
          <cell r="K42">
            <v>0</v>
          </cell>
          <cell r="M42">
            <v>0</v>
          </cell>
          <cell r="N42">
            <v>28037901.010000002</v>
          </cell>
          <cell r="O42">
            <v>1.1434935655724749E-2</v>
          </cell>
          <cell r="Q42">
            <v>51665300.439999998</v>
          </cell>
          <cell r="R42">
            <v>4.022297741935541E-3</v>
          </cell>
          <cell r="U42">
            <v>0</v>
          </cell>
          <cell r="W42">
            <v>0</v>
          </cell>
          <cell r="X42">
            <v>67048926.979999997</v>
          </cell>
          <cell r="Y42">
            <v>6.130796172298849E-2</v>
          </cell>
          <cell r="AB42">
            <v>0</v>
          </cell>
          <cell r="AD42">
            <v>0</v>
          </cell>
          <cell r="AF42">
            <v>0</v>
          </cell>
          <cell r="AH42">
            <v>0</v>
          </cell>
          <cell r="AI42">
            <v>0</v>
          </cell>
          <cell r="AJ42">
            <v>0</v>
          </cell>
          <cell r="AL42">
            <v>51665300.439999998</v>
          </cell>
          <cell r="AM42">
            <v>3.3089235136432634E-3</v>
          </cell>
          <cell r="AO42">
            <v>51665300.439999998</v>
          </cell>
          <cell r="AP42">
            <v>2.2458154730209982E-3</v>
          </cell>
        </row>
        <row r="43">
          <cell r="A43" t="str">
            <v>Motor Credito Banco de Ahorro y Crédito</v>
          </cell>
          <cell r="B43">
            <v>10369404.83</v>
          </cell>
          <cell r="C43">
            <v>3.4879942388333206E-3</v>
          </cell>
          <cell r="E43">
            <v>0</v>
          </cell>
          <cell r="G43">
            <v>0</v>
          </cell>
          <cell r="H43">
            <v>25023048.710000001</v>
          </cell>
          <cell r="I43">
            <v>5.2552702131205432E-3</v>
          </cell>
          <cell r="K43">
            <v>0</v>
          </cell>
          <cell r="M43">
            <v>0</v>
          </cell>
          <cell r="N43">
            <v>7578904.1299999999</v>
          </cell>
          <cell r="O43">
            <v>3.0909689365315493E-3</v>
          </cell>
          <cell r="Q43">
            <v>42971357.670000002</v>
          </cell>
          <cell r="R43">
            <v>3.3454483657686727E-3</v>
          </cell>
          <cell r="U43">
            <v>0</v>
          </cell>
          <cell r="W43">
            <v>0</v>
          </cell>
          <cell r="Y43">
            <v>0</v>
          </cell>
          <cell r="AA43">
            <v>30238738.809999999</v>
          </cell>
          <cell r="AB43">
            <v>8.4475332430950192E-2</v>
          </cell>
          <cell r="AD43">
            <v>0</v>
          </cell>
          <cell r="AF43">
            <v>0</v>
          </cell>
          <cell r="AH43">
            <v>0</v>
          </cell>
          <cell r="AI43">
            <v>30238738.809999999</v>
          </cell>
          <cell r="AJ43">
            <v>4.352374209759436E-2</v>
          </cell>
          <cell r="AL43">
            <v>42971357.670000002</v>
          </cell>
          <cell r="AM43">
            <v>2.7521166933416911E-3</v>
          </cell>
          <cell r="AO43">
            <v>73210096.480000004</v>
          </cell>
          <cell r="AP43">
            <v>3.1823364241747578E-3</v>
          </cell>
        </row>
        <row r="44">
          <cell r="A44" t="str">
            <v>Banco de Ahorro y Crédito Popular</v>
          </cell>
          <cell r="C44">
            <v>0</v>
          </cell>
          <cell r="E44">
            <v>0</v>
          </cell>
          <cell r="G44">
            <v>0</v>
          </cell>
          <cell r="H44">
            <v>62231062.369999997</v>
          </cell>
          <cell r="I44">
            <v>1.3069592446311777E-2</v>
          </cell>
          <cell r="K44">
            <v>0</v>
          </cell>
          <cell r="M44">
            <v>0</v>
          </cell>
          <cell r="O44">
            <v>0</v>
          </cell>
          <cell r="Q44">
            <v>62231062.369999997</v>
          </cell>
          <cell r="R44">
            <v>4.84487382280479E-3</v>
          </cell>
          <cell r="U44">
            <v>0</v>
          </cell>
          <cell r="W44">
            <v>0</v>
          </cell>
          <cell r="Y44">
            <v>0</v>
          </cell>
          <cell r="AB44">
            <v>0</v>
          </cell>
          <cell r="AD44">
            <v>0</v>
          </cell>
          <cell r="AF44">
            <v>0</v>
          </cell>
          <cell r="AH44">
            <v>0</v>
          </cell>
          <cell r="AI44">
            <v>0</v>
          </cell>
          <cell r="AJ44">
            <v>0</v>
          </cell>
          <cell r="AL44">
            <v>62231062.369999997</v>
          </cell>
          <cell r="AM44">
            <v>3.9856116929820277E-3</v>
          </cell>
          <cell r="AO44">
            <v>62231062.369999997</v>
          </cell>
          <cell r="AP44">
            <v>2.7050937782774807E-3</v>
          </cell>
        </row>
        <row r="45">
          <cell r="Y45">
            <v>0</v>
          </cell>
        </row>
        <row r="46">
          <cell r="A46" t="str">
            <v>Financieras</v>
          </cell>
          <cell r="B46">
            <v>35380949.920000002</v>
          </cell>
          <cell r="C46">
            <v>1.1901218199946606E-2</v>
          </cell>
          <cell r="D46">
            <v>0</v>
          </cell>
          <cell r="E46">
            <v>0</v>
          </cell>
          <cell r="F46">
            <v>20977461.68</v>
          </cell>
          <cell r="G46">
            <v>5.8311761555799591E-2</v>
          </cell>
          <cell r="H46">
            <v>0</v>
          </cell>
          <cell r="I46">
            <v>0</v>
          </cell>
          <cell r="J46">
            <v>0</v>
          </cell>
          <cell r="K46">
            <v>0</v>
          </cell>
          <cell r="L46">
            <v>0</v>
          </cell>
          <cell r="M46">
            <v>0</v>
          </cell>
          <cell r="N46">
            <v>22917415.379999999</v>
          </cell>
          <cell r="O46">
            <v>9.3466044470429752E-3</v>
          </cell>
          <cell r="Q46">
            <v>79275826.980000004</v>
          </cell>
          <cell r="R46">
            <v>6.1718595873073113E-3</v>
          </cell>
          <cell r="T46">
            <v>0</v>
          </cell>
          <cell r="U46">
            <v>0</v>
          </cell>
          <cell r="V46">
            <v>0</v>
          </cell>
          <cell r="W46">
            <v>0</v>
          </cell>
          <cell r="AA46">
            <v>7254641.75</v>
          </cell>
          <cell r="AB46">
            <v>2.0266661164321895E-2</v>
          </cell>
          <cell r="AC46">
            <v>0</v>
          </cell>
          <cell r="AD46">
            <v>0</v>
          </cell>
          <cell r="AE46">
            <v>0</v>
          </cell>
          <cell r="AF46">
            <v>0</v>
          </cell>
          <cell r="AG46">
            <v>0</v>
          </cell>
          <cell r="AH46">
            <v>0</v>
          </cell>
          <cell r="AI46">
            <v>7254641.75</v>
          </cell>
          <cell r="AJ46">
            <v>1.0441875850755452E-2</v>
          </cell>
          <cell r="AL46">
            <v>79275826.980000004</v>
          </cell>
          <cell r="AM46">
            <v>5.0772500251357686E-3</v>
          </cell>
          <cell r="AO46">
            <v>86530468.730000004</v>
          </cell>
          <cell r="AP46">
            <v>3.7613536339980232E-3</v>
          </cell>
        </row>
        <row r="47">
          <cell r="A47" t="str">
            <v>Promerica</v>
          </cell>
          <cell r="B47">
            <v>35380949.920000002</v>
          </cell>
          <cell r="C47">
            <v>1.1901218199946606E-2</v>
          </cell>
          <cell r="F47">
            <v>20977461.68</v>
          </cell>
          <cell r="G47">
            <v>5.8311761555799591E-2</v>
          </cell>
          <cell r="N47">
            <v>22917415.379999999</v>
          </cell>
          <cell r="O47">
            <v>9.3466044470429752E-3</v>
          </cell>
          <cell r="Q47">
            <v>79275826.980000004</v>
          </cell>
          <cell r="R47">
            <v>6.1718595873073113E-3</v>
          </cell>
          <cell r="U47">
            <v>0</v>
          </cell>
          <cell r="X47">
            <v>0</v>
          </cell>
          <cell r="Y47">
            <v>0</v>
          </cell>
          <cell r="AA47">
            <v>7254641.75</v>
          </cell>
          <cell r="AB47">
            <v>2.0266661164321895E-2</v>
          </cell>
          <cell r="AF47">
            <v>0</v>
          </cell>
          <cell r="AI47">
            <v>7254641.75</v>
          </cell>
          <cell r="AJ47">
            <v>1.0441875850755452E-2</v>
          </cell>
          <cell r="AL47">
            <v>79275826.980000004</v>
          </cell>
          <cell r="AM47">
            <v>5.0772500251357686E-3</v>
          </cell>
          <cell r="AO47">
            <v>86530468.730000004</v>
          </cell>
          <cell r="AP47">
            <v>3.7613536339980232E-3</v>
          </cell>
        </row>
        <row r="49">
          <cell r="A49" t="str">
            <v>Banco Nacional de la Vivienda</v>
          </cell>
          <cell r="B49">
            <v>131256138.84</v>
          </cell>
          <cell r="C49">
            <v>4.4151102555172052E-2</v>
          </cell>
          <cell r="D49">
            <v>11934479.960000001</v>
          </cell>
          <cell r="E49">
            <v>4.7059542729925435E-2</v>
          </cell>
          <cell r="G49">
            <v>0</v>
          </cell>
          <cell r="H49">
            <v>131256138</v>
          </cell>
          <cell r="I49">
            <v>2.7566044422276129E-2</v>
          </cell>
          <cell r="K49">
            <v>0</v>
          </cell>
          <cell r="M49">
            <v>0</v>
          </cell>
          <cell r="O49">
            <v>0</v>
          </cell>
          <cell r="Q49">
            <v>274446756.80000001</v>
          </cell>
          <cell r="R49">
            <v>2.1366498612355164E-2</v>
          </cell>
          <cell r="U49">
            <v>0</v>
          </cell>
          <cell r="V49">
            <v>4805966.45</v>
          </cell>
          <cell r="W49">
            <v>2.8682651071850851E-3</v>
          </cell>
          <cell r="AB49">
            <v>0</v>
          </cell>
          <cell r="AD49">
            <v>0</v>
          </cell>
          <cell r="AF49">
            <v>0</v>
          </cell>
          <cell r="AH49">
            <v>0</v>
          </cell>
          <cell r="AI49">
            <v>0</v>
          </cell>
          <cell r="AJ49">
            <v>0</v>
          </cell>
          <cell r="AL49">
            <v>279252723.25</v>
          </cell>
          <cell r="AM49">
            <v>1.7884845231548215E-2</v>
          </cell>
          <cell r="AO49">
            <v>279252723.25</v>
          </cell>
          <cell r="AP49">
            <v>1.2138709761040164E-2</v>
          </cell>
        </row>
        <row r="50">
          <cell r="Y50">
            <v>0</v>
          </cell>
        </row>
        <row r="51">
          <cell r="A51" t="str">
            <v>Empresas Privadas</v>
          </cell>
          <cell r="B51">
            <v>236894109.20999998</v>
          </cell>
          <cell r="C51">
            <v>7.9684929046986722E-2</v>
          </cell>
          <cell r="D51">
            <v>0</v>
          </cell>
          <cell r="E51">
            <v>0</v>
          </cell>
          <cell r="F51">
            <v>0</v>
          </cell>
          <cell r="G51">
            <v>0</v>
          </cell>
          <cell r="H51">
            <v>168486848.12</v>
          </cell>
          <cell r="I51">
            <v>3.5385133302072408E-2</v>
          </cell>
          <cell r="J51">
            <v>0</v>
          </cell>
          <cell r="K51">
            <v>0</v>
          </cell>
          <cell r="L51">
            <v>0</v>
          </cell>
          <cell r="M51">
            <v>0</v>
          </cell>
          <cell r="N51">
            <v>0</v>
          </cell>
          <cell r="O51">
            <v>0</v>
          </cell>
          <cell r="Q51">
            <v>405380957.32999998</v>
          </cell>
          <cell r="R51">
            <v>3.1560116662550597E-2</v>
          </cell>
          <cell r="T51">
            <v>0</v>
          </cell>
          <cell r="U51">
            <v>0</v>
          </cell>
          <cell r="V51">
            <v>0</v>
          </cell>
          <cell r="W51">
            <v>0</v>
          </cell>
          <cell r="AA51">
            <v>4500000</v>
          </cell>
          <cell r="AB51">
            <v>1.2571258289831959E-2</v>
          </cell>
          <cell r="AC51">
            <v>0</v>
          </cell>
          <cell r="AD51">
            <v>0</v>
          </cell>
          <cell r="AE51">
            <v>0</v>
          </cell>
          <cell r="AF51">
            <v>0</v>
          </cell>
          <cell r="AG51">
            <v>35199729.649999999</v>
          </cell>
          <cell r="AH51">
            <v>0.41986206166700157</v>
          </cell>
          <cell r="AI51">
            <v>39699729.649999999</v>
          </cell>
          <cell r="AJ51">
            <v>5.7141298302408272E-2</v>
          </cell>
          <cell r="AL51">
            <v>405380957.32999998</v>
          </cell>
          <cell r="AM51">
            <v>2.5962775214095967E-2</v>
          </cell>
          <cell r="AO51">
            <v>445080686.97999996</v>
          </cell>
          <cell r="AP51">
            <v>1.9347010179943117E-2</v>
          </cell>
        </row>
        <row r="52">
          <cell r="A52" t="str">
            <v>Leasing Popular</v>
          </cell>
          <cell r="B52">
            <v>236894109.20999998</v>
          </cell>
          <cell r="C52">
            <v>7.9684929046986722E-2</v>
          </cell>
          <cell r="E52">
            <v>0</v>
          </cell>
          <cell r="G52">
            <v>0</v>
          </cell>
          <cell r="H52">
            <v>168486848.12</v>
          </cell>
          <cell r="I52">
            <v>3.5385133302072408E-2</v>
          </cell>
          <cell r="K52">
            <v>0</v>
          </cell>
          <cell r="M52">
            <v>0</v>
          </cell>
          <cell r="O52">
            <v>0</v>
          </cell>
          <cell r="Q52">
            <v>405380957.32999998</v>
          </cell>
          <cell r="R52">
            <v>3.1560116662550597E-2</v>
          </cell>
          <cell r="U52">
            <v>0</v>
          </cell>
          <cell r="W52">
            <v>0</v>
          </cell>
          <cell r="X52">
            <v>0</v>
          </cell>
          <cell r="Y52">
            <v>0</v>
          </cell>
          <cell r="AB52">
            <v>0</v>
          </cell>
          <cell r="AD52">
            <v>0</v>
          </cell>
          <cell r="AF52">
            <v>0</v>
          </cell>
          <cell r="AH52">
            <v>0</v>
          </cell>
          <cell r="AI52">
            <v>0</v>
          </cell>
          <cell r="AJ52">
            <v>0</v>
          </cell>
          <cell r="AL52">
            <v>405380957.32999998</v>
          </cell>
          <cell r="AM52">
            <v>2.5962775214095967E-2</v>
          </cell>
          <cell r="AO52">
            <v>405380957.32999998</v>
          </cell>
          <cell r="AP52">
            <v>1.7621320667573749E-2</v>
          </cell>
        </row>
        <row r="53">
          <cell r="A53" t="str">
            <v>Inmobiliaria BHD</v>
          </cell>
          <cell r="C53">
            <v>0</v>
          </cell>
          <cell r="E53">
            <v>0</v>
          </cell>
          <cell r="G53">
            <v>0</v>
          </cell>
          <cell r="I53">
            <v>0</v>
          </cell>
          <cell r="K53">
            <v>0</v>
          </cell>
          <cell r="M53">
            <v>0</v>
          </cell>
          <cell r="O53">
            <v>0</v>
          </cell>
          <cell r="R53">
            <v>0</v>
          </cell>
          <cell r="U53">
            <v>0</v>
          </cell>
          <cell r="W53">
            <v>0</v>
          </cell>
          <cell r="Y53">
            <v>0</v>
          </cell>
          <cell r="AB53">
            <v>0</v>
          </cell>
          <cell r="AD53">
            <v>0</v>
          </cell>
          <cell r="AF53">
            <v>0</v>
          </cell>
          <cell r="AG53">
            <v>30094384.469999999</v>
          </cell>
          <cell r="AH53">
            <v>0.35896554984403395</v>
          </cell>
          <cell r="AI53">
            <v>30094384.469999999</v>
          </cell>
          <cell r="AJ53">
            <v>4.3315967523915692E-2</v>
          </cell>
          <cell r="AL53">
            <v>0</v>
          </cell>
          <cell r="AM53">
            <v>0</v>
          </cell>
          <cell r="AO53">
            <v>30094384.469999999</v>
          </cell>
          <cell r="AP53">
            <v>1.3081591264964844E-3</v>
          </cell>
        </row>
        <row r="54">
          <cell r="A54" t="str">
            <v>Promotora BHD</v>
          </cell>
          <cell r="C54">
            <v>0</v>
          </cell>
          <cell r="E54">
            <v>0</v>
          </cell>
          <cell r="G54">
            <v>0</v>
          </cell>
          <cell r="I54">
            <v>0</v>
          </cell>
          <cell r="K54">
            <v>0</v>
          </cell>
          <cell r="M54">
            <v>0</v>
          </cell>
          <cell r="O54">
            <v>0</v>
          </cell>
          <cell r="R54">
            <v>0</v>
          </cell>
          <cell r="U54">
            <v>0</v>
          </cell>
          <cell r="W54">
            <v>0</v>
          </cell>
          <cell r="Y54">
            <v>0</v>
          </cell>
          <cell r="AA54">
            <v>4500000</v>
          </cell>
          <cell r="AB54">
            <v>1.2571258289831959E-2</v>
          </cell>
          <cell r="AD54">
            <v>0</v>
          </cell>
          <cell r="AF54">
            <v>0</v>
          </cell>
          <cell r="AG54">
            <v>5105345.18</v>
          </cell>
          <cell r="AH54">
            <v>6.0896511822967632E-2</v>
          </cell>
          <cell r="AI54">
            <v>9605345.1799999997</v>
          </cell>
          <cell r="AJ54">
            <v>1.3825330778492581E-2</v>
          </cell>
          <cell r="AL54">
            <v>0</v>
          </cell>
          <cell r="AM54">
            <v>0</v>
          </cell>
          <cell r="AO54">
            <v>9605345.1799999997</v>
          </cell>
          <cell r="AP54">
            <v>4.1753038587288366E-4</v>
          </cell>
        </row>
        <row r="55">
          <cell r="A55" t="str">
            <v>Rizek</v>
          </cell>
          <cell r="C55">
            <v>0</v>
          </cell>
          <cell r="E55">
            <v>0</v>
          </cell>
          <cell r="G55">
            <v>0</v>
          </cell>
          <cell r="I55">
            <v>0</v>
          </cell>
          <cell r="K55">
            <v>0</v>
          </cell>
          <cell r="M55">
            <v>0</v>
          </cell>
          <cell r="O55">
            <v>0</v>
          </cell>
          <cell r="R55">
            <v>0</v>
          </cell>
          <cell r="U55">
            <v>0</v>
          </cell>
          <cell r="W55">
            <v>0</v>
          </cell>
          <cell r="Y55">
            <v>0</v>
          </cell>
          <cell r="AB55">
            <v>0</v>
          </cell>
          <cell r="AD55">
            <v>0</v>
          </cell>
          <cell r="AF55">
            <v>0</v>
          </cell>
          <cell r="AH55">
            <v>0</v>
          </cell>
          <cell r="AI55">
            <v>0</v>
          </cell>
          <cell r="AJ55">
            <v>0</v>
          </cell>
          <cell r="AL55">
            <v>0</v>
          </cell>
          <cell r="AM55">
            <v>0</v>
          </cell>
          <cell r="AO55">
            <v>0</v>
          </cell>
          <cell r="AP55">
            <v>0</v>
          </cell>
        </row>
        <row r="56">
          <cell r="Y56">
            <v>0</v>
          </cell>
          <cell r="AL56" t="str">
            <v>TOTAL VERT</v>
          </cell>
          <cell r="AO56" t="str">
            <v>TOTAL VERT</v>
          </cell>
        </row>
        <row r="57">
          <cell r="A57" t="str">
            <v>TOTAL</v>
          </cell>
          <cell r="B57">
            <v>2972884735.46</v>
          </cell>
          <cell r="C57">
            <v>1</v>
          </cell>
          <cell r="D57">
            <v>253603823.32000002</v>
          </cell>
          <cell r="E57">
            <v>0.99999999999999978</v>
          </cell>
          <cell r="F57">
            <v>359746663.80000001</v>
          </cell>
          <cell r="G57">
            <v>1</v>
          </cell>
          <cell r="H57">
            <v>4761515144.8400002</v>
          </cell>
          <cell r="I57">
            <v>1</v>
          </cell>
          <cell r="J57">
            <v>1828956023.6399999</v>
          </cell>
          <cell r="K57">
            <v>1</v>
          </cell>
          <cell r="L57">
            <v>216065718.33000001</v>
          </cell>
          <cell r="M57">
            <v>0.99999999999999989</v>
          </cell>
          <cell r="N57">
            <v>2451950920.77</v>
          </cell>
          <cell r="O57">
            <v>1</v>
          </cell>
          <cell r="Q57">
            <v>12844723030.159998</v>
          </cell>
          <cell r="R57">
            <v>1</v>
          </cell>
          <cell r="T57">
            <v>6696446156.6499996</v>
          </cell>
          <cell r="U57">
            <v>1</v>
          </cell>
          <cell r="V57">
            <v>1675565636.51</v>
          </cell>
          <cell r="W57">
            <v>1.0000000000000002</v>
          </cell>
          <cell r="AA57">
            <v>357959394.06</v>
          </cell>
          <cell r="AB57">
            <v>0.99999999999999989</v>
          </cell>
          <cell r="AC57">
            <v>92416010.239999995</v>
          </cell>
          <cell r="AD57">
            <v>1</v>
          </cell>
          <cell r="AE57">
            <v>176689954.47999999</v>
          </cell>
          <cell r="AF57">
            <v>1.0000000000000002</v>
          </cell>
          <cell r="AG57">
            <v>83836414.060000002</v>
          </cell>
          <cell r="AH57">
            <v>0.99999999999999989</v>
          </cell>
          <cell r="AI57">
            <v>694764221.84000003</v>
          </cell>
          <cell r="AJ57">
            <v>0.99999999999999978</v>
          </cell>
          <cell r="AL57">
            <v>15613930097.499998</v>
          </cell>
          <cell r="AM57">
            <v>1.0000000000000002</v>
          </cell>
          <cell r="AO57">
            <v>23005140475.990002</v>
          </cell>
          <cell r="AP57">
            <v>0.99999999999999978</v>
          </cell>
        </row>
        <row r="58">
          <cell r="X58">
            <v>1093641430.8299999</v>
          </cell>
          <cell r="Y58">
            <v>1</v>
          </cell>
          <cell r="AL58" t="str">
            <v>TOTAL HORIZ</v>
          </cell>
          <cell r="AO58" t="str">
            <v>TOTAL HORIZ</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1.4 Afil. SDSS Anual (2)"/>
      <sheetName val="Present."/>
      <sheetName val="Contenido."/>
      <sheetName val="Contenido"/>
      <sheetName val="HOME2"/>
      <sheetName val=" SDSS Definiciones (1)"/>
      <sheetName val=" SDSS Definiciones (2)"/>
      <sheetName val=" SDSS Definiciones (3)"/>
      <sheetName val=" SDSS Definiciones (4)"/>
      <sheetName val="SDSS"/>
      <sheetName val="I.1.1 Cobertura SDSS "/>
      <sheetName val="I.1.2 Cobertura SDSS"/>
      <sheetName val="I.1.3 Cobertura SDSS "/>
      <sheetName val="I.1.4 Afil. SDSS Anual"/>
      <sheetName val="Hoja3"/>
      <sheetName val="I.1.6 Proy. afil.Vs pobl."/>
      <sheetName val="Afil. mensual (Mod.)"/>
      <sheetName val="I.2.1 Empl x sector "/>
      <sheetName val="I.2.2 Empr x No. de empl"/>
      <sheetName val="I.2.3 Salario prom."/>
      <sheetName val="II.1 Pob. econ. "/>
      <sheetName val="II.2 Ocup. formal "/>
      <sheetName val="III.1 Ingr y egr SDSS"/>
      <sheetName val="Recaudo x sector"/>
      <sheetName val="Rec. x origen"/>
      <sheetName val="Aport.Gob.SS"/>
      <sheetName val="RC"/>
      <sheetName val="IV.1.1.1 Afil. SFS RC Anual "/>
      <sheetName val="Ind. Depend SFS RC Anual"/>
      <sheetName val="Afil. anual SFS( Mod)"/>
      <sheetName val="IV.1.1.2 Afil. SFS RC Mensual "/>
      <sheetName val="IV.1.1.3 Ind. Dep SFS RC Mens"/>
      <sheetName val="IV.1.1.4 Tit. Vs pob ocup."/>
      <sheetName val="IV.1.1.5.Afil. SFS x ARS"/>
      <sheetName val="IV.1.1.6. Afil. SFS.Región.stat"/>
      <sheetName val="IV.1.1.7. Afil. SFS.Región.Edad"/>
      <sheetName val="IV.1.1.8 Afil. SFS.Prov.Edad"/>
      <sheetName val="IV.1.1.9 Afil. SFS.Prov.Sector"/>
      <sheetName val="IV.1.1.10 Afil. SFS.Prov.EPriv"/>
      <sheetName val="IV.1.1.11 Afil.SFS.Prov EPub D "/>
      <sheetName val="IV.1.1.12 Afil. SFS.Prov.EPub.C"/>
      <sheetName val="IV.1.1.13 Afil.SFS.Art.124 Ley"/>
      <sheetName val="IV.1.1.14 Comparativo afil.edad"/>
      <sheetName val="IV.1.1.15 Comp. afil. región"/>
      <sheetName val="IV.1.2.1 Rec. disp. salud"/>
      <sheetName val="Dep y Tit por mes"/>
      <sheetName val="IV.1.2.2 Disp. SFS"/>
      <sheetName val="IV.1.2.3 Dip. SFS mensual"/>
      <sheetName val="IV.1.2.4 Disp. x ARS 2"/>
      <sheetName val="IV.1.2.5 Disp. x ARS"/>
      <sheetName val="Total Afil.Mas 50"/>
      <sheetName val="Total Afiliados &lt;50"/>
      <sheetName val="IV.1.3.1 Por cuentas"/>
      <sheetName val="IV.1.3.2 Por entidad"/>
      <sheetName val="Afil. anual SFS RS (Mod)"/>
      <sheetName val="G1.RC"/>
      <sheetName val="G2.RC"/>
      <sheetName val="G4.RC"/>
      <sheetName val="G5.RC"/>
      <sheetName val="G6.RC"/>
      <sheetName val="G7.RC"/>
      <sheetName val="IV.1.2.6 Gast.Salud"/>
      <sheetName val="RS"/>
      <sheetName val="IV.2.1.1 fil anual SFS RS "/>
      <sheetName val="IV.2.1.2 Afil. RS mensual"/>
      <sheetName val="IV.2.1.3 Afil. SFS RS Vs pob."/>
      <sheetName val="IV.2.1.4 Afil. SFS Rs Vs pob 3"/>
      <sheetName val="IV.2.1.5 Afil. SFS RS Vs pob 4"/>
      <sheetName val="IV.2.1.6 Ind. depend."/>
      <sheetName val="IV.2.2.1 Aport. Disp. RS"/>
      <sheetName val="IV.2.2.2 Saldos RS mensual"/>
      <sheetName val="G1.RS"/>
      <sheetName val="G2.RS"/>
      <sheetName val="G3.RS"/>
      <sheetName val="G4.RS"/>
      <sheetName val="G5.RS"/>
      <sheetName val="G6.RS"/>
      <sheetName val="G7.RS"/>
      <sheetName val="G8.RS"/>
      <sheetName val="G9.RS"/>
      <sheetName val="G10.RS"/>
      <sheetName val="RET"/>
      <sheetName val="IV.3.1 Afil. SFSP Anual."/>
      <sheetName val="IV.3.2 Afil. SFSP Mensual"/>
      <sheetName val="IV.3.3 Disp.SFS Pens.x ARS"/>
      <sheetName val="EI"/>
      <sheetName val="IV.4.1.1 Afil. a EI"/>
      <sheetName val="IV.4.1.2 Afil. a EI (2)"/>
      <sheetName val="IV.4.1.3 Evol. afil. EI"/>
      <sheetName val="Rec. y dip. EI"/>
      <sheetName val="IV.4.1.2 Afil. a EI (3)"/>
      <sheetName val="IV.4.1.4 EI Estancias"/>
      <sheetName val="Subsidios"/>
      <sheetName val="IV.4.2.1 Benef. subsid"/>
      <sheetName val="IV.4.2.2 Monto subsid"/>
      <sheetName val="SVDS"/>
      <sheetName val="V.1.1 Afil. SVDS"/>
      <sheetName val="V.1.2 Afil. cotiz."/>
      <sheetName val="V.1.3 Afil. SVDS mensual"/>
      <sheetName val="%Cotiz. x AFP"/>
      <sheetName val="V.1.4 Afil. SVDS x sexo"/>
      <sheetName val="V.1.5 Cotiz. x rango de edad"/>
      <sheetName val="V.1.5 Cotiz. x rango de edad (2"/>
      <sheetName val="V.1.6 Cotiz x sal. min. cot."/>
      <sheetName val="V.1.7 Cotiz.x AFP y fondos"/>
      <sheetName val="V.1.8 Cotiz. x sexo "/>
      <sheetName val="V1.8Cot.Afil X Sexo"/>
      <sheetName val="V.2.1 Disp. SVDS"/>
      <sheetName val="V.2.2 Disp. anual  x cuentas"/>
      <sheetName val="V.3.1 Traspasos anual"/>
      <sheetName val="V.3.2 Trasp. recibidos"/>
      <sheetName val="V.3.3 Trasp. cedidos"/>
      <sheetName val="V.3.4 Trasp. netos"/>
      <sheetName val="V.4.1 Pensiones por año"/>
      <sheetName val="V.4.2 PEA_Pensiones_Género"/>
      <sheetName val="V.4.3 Pensiones Sob.Disc"/>
      <sheetName val="V.4.4. Pens.Disc. AFP"/>
      <sheetName val="Hoja1"/>
      <sheetName val="V.5.1 Patrim. fp anual"/>
      <sheetName val="V.5.2 Cartera de inv fp"/>
      <sheetName val="V.5.4 Comp. Cartera"/>
      <sheetName val="3.9.2.f"/>
      <sheetName val="V.5.3 Rent. nom. de los FP"/>
      <sheetName val="23.Rentab.Real"/>
      <sheetName val="SRL"/>
      <sheetName val="VI.1.1 Afil. SRL"/>
      <sheetName val="VI.1.2 Afil. SRL x sexoy edad"/>
      <sheetName val="VI.1.3 Afil. ARL x riesgo"/>
      <sheetName val="VI.2.1 Disp. anual ARL"/>
      <sheetName val="VI.2.2 Disp. mensual a ARL"/>
      <sheetName val="VI.3.1 NA. Reportes ARL"/>
      <sheetName val="VI.3.2 ID. Accidentabilidad"/>
      <sheetName val="VI.3.3 NA.Cant. accid x región"/>
      <sheetName val="VI.3.4 NA.Cant. accid x Prov.)"/>
      <sheetName val="VI.3.5 NA.Cant. accid x Proced."/>
      <sheetName val="VI.3.6 Accid x activ. econ."/>
      <sheetName val=" VI.3.7 Accid x ocupación"/>
      <sheetName val=" VI.3.8 NA.Cant. accid x sector"/>
      <sheetName val="VI.3.10 Accid x sexo"/>
      <sheetName val="VI.3.14 Accid x Escolaridad"/>
      <sheetName val="VI.3.9 Accid x sector "/>
      <sheetName val="VI.3.11 Accid x sexo "/>
      <sheetName val="VI.3.12 Accid x rango de edad"/>
      <sheetName val="VI.3.13 Accid x edad"/>
      <sheetName val="VI.3.16 EC. Accid. Lab"/>
      <sheetName val="VI.3.15 EC. Accid. Lab."/>
      <sheetName val="VI.3.17 EC. Accid. Lab x tipo"/>
      <sheetName val="VI.3.18 EC. Accid. Lab x Lesión"/>
      <sheetName val="VI.3.19 Accid.Lab suceso"/>
      <sheetName val="VI.3.20 EC. x mecanismo causal"/>
      <sheetName val="VI.3.21 EC. x Agente daño"/>
      <sheetName val="VI.3.22 EC. x  lugar de accid."/>
      <sheetName val="VI.3.23 Exped. Calif. x antig."/>
      <sheetName val="VI.3.24 EC. Accid incapac."/>
      <sheetName val="VI.3.25 EC. Enferm. Prof (R)"/>
      <sheetName val="VI.3.26 EC. Accid Lab.(R)"/>
      <sheetName val="VI.3.27. Accid. Aprobxtipo"/>
      <sheetName val="VI.3.28. Accid. Aprob xLesión "/>
      <sheetName val="VI.3.29 Accid.Aprob Según suc."/>
      <sheetName val="VI.3.30 Pagos de ARLSS"/>
      <sheetName val="VI.4.1 Prest. econ. SRL"/>
      <sheetName val="VI.4.2 Gastos med. ARL"/>
      <sheetName val="VI.4.3 Gastos prevenc. riesgos"/>
      <sheetName val="VI.4.4 Pensión sobrev. ARL"/>
      <sheetName val="VI.4.5 Pensión discap ARL"/>
      <sheetName val="VI.4.6 Discap. temporal ARL"/>
      <sheetName val="VI.4.7 Indemniz.ARL"/>
      <sheetName val="VI.4.8 Remuneración SRL"/>
      <sheetName val="VI.4.9 Beneficios SRL"/>
      <sheetName val="CMNR"/>
      <sheetName val="VII.1 CMR"/>
      <sheetName val="VII.1 CMR "/>
      <sheetName val="VII.1 CMR (2)"/>
      <sheetName val="Status"/>
      <sheetName val="Apelaciones1"/>
      <sheetName val="Apelaciones2"/>
      <sheetName val="Por Entidad Receptora Origen"/>
      <sheetName val="VIII.1 Sol.Pensiones"/>
      <sheetName val="VIII.2 Sol.Ent.Sal."/>
      <sheetName val="VIII.3 Sol.Realiz.Entid."/>
      <sheetName val="Hoja2"/>
      <sheetName val="Hoja4"/>
      <sheetName val="Hoja5"/>
    </sheetNames>
    <sheetDataSet>
      <sheetData sheetId="0"/>
      <sheetData sheetId="1"/>
      <sheetData sheetId="2"/>
      <sheetData sheetId="3"/>
      <sheetData sheetId="4"/>
      <sheetData sheetId="5"/>
      <sheetData sheetId="6"/>
      <sheetData sheetId="7"/>
      <sheetData sheetId="8"/>
      <sheetData sheetId="9"/>
      <sheetData sheetId="10">
        <row r="4">
          <cell r="E4">
            <v>8742318</v>
          </cell>
        </row>
      </sheetData>
      <sheetData sheetId="11"/>
      <sheetData sheetId="12"/>
      <sheetData sheetId="13">
        <row r="14">
          <cell r="E14">
            <v>5638332</v>
          </cell>
        </row>
      </sheetData>
      <sheetData sheetId="14"/>
      <sheetData sheetId="15"/>
      <sheetData sheetId="16"/>
      <sheetData sheetId="17">
        <row r="10">
          <cell r="G10">
            <v>64739</v>
          </cell>
        </row>
      </sheetData>
      <sheetData sheetId="18"/>
      <sheetData sheetId="19"/>
      <sheetData sheetId="20"/>
      <sheetData sheetId="21"/>
      <sheetData sheetId="22"/>
      <sheetData sheetId="23"/>
      <sheetData sheetId="24"/>
      <sheetData sheetId="25"/>
      <sheetData sheetId="26"/>
      <sheetData sheetId="27">
        <row r="9">
          <cell r="B9">
            <v>1242830</v>
          </cell>
        </row>
      </sheetData>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row r="37">
          <cell r="IT37">
            <v>1077343</v>
          </cell>
        </row>
      </sheetData>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ent."/>
      <sheetName val="Contenido."/>
      <sheetName val="Contenido"/>
      <sheetName val="HOME2"/>
      <sheetName val=" SDSS Definiciones (1)"/>
      <sheetName val=" SDSS Definiciones (2)"/>
      <sheetName val=" SDSS Definiciones (3)"/>
      <sheetName val=" SDSS Definiciones (4)"/>
      <sheetName val="SDSS"/>
      <sheetName val="I.1.1 Cobertura SDSS "/>
      <sheetName val="I.1.2 Cobertura SDSS"/>
      <sheetName val="I.1.3 Cobertura SDSS "/>
      <sheetName val="I.1.4 Afil. SDSS Anual"/>
      <sheetName val="Hoja3"/>
      <sheetName val="I.1.6 Proy. afil.Vs pobl."/>
      <sheetName val="Afil. mensual (Mod.)"/>
      <sheetName val="I.2.1 Empl x sector "/>
      <sheetName val="I.2.2 Empr x No. de empl"/>
      <sheetName val="I.2.3 Salario prom."/>
      <sheetName val="II.1 Pob. econ.  (2)"/>
      <sheetName val="II.2 Ocup. formal "/>
      <sheetName val="III.1 Ingr y egr SDSS"/>
      <sheetName val="Recaudo x sector"/>
      <sheetName val="Rec. x origen"/>
      <sheetName val="Aport.Gob.SS"/>
      <sheetName val="RC"/>
      <sheetName val="IV.1.1.1 Afil. SFS RC Anual "/>
      <sheetName val="Ind. Depend SFS RC Anual"/>
      <sheetName val="Afil. anual SFS( Mod)"/>
      <sheetName val="IV.1.1.2 Afil. SFS RC Mensual "/>
      <sheetName val="IV.1.1.3 Ind. Dep SFS RC Mens"/>
      <sheetName val="IV.1.1.4 Tit. Vs pob ocup."/>
      <sheetName val="IV.1.1.5.Afil. SFS x ARS"/>
      <sheetName val="IV.1.1.6. Afil. SFS.Región.stat"/>
      <sheetName val="IV.1.1.7. Afil. SFS.Región.Edad"/>
      <sheetName val="IV.1.1.8 Afil. SFS.Prov.Edad"/>
      <sheetName val="IV.1.1.9 Afil. SFS.Prov.Sector"/>
      <sheetName val="IV.1.1.10 Afil. SFS.Prov.EPriv"/>
      <sheetName val="IV.1.1.11 Afil.SFS.Prov EPub D "/>
      <sheetName val="IV.1.1.12 Afil. SFS.Prov.EPub.C"/>
      <sheetName val="IV.1.1.13 Afil.SFS.Art.124 Ley"/>
      <sheetName val="IV.1.1.14 Comparativo afil.edad"/>
      <sheetName val="IV.1.1.15 Comp. afil. región"/>
      <sheetName val="IV.1.2.1 Rec. disp. salud"/>
      <sheetName val="Dep y Tit por mes"/>
      <sheetName val="IV.1.2.2 Disp. SFS"/>
      <sheetName val="IV.1.2.3 Dip. SFS mensual"/>
      <sheetName val="IV.1.2.4 Disp. x ARS 2"/>
      <sheetName val="IV.1.2.5 Disp. x ARS"/>
      <sheetName val="Total Afil.Mas 50"/>
      <sheetName val="Total Afiliados &lt;50"/>
      <sheetName val="IV.1.3.1 Por cuentas"/>
      <sheetName val="IV.1.3.2 Por entidad"/>
      <sheetName val="Afil. anual SFS RS (Mod)"/>
      <sheetName val="G1.RC"/>
      <sheetName val="G2.RC"/>
      <sheetName val="G4.RC"/>
      <sheetName val="G5.RC"/>
      <sheetName val="G6.RC"/>
      <sheetName val="G7.RC"/>
      <sheetName val="IV.1.2.6 Gast.Salud"/>
      <sheetName val="RS"/>
      <sheetName val="IV.2.1.1 fil anual SFS RS "/>
      <sheetName val="IV.2.1.2 Afil. RS mensual"/>
      <sheetName val="IV.2.1.3 Afil. SFS RS Vs pob."/>
      <sheetName val="IV.2.1.4 Afil. SFS Rs Vs pob 3"/>
      <sheetName val="IV.2.1.5 Afil. SFS RS Vs pob 4"/>
      <sheetName val="IV.2.1.6 Ind. depend."/>
      <sheetName val="IV.2.2.1 Aport. Disp. RS"/>
      <sheetName val="IV.2.2.2 Saldos RS mensual"/>
      <sheetName val="G1.RS"/>
      <sheetName val="G2.RS"/>
      <sheetName val="G3.RS"/>
      <sheetName val="G4.RS"/>
      <sheetName val="G5.RS"/>
      <sheetName val="G6.RS"/>
      <sheetName val="G7.RS"/>
      <sheetName val="G8.RS"/>
      <sheetName val="G9.RS"/>
      <sheetName val="G10.RS"/>
      <sheetName val="RET"/>
      <sheetName val="IV.3.1 Afil. SFSP Anual."/>
      <sheetName val="IV.3.2 Afil. SFSP Mensual"/>
      <sheetName val="IV.3.3 Disp.SFS Pens.x ARS"/>
      <sheetName val="EI"/>
      <sheetName val="IV.4.1.1 Afil. a EI"/>
      <sheetName val="IV.4.1.2 Afil. a EI (2)"/>
      <sheetName val="IV.4.1.3 Evol. afil. EI"/>
      <sheetName val="Rec. y dip. EI"/>
      <sheetName val="IV.4.1.2 Afil. a EI (3)"/>
      <sheetName val="IV.4.1.4 EI Estancias"/>
      <sheetName val="Subsidios"/>
      <sheetName val="IV.4.2.1 Benef. subsid"/>
      <sheetName val="IV.4.2.2 Monto subsid"/>
      <sheetName val="SVDS"/>
      <sheetName val="V.1.1 Afil. SVDS"/>
      <sheetName val="V.1.2 Afil. cotiz."/>
      <sheetName val="V.1.3 Afil. SVDS mensual"/>
      <sheetName val="%Cotiz. x AFP"/>
      <sheetName val="V.1.4 Afil. SVDS x sexo"/>
      <sheetName val="V.1.5 Cotiz. x rango de edad"/>
      <sheetName val="V.1.5 Cotiz. x rango de edad (2"/>
      <sheetName val="V.1.6 Cotiz x sal. min. cot."/>
      <sheetName val="V.1.7 Cotiz.x AFP y fondos"/>
      <sheetName val="V.1.8 Cotiz. x sexo "/>
      <sheetName val="V1.8Cot.Afil X Sexo"/>
      <sheetName val="V.2.1 Disp. SVDS"/>
      <sheetName val="V.2.2 Disp. anual  x cuentas"/>
      <sheetName val="V.3.1 Traspasos anual"/>
      <sheetName val="V.3.2 Trasp. recibidos"/>
      <sheetName val="V.3.3 Trasp. cedidos"/>
      <sheetName val="V.3.4 Trasp. netos"/>
      <sheetName val="V.4.1 Pensiones por año"/>
      <sheetName val="V.4.2 PEA_Pensiones_Género"/>
      <sheetName val="V.4.3 Pensiones Sob.Disc"/>
      <sheetName val="V.4.4. Pens.Disc. AFP"/>
      <sheetName val="Hoja1"/>
      <sheetName val="V.5.1 Patrim. fp anual"/>
      <sheetName val="V.5.2 Cartera de inv fp"/>
      <sheetName val="V.5.4 Comp. Cartera"/>
      <sheetName val="3.9.2.f"/>
      <sheetName val="V.5.3 Rent. nom. de los FP"/>
      <sheetName val="23.Rentab.Real"/>
      <sheetName val="SRL"/>
      <sheetName val="VI.1.1 Afil. SRL"/>
      <sheetName val="VI.1.2 Afil. SRL x sexoy edad"/>
      <sheetName val="VI.1.3 Afil. ARL x riesgo"/>
      <sheetName val="VI.2.1 Disp. anual ARL"/>
      <sheetName val="VI.2.2 Disp. mensual a ARL"/>
      <sheetName val="VI.3.1 NA. Reportes ARL"/>
      <sheetName val="VI.3.2 ID. Accidentabilidad"/>
      <sheetName val="VI.3.3 NA.Cant. accid x región"/>
      <sheetName val="VI.3.4 NA.Cant. accid x Prov.)"/>
      <sheetName val="VI.3.5 NA.Cant. accid x Proced."/>
      <sheetName val="VI.3.6 Accid x activ. econ."/>
      <sheetName val=" VI.3.7 Accid x ocupación"/>
      <sheetName val=" VI.3.8 NA.Cant. accid x sector"/>
      <sheetName val="VI.3.10 Accid x sexo"/>
      <sheetName val="VI.3.14 Accid x Escolaridad"/>
      <sheetName val="VI.3.9 Accid x sector "/>
      <sheetName val="VI.3.11 Accid x sexo "/>
      <sheetName val="VI.3.12 Accid x rango de edad"/>
      <sheetName val="VI.3.13 Accid x edad"/>
      <sheetName val="VI.3.16 EC. Accid. Lab"/>
      <sheetName val="VI.3.15 EC. Accid. Lab."/>
      <sheetName val="VI.3.17 EC. Accid. Lab x tipo"/>
      <sheetName val="VI.3.18 EC. Accid. Lab x Lesión"/>
      <sheetName val="VI.3.19 Accid.Lab suceso"/>
      <sheetName val="VI.3.20 EC. x mecanismo causal"/>
      <sheetName val="VI.3.21 EC. x Agente daño"/>
      <sheetName val="VI.3.22 EC. x  lugar de accid."/>
      <sheetName val="VI.3.23 Exped. Calif. x antig."/>
      <sheetName val="VI.3.24 EC. Accid incapac."/>
      <sheetName val="VI.3.25 EC. Enferm. Prof (R)"/>
      <sheetName val="VI.3.26 EC. Accid Lab.(R)"/>
      <sheetName val="VI.3.27. Accid. Aprobxtipo"/>
      <sheetName val="VI.3.28. Accid. Aprob xLesión "/>
      <sheetName val="VI.3.29 Accid.Aprob Según suc."/>
      <sheetName val="VI.3.30 Pagos de ARLSS"/>
      <sheetName val="VI.4.1 Prest. econ. SRL"/>
      <sheetName val="VI.4.2 Gastos med. ARL"/>
      <sheetName val="VI.4.3 Gastos prevenc. riesgos"/>
      <sheetName val="VI.4.4 Pensión sobrev. ARL"/>
      <sheetName val="VI.4.5 Pensión discap ARL"/>
      <sheetName val="VI.4.6 Discap. temporal ARL"/>
      <sheetName val="VI.4.7 Indemniz.ARL"/>
      <sheetName val="VI.4.8 Remuneración SRL"/>
      <sheetName val="VI.4.9 Beneficios SRL"/>
      <sheetName val="CMNR"/>
      <sheetName val="VII.1 CMR"/>
      <sheetName val="VII.1 CMR "/>
      <sheetName val="VII.1 CMR (2)"/>
      <sheetName val="Status"/>
      <sheetName val="Apelaciones1"/>
      <sheetName val="Apelaciones2"/>
      <sheetName val="Por Entidad Receptora Origen"/>
      <sheetName val="VIII.1 Sol.Pensiones"/>
      <sheetName val="VIII.2 Sol.Ent.Sal."/>
      <sheetName val="VIII.3 Sol.Realiz.Entid."/>
      <sheetName val="Hoja2"/>
      <sheetName val="Hoja4"/>
      <sheetName val="Hoja5"/>
      <sheetName val="Hoja6"/>
    </sheetNames>
    <sheetDataSet>
      <sheetData sheetId="0"/>
      <sheetData sheetId="1"/>
      <sheetData sheetId="2"/>
      <sheetData sheetId="3"/>
      <sheetData sheetId="4"/>
      <sheetData sheetId="5"/>
      <sheetData sheetId="6"/>
      <sheetData sheetId="7"/>
      <sheetData sheetId="8"/>
      <sheetData sheetId="9">
        <row r="4">
          <cell r="E4">
            <v>8742318</v>
          </cell>
        </row>
        <row r="5">
          <cell r="E5">
            <v>8855026</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row r="14">
          <cell r="B14">
            <v>2881130</v>
          </cell>
        </row>
      </sheetData>
      <sheetData sheetId="97"/>
      <sheetData sheetId="98"/>
      <sheetData sheetId="99">
        <row r="15">
          <cell r="D15">
            <v>3069900</v>
          </cell>
        </row>
      </sheetData>
      <sheetData sheetId="100"/>
      <sheetData sheetId="101"/>
      <sheetData sheetId="102"/>
      <sheetData sheetId="103">
        <row r="5">
          <cell r="J5">
            <v>1508392</v>
          </cell>
        </row>
      </sheetData>
      <sheetData sheetId="104"/>
      <sheetData sheetId="105"/>
      <sheetData sheetId="106"/>
      <sheetData sheetId="107"/>
      <sheetData sheetId="108"/>
      <sheetData sheetId="109">
        <row r="15">
          <cell r="A15" t="str">
            <v>2014</v>
          </cell>
        </row>
      </sheetData>
      <sheetData sheetId="110">
        <row r="15">
          <cell r="A15" t="str">
            <v>2014</v>
          </cell>
        </row>
      </sheetData>
      <sheetData sheetId="111"/>
      <sheetData sheetId="112"/>
      <sheetData sheetId="113"/>
      <sheetData sheetId="114"/>
      <sheetData sheetId="115"/>
      <sheetData sheetId="116"/>
      <sheetData sheetId="117"/>
      <sheetData sheetId="118"/>
      <sheetData sheetId="119"/>
      <sheetData sheetId="120"/>
      <sheetData sheetId="121">
        <row r="45">
          <cell r="B45">
            <v>0.132289709655253</v>
          </cell>
        </row>
      </sheetData>
      <sheetData sheetId="122"/>
      <sheetData sheetId="123"/>
      <sheetData sheetId="124">
        <row r="10">
          <cell r="D10">
            <v>1651202</v>
          </cell>
        </row>
      </sheetData>
      <sheetData sheetId="125"/>
      <sheetData sheetId="126"/>
      <sheetData sheetId="127"/>
      <sheetData sheetId="128"/>
      <sheetData sheetId="129">
        <row r="12">
          <cell r="D12">
            <v>26688</v>
          </cell>
        </row>
      </sheetData>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2" Type="http://schemas.openxmlformats.org/officeDocument/2006/relationships/drawing" Target="../drawings/drawing140.xml"/><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2" Type="http://schemas.openxmlformats.org/officeDocument/2006/relationships/drawing" Target="../drawings/drawing141.xml"/><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2" Type="http://schemas.openxmlformats.org/officeDocument/2006/relationships/drawing" Target="../drawings/drawing142.xml"/><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2" Type="http://schemas.openxmlformats.org/officeDocument/2006/relationships/drawing" Target="../drawings/drawing143.xml"/><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2" Type="http://schemas.openxmlformats.org/officeDocument/2006/relationships/drawing" Target="../drawings/drawing144.xml"/><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2" Type="http://schemas.openxmlformats.org/officeDocument/2006/relationships/drawing" Target="../drawings/drawing145.xml"/><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2" Type="http://schemas.openxmlformats.org/officeDocument/2006/relationships/drawing" Target="../drawings/drawing146.xml"/><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2" Type="http://schemas.openxmlformats.org/officeDocument/2006/relationships/drawing" Target="../drawings/drawing147.xml"/><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2" Type="http://schemas.openxmlformats.org/officeDocument/2006/relationships/drawing" Target="../drawings/drawing149.xml"/><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2" Type="http://schemas.openxmlformats.org/officeDocument/2006/relationships/drawing" Target="../drawings/drawing150.xml"/><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2" Type="http://schemas.openxmlformats.org/officeDocument/2006/relationships/drawing" Target="../drawings/drawing151.xml"/><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2" Type="http://schemas.openxmlformats.org/officeDocument/2006/relationships/drawing" Target="../drawings/drawing152.xml"/><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2" Type="http://schemas.openxmlformats.org/officeDocument/2006/relationships/drawing" Target="../drawings/drawing153.xml"/><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2" Type="http://schemas.openxmlformats.org/officeDocument/2006/relationships/drawing" Target="../drawings/drawing154.xml"/><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2" Type="http://schemas.openxmlformats.org/officeDocument/2006/relationships/drawing" Target="../drawings/drawing155.xml"/><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2" Type="http://schemas.openxmlformats.org/officeDocument/2006/relationships/drawing" Target="../drawings/drawing156.xml"/><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2" Type="http://schemas.openxmlformats.org/officeDocument/2006/relationships/drawing" Target="../drawings/drawing157.xml"/><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2" Type="http://schemas.openxmlformats.org/officeDocument/2006/relationships/drawing" Target="../drawings/drawing158.xml"/><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2" Type="http://schemas.openxmlformats.org/officeDocument/2006/relationships/drawing" Target="../drawings/drawing159.xml"/><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2" Type="http://schemas.openxmlformats.org/officeDocument/2006/relationships/drawing" Target="../drawings/drawing160.xml"/><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2" Type="http://schemas.openxmlformats.org/officeDocument/2006/relationships/drawing" Target="../drawings/drawing161.xml"/><Relationship Id="rId1" Type="http://schemas.openxmlformats.org/officeDocument/2006/relationships/printerSettings" Target="../printerSettings/printerSettings120.bin"/></Relationships>
</file>

<file path=xl/worksheets/_rels/sheet121.xml.rels><?xml version="1.0" encoding="UTF-8" standalone="yes"?>
<Relationships xmlns="http://schemas.openxmlformats.org/package/2006/relationships"><Relationship Id="rId2" Type="http://schemas.openxmlformats.org/officeDocument/2006/relationships/drawing" Target="../drawings/drawing162.xml"/><Relationship Id="rId1" Type="http://schemas.openxmlformats.org/officeDocument/2006/relationships/printerSettings" Target="../printerSettings/printerSettings121.bin"/></Relationships>
</file>

<file path=xl/worksheets/_rels/sheet122.xml.rels><?xml version="1.0" encoding="UTF-8" standalone="yes"?>
<Relationships xmlns="http://schemas.openxmlformats.org/package/2006/relationships"><Relationship Id="rId2" Type="http://schemas.openxmlformats.org/officeDocument/2006/relationships/drawing" Target="../drawings/drawing163.xml"/><Relationship Id="rId1" Type="http://schemas.openxmlformats.org/officeDocument/2006/relationships/printerSettings" Target="../printerSettings/printerSettings122.bin"/></Relationships>
</file>

<file path=xl/worksheets/_rels/sheet123.xml.rels><?xml version="1.0" encoding="UTF-8" standalone="yes"?>
<Relationships xmlns="http://schemas.openxmlformats.org/package/2006/relationships"><Relationship Id="rId2" Type="http://schemas.openxmlformats.org/officeDocument/2006/relationships/drawing" Target="../drawings/drawing164.xml"/><Relationship Id="rId1" Type="http://schemas.openxmlformats.org/officeDocument/2006/relationships/printerSettings" Target="../printerSettings/printerSettings123.bin"/></Relationships>
</file>

<file path=xl/worksheets/_rels/sheet124.xml.rels><?xml version="1.0" encoding="UTF-8" standalone="yes"?>
<Relationships xmlns="http://schemas.openxmlformats.org/package/2006/relationships"><Relationship Id="rId2" Type="http://schemas.openxmlformats.org/officeDocument/2006/relationships/drawing" Target="../drawings/drawing165.xml"/><Relationship Id="rId1" Type="http://schemas.openxmlformats.org/officeDocument/2006/relationships/printerSettings" Target="../printerSettings/printerSettings124.bin"/></Relationships>
</file>

<file path=xl/worksheets/_rels/sheet125.xml.rels><?xml version="1.0" encoding="UTF-8" standalone="yes"?>
<Relationships xmlns="http://schemas.openxmlformats.org/package/2006/relationships"><Relationship Id="rId2" Type="http://schemas.openxmlformats.org/officeDocument/2006/relationships/drawing" Target="../drawings/drawing166.xml"/><Relationship Id="rId1" Type="http://schemas.openxmlformats.org/officeDocument/2006/relationships/printerSettings" Target="../printerSettings/printerSettings125.bin"/></Relationships>
</file>

<file path=xl/worksheets/_rels/sheet126.xml.rels><?xml version="1.0" encoding="UTF-8" standalone="yes"?>
<Relationships xmlns="http://schemas.openxmlformats.org/package/2006/relationships"><Relationship Id="rId2" Type="http://schemas.openxmlformats.org/officeDocument/2006/relationships/drawing" Target="../drawings/drawing168.xml"/><Relationship Id="rId1" Type="http://schemas.openxmlformats.org/officeDocument/2006/relationships/printerSettings" Target="../printerSettings/printerSettings126.bin"/></Relationships>
</file>

<file path=xl/worksheets/_rels/sheet127.xml.rels><?xml version="1.0" encoding="UTF-8" standalone="yes"?>
<Relationships xmlns="http://schemas.openxmlformats.org/package/2006/relationships"><Relationship Id="rId2" Type="http://schemas.openxmlformats.org/officeDocument/2006/relationships/drawing" Target="../drawings/drawing170.xml"/><Relationship Id="rId1" Type="http://schemas.openxmlformats.org/officeDocument/2006/relationships/printerSettings" Target="../printerSettings/printerSettings127.bin"/></Relationships>
</file>

<file path=xl/worksheets/_rels/sheet128.xml.rels><?xml version="1.0" encoding="UTF-8" standalone="yes"?>
<Relationships xmlns="http://schemas.openxmlformats.org/package/2006/relationships"><Relationship Id="rId2" Type="http://schemas.openxmlformats.org/officeDocument/2006/relationships/drawing" Target="../drawings/drawing172.xml"/><Relationship Id="rId1" Type="http://schemas.openxmlformats.org/officeDocument/2006/relationships/printerSettings" Target="../printerSettings/printerSettings128.bin"/></Relationships>
</file>

<file path=xl/worksheets/_rels/sheet129.xml.rels><?xml version="1.0" encoding="UTF-8" standalone="yes"?>
<Relationships xmlns="http://schemas.openxmlformats.org/package/2006/relationships"><Relationship Id="rId2" Type="http://schemas.openxmlformats.org/officeDocument/2006/relationships/drawing" Target="../drawings/drawing174.xml"/><Relationship Id="rId1" Type="http://schemas.openxmlformats.org/officeDocument/2006/relationships/printerSettings" Target="../printerSettings/printerSettings129.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2" Type="http://schemas.openxmlformats.org/officeDocument/2006/relationships/drawing" Target="../drawings/drawing176.xml"/><Relationship Id="rId1" Type="http://schemas.openxmlformats.org/officeDocument/2006/relationships/printerSettings" Target="../printerSettings/printerSettings130.bin"/></Relationships>
</file>

<file path=xl/worksheets/_rels/sheet131.xml.rels><?xml version="1.0" encoding="UTF-8" standalone="yes"?>
<Relationships xmlns="http://schemas.openxmlformats.org/package/2006/relationships"><Relationship Id="rId2" Type="http://schemas.openxmlformats.org/officeDocument/2006/relationships/drawing" Target="../drawings/drawing178.xml"/><Relationship Id="rId1" Type="http://schemas.openxmlformats.org/officeDocument/2006/relationships/printerSettings" Target="../printerSettings/printerSettings131.bin"/></Relationships>
</file>

<file path=xl/worksheets/_rels/sheet132.xml.rels><?xml version="1.0" encoding="UTF-8" standalone="yes"?>
<Relationships xmlns="http://schemas.openxmlformats.org/package/2006/relationships"><Relationship Id="rId2" Type="http://schemas.openxmlformats.org/officeDocument/2006/relationships/drawing" Target="../drawings/drawing180.xml"/><Relationship Id="rId1" Type="http://schemas.openxmlformats.org/officeDocument/2006/relationships/printerSettings" Target="../printerSettings/printerSettings132.bin"/></Relationships>
</file>

<file path=xl/worksheets/_rels/sheet133.xml.rels><?xml version="1.0" encoding="UTF-8" standalone="yes"?>
<Relationships xmlns="http://schemas.openxmlformats.org/package/2006/relationships"><Relationship Id="rId2" Type="http://schemas.openxmlformats.org/officeDocument/2006/relationships/drawing" Target="../drawings/drawing182.xml"/><Relationship Id="rId1" Type="http://schemas.openxmlformats.org/officeDocument/2006/relationships/printerSettings" Target="../printerSettings/printerSettings133.bin"/></Relationships>
</file>

<file path=xl/worksheets/_rels/sheet134.xml.rels><?xml version="1.0" encoding="UTF-8" standalone="yes"?>
<Relationships xmlns="http://schemas.openxmlformats.org/package/2006/relationships"><Relationship Id="rId2" Type="http://schemas.openxmlformats.org/officeDocument/2006/relationships/drawing" Target="../drawings/drawing184.xml"/><Relationship Id="rId1" Type="http://schemas.openxmlformats.org/officeDocument/2006/relationships/printerSettings" Target="../printerSettings/printerSettings134.bin"/></Relationships>
</file>

<file path=xl/worksheets/_rels/sheet135.xml.rels><?xml version="1.0" encoding="UTF-8" standalone="yes"?>
<Relationships xmlns="http://schemas.openxmlformats.org/package/2006/relationships"><Relationship Id="rId2" Type="http://schemas.openxmlformats.org/officeDocument/2006/relationships/drawing" Target="../drawings/drawing185.xml"/><Relationship Id="rId1" Type="http://schemas.openxmlformats.org/officeDocument/2006/relationships/printerSettings" Target="../printerSettings/printerSettings135.bin"/></Relationships>
</file>

<file path=xl/worksheets/_rels/sheet136.xml.rels><?xml version="1.0" encoding="UTF-8" standalone="yes"?>
<Relationships xmlns="http://schemas.openxmlformats.org/package/2006/relationships"><Relationship Id="rId2" Type="http://schemas.openxmlformats.org/officeDocument/2006/relationships/drawing" Target="../drawings/drawing187.xml"/><Relationship Id="rId1" Type="http://schemas.openxmlformats.org/officeDocument/2006/relationships/printerSettings" Target="../printerSettings/printerSettings136.bin"/></Relationships>
</file>

<file path=xl/worksheets/_rels/sheet137.xml.rels><?xml version="1.0" encoding="UTF-8" standalone="yes"?>
<Relationships xmlns="http://schemas.openxmlformats.org/package/2006/relationships"><Relationship Id="rId2" Type="http://schemas.openxmlformats.org/officeDocument/2006/relationships/drawing" Target="../drawings/drawing188.xml"/><Relationship Id="rId1" Type="http://schemas.openxmlformats.org/officeDocument/2006/relationships/printerSettings" Target="../printerSettings/printerSettings137.bin"/></Relationships>
</file>

<file path=xl/worksheets/_rels/sheet138.xml.rels><?xml version="1.0" encoding="UTF-8" standalone="yes"?>
<Relationships xmlns="http://schemas.openxmlformats.org/package/2006/relationships"><Relationship Id="rId2" Type="http://schemas.openxmlformats.org/officeDocument/2006/relationships/drawing" Target="../drawings/drawing189.xml"/><Relationship Id="rId1" Type="http://schemas.openxmlformats.org/officeDocument/2006/relationships/printerSettings" Target="../printerSettings/printerSettings138.bin"/></Relationships>
</file>

<file path=xl/worksheets/_rels/sheet139.xml.rels><?xml version="1.0" encoding="UTF-8" standalone="yes"?>
<Relationships xmlns="http://schemas.openxmlformats.org/package/2006/relationships"><Relationship Id="rId2" Type="http://schemas.openxmlformats.org/officeDocument/2006/relationships/drawing" Target="../drawings/drawing190.xml"/><Relationship Id="rId1" Type="http://schemas.openxmlformats.org/officeDocument/2006/relationships/printerSettings" Target="../printerSettings/printerSettings139.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4.bin"/></Relationships>
</file>

<file path=xl/worksheets/_rels/sheet140.xml.rels><?xml version="1.0" encoding="UTF-8" standalone="yes"?>
<Relationships xmlns="http://schemas.openxmlformats.org/package/2006/relationships"><Relationship Id="rId2" Type="http://schemas.openxmlformats.org/officeDocument/2006/relationships/drawing" Target="../drawings/drawing191.xml"/><Relationship Id="rId1" Type="http://schemas.openxmlformats.org/officeDocument/2006/relationships/printerSettings" Target="../printerSettings/printerSettings140.bin"/></Relationships>
</file>

<file path=xl/worksheets/_rels/sheet141.xml.rels><?xml version="1.0" encoding="UTF-8" standalone="yes"?>
<Relationships xmlns="http://schemas.openxmlformats.org/package/2006/relationships"><Relationship Id="rId2" Type="http://schemas.openxmlformats.org/officeDocument/2006/relationships/drawing" Target="../drawings/drawing193.xml"/><Relationship Id="rId1" Type="http://schemas.openxmlformats.org/officeDocument/2006/relationships/printerSettings" Target="../printerSettings/printerSettings141.bin"/></Relationships>
</file>

<file path=xl/worksheets/_rels/sheet142.xml.rels><?xml version="1.0" encoding="UTF-8" standalone="yes"?>
<Relationships xmlns="http://schemas.openxmlformats.org/package/2006/relationships"><Relationship Id="rId2" Type="http://schemas.openxmlformats.org/officeDocument/2006/relationships/drawing" Target="../drawings/drawing194.xml"/><Relationship Id="rId1" Type="http://schemas.openxmlformats.org/officeDocument/2006/relationships/printerSettings" Target="../printerSettings/printerSettings142.bin"/></Relationships>
</file>

<file path=xl/worksheets/_rels/sheet143.xml.rels><?xml version="1.0" encoding="UTF-8" standalone="yes"?>
<Relationships xmlns="http://schemas.openxmlformats.org/package/2006/relationships"><Relationship Id="rId2" Type="http://schemas.openxmlformats.org/officeDocument/2006/relationships/drawing" Target="../drawings/drawing196.xml"/><Relationship Id="rId1" Type="http://schemas.openxmlformats.org/officeDocument/2006/relationships/printerSettings" Target="../printerSettings/printerSettings143.bin"/></Relationships>
</file>

<file path=xl/worksheets/_rels/sheet144.xml.rels><?xml version="1.0" encoding="UTF-8" standalone="yes"?>
<Relationships xmlns="http://schemas.openxmlformats.org/package/2006/relationships"><Relationship Id="rId2" Type="http://schemas.openxmlformats.org/officeDocument/2006/relationships/drawing" Target="../drawings/drawing197.xml"/><Relationship Id="rId1" Type="http://schemas.openxmlformats.org/officeDocument/2006/relationships/printerSettings" Target="../printerSettings/printerSettings144.bin"/></Relationships>
</file>

<file path=xl/worksheets/_rels/sheet145.xml.rels><?xml version="1.0" encoding="UTF-8" standalone="yes"?>
<Relationships xmlns="http://schemas.openxmlformats.org/package/2006/relationships"><Relationship Id="rId2" Type="http://schemas.openxmlformats.org/officeDocument/2006/relationships/drawing" Target="../drawings/drawing198.xml"/><Relationship Id="rId1" Type="http://schemas.openxmlformats.org/officeDocument/2006/relationships/printerSettings" Target="../printerSettings/printerSettings145.bin"/></Relationships>
</file>

<file path=xl/worksheets/_rels/sheet146.xml.rels><?xml version="1.0" encoding="UTF-8" standalone="yes"?>
<Relationships xmlns="http://schemas.openxmlformats.org/package/2006/relationships"><Relationship Id="rId2" Type="http://schemas.openxmlformats.org/officeDocument/2006/relationships/drawing" Target="../drawings/drawing199.xml"/><Relationship Id="rId1" Type="http://schemas.openxmlformats.org/officeDocument/2006/relationships/printerSettings" Target="../printerSettings/printerSettings146.bin"/></Relationships>
</file>

<file path=xl/worksheets/_rels/sheet147.xml.rels><?xml version="1.0" encoding="UTF-8" standalone="yes"?>
<Relationships xmlns="http://schemas.openxmlformats.org/package/2006/relationships"><Relationship Id="rId2" Type="http://schemas.openxmlformats.org/officeDocument/2006/relationships/drawing" Target="../drawings/drawing200.xml"/><Relationship Id="rId1" Type="http://schemas.openxmlformats.org/officeDocument/2006/relationships/printerSettings" Target="../printerSettings/printerSettings147.bin"/></Relationships>
</file>

<file path=xl/worksheets/_rels/sheet148.xml.rels><?xml version="1.0" encoding="UTF-8" standalone="yes"?>
<Relationships xmlns="http://schemas.openxmlformats.org/package/2006/relationships"><Relationship Id="rId2" Type="http://schemas.openxmlformats.org/officeDocument/2006/relationships/drawing" Target="../drawings/drawing202.xml"/><Relationship Id="rId1" Type="http://schemas.openxmlformats.org/officeDocument/2006/relationships/printerSettings" Target="../printerSettings/printerSettings148.bin"/></Relationships>
</file>

<file path=xl/worksheets/_rels/sheet149.xml.rels><?xml version="1.0" encoding="UTF-8" standalone="yes"?>
<Relationships xmlns="http://schemas.openxmlformats.org/package/2006/relationships"><Relationship Id="rId2" Type="http://schemas.openxmlformats.org/officeDocument/2006/relationships/drawing" Target="../drawings/drawing204.xml"/><Relationship Id="rId1" Type="http://schemas.openxmlformats.org/officeDocument/2006/relationships/printerSettings" Target="../printerSettings/printerSettings149.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5.bin"/></Relationships>
</file>

<file path=xl/worksheets/_rels/sheet150.xml.rels><?xml version="1.0" encoding="UTF-8" standalone="yes"?>
<Relationships xmlns="http://schemas.openxmlformats.org/package/2006/relationships"><Relationship Id="rId2" Type="http://schemas.openxmlformats.org/officeDocument/2006/relationships/drawing" Target="../drawings/drawing206.xml"/><Relationship Id="rId1" Type="http://schemas.openxmlformats.org/officeDocument/2006/relationships/printerSettings" Target="../printerSettings/printerSettings150.bin"/></Relationships>
</file>

<file path=xl/worksheets/_rels/sheet151.xml.rels><?xml version="1.0" encoding="UTF-8" standalone="yes"?>
<Relationships xmlns="http://schemas.openxmlformats.org/package/2006/relationships"><Relationship Id="rId2" Type="http://schemas.openxmlformats.org/officeDocument/2006/relationships/drawing" Target="../drawings/drawing208.xml"/><Relationship Id="rId1" Type="http://schemas.openxmlformats.org/officeDocument/2006/relationships/printerSettings" Target="../printerSettings/printerSettings151.bin"/></Relationships>
</file>

<file path=xl/worksheets/_rels/sheet152.xml.rels><?xml version="1.0" encoding="UTF-8" standalone="yes"?>
<Relationships xmlns="http://schemas.openxmlformats.org/package/2006/relationships"><Relationship Id="rId2" Type="http://schemas.openxmlformats.org/officeDocument/2006/relationships/drawing" Target="../drawings/drawing209.xml"/><Relationship Id="rId1" Type="http://schemas.openxmlformats.org/officeDocument/2006/relationships/printerSettings" Target="../printerSettings/printerSettings152.bin"/></Relationships>
</file>

<file path=xl/worksheets/_rels/sheet153.xml.rels><?xml version="1.0" encoding="UTF-8" standalone="yes"?>
<Relationships xmlns="http://schemas.openxmlformats.org/package/2006/relationships"><Relationship Id="rId2" Type="http://schemas.openxmlformats.org/officeDocument/2006/relationships/drawing" Target="../drawings/drawing211.xml"/><Relationship Id="rId1" Type="http://schemas.openxmlformats.org/officeDocument/2006/relationships/printerSettings" Target="../printerSettings/printerSettings153.bin"/></Relationships>
</file>

<file path=xl/worksheets/_rels/sheet154.xml.rels><?xml version="1.0" encoding="UTF-8" standalone="yes"?>
<Relationships xmlns="http://schemas.openxmlformats.org/package/2006/relationships"><Relationship Id="rId2" Type="http://schemas.openxmlformats.org/officeDocument/2006/relationships/drawing" Target="../drawings/drawing213.xml"/><Relationship Id="rId1" Type="http://schemas.openxmlformats.org/officeDocument/2006/relationships/printerSettings" Target="../printerSettings/printerSettings154.bin"/></Relationships>
</file>

<file path=xl/worksheets/_rels/sheet155.xml.rels><?xml version="1.0" encoding="UTF-8" standalone="yes"?>
<Relationships xmlns="http://schemas.openxmlformats.org/package/2006/relationships"><Relationship Id="rId2" Type="http://schemas.openxmlformats.org/officeDocument/2006/relationships/drawing" Target="../drawings/drawing215.xml"/><Relationship Id="rId1" Type="http://schemas.openxmlformats.org/officeDocument/2006/relationships/printerSettings" Target="../printerSettings/printerSettings155.bin"/></Relationships>
</file>

<file path=xl/worksheets/_rels/sheet156.xml.rels><?xml version="1.0" encoding="UTF-8" standalone="yes"?>
<Relationships xmlns="http://schemas.openxmlformats.org/package/2006/relationships"><Relationship Id="rId2" Type="http://schemas.openxmlformats.org/officeDocument/2006/relationships/drawing" Target="../drawings/drawing216.xml"/><Relationship Id="rId1" Type="http://schemas.openxmlformats.org/officeDocument/2006/relationships/printerSettings" Target="../printerSettings/printerSettings156.bin"/></Relationships>
</file>

<file path=xl/worksheets/_rels/sheet157.xml.rels><?xml version="1.0" encoding="UTF-8" standalone="yes"?>
<Relationships xmlns="http://schemas.openxmlformats.org/package/2006/relationships"><Relationship Id="rId2" Type="http://schemas.openxmlformats.org/officeDocument/2006/relationships/drawing" Target="../drawings/drawing217.xml"/><Relationship Id="rId1" Type="http://schemas.openxmlformats.org/officeDocument/2006/relationships/printerSettings" Target="../printerSettings/printerSettings157.bin"/></Relationships>
</file>

<file path=xl/worksheets/_rels/sheet158.xml.rels><?xml version="1.0" encoding="UTF-8" standalone="yes"?>
<Relationships xmlns="http://schemas.openxmlformats.org/package/2006/relationships"><Relationship Id="rId2" Type="http://schemas.openxmlformats.org/officeDocument/2006/relationships/drawing" Target="../drawings/drawing219.xml"/><Relationship Id="rId1" Type="http://schemas.openxmlformats.org/officeDocument/2006/relationships/printerSettings" Target="../printerSettings/printerSettings158.bin"/></Relationships>
</file>

<file path=xl/worksheets/_rels/sheet159.xml.rels><?xml version="1.0" encoding="UTF-8" standalone="yes"?>
<Relationships xmlns="http://schemas.openxmlformats.org/package/2006/relationships"><Relationship Id="rId2" Type="http://schemas.openxmlformats.org/officeDocument/2006/relationships/drawing" Target="../drawings/drawing220.xml"/><Relationship Id="rId1" Type="http://schemas.openxmlformats.org/officeDocument/2006/relationships/printerSettings" Target="../printerSettings/printerSettings159.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84.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86.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88.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90.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91.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92.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93.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94.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96.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98.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99.x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100.x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101.x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103.x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105.x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107.x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109.x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110.xml"/><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111.x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113.xml"/><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115.xml"/><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117.xml"/><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118.xml"/><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119.xml"/><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21.xml"/><Relationship Id="rId1" Type="http://schemas.openxmlformats.org/officeDocument/2006/relationships/printerSettings" Target="../printerSettings/printerSettings87.bin"/><Relationship Id="rId4" Type="http://schemas.openxmlformats.org/officeDocument/2006/relationships/comments" Target="../comments1.xml"/></Relationships>
</file>

<file path=xl/worksheets/_rels/sheet88.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23.xml"/><Relationship Id="rId1" Type="http://schemas.openxmlformats.org/officeDocument/2006/relationships/printerSettings" Target="../printerSettings/printerSettings88.bin"/><Relationship Id="rId4" Type="http://schemas.openxmlformats.org/officeDocument/2006/relationships/comments" Target="../comments2.xml"/></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124.xml"/><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126.xml"/><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127.xml"/><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128.xml"/><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130.xml"/><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2" Type="http://schemas.openxmlformats.org/officeDocument/2006/relationships/drawing" Target="../drawings/drawing132.xml"/><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2" Type="http://schemas.openxmlformats.org/officeDocument/2006/relationships/drawing" Target="../drawings/drawing133.xml"/><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2" Type="http://schemas.openxmlformats.org/officeDocument/2006/relationships/drawing" Target="../drawings/drawing135.xml"/><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2" Type="http://schemas.openxmlformats.org/officeDocument/2006/relationships/drawing" Target="../drawings/drawing137.xml"/><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2" Type="http://schemas.openxmlformats.org/officeDocument/2006/relationships/drawing" Target="../drawings/drawing138.xml"/><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2" Type="http://schemas.openxmlformats.org/officeDocument/2006/relationships/drawing" Target="../drawings/drawing139.xml"/><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tabColor rgb="FFFF0000"/>
    <pageSetUpPr fitToPage="1"/>
  </sheetPr>
  <dimension ref="A1"/>
  <sheetViews>
    <sheetView showGridLines="0" tabSelected="1" view="pageBreakPreview" zoomScale="40" zoomScaleNormal="100" zoomScaleSheetLayoutView="40" workbookViewId="0">
      <selection activeCell="R53" sqref="R53"/>
    </sheetView>
  </sheetViews>
  <sheetFormatPr baseColWidth="10" defaultColWidth="15.140625" defaultRowHeight="15"/>
  <cols>
    <col min="1" max="1" width="17.28515625" style="77" customWidth="1"/>
    <col min="2" max="5" width="15.140625" style="77"/>
    <col min="6" max="6" width="22.28515625" style="77" customWidth="1"/>
    <col min="7" max="7" width="15.140625" style="77"/>
    <col min="8" max="8" width="19.85546875" style="77" customWidth="1"/>
    <col min="9" max="9" width="15.140625" style="77"/>
    <col min="10" max="10" width="24.140625" style="77" customWidth="1"/>
    <col min="11" max="11" width="24.28515625" style="77" customWidth="1"/>
    <col min="12" max="12" width="23.28515625" style="77" customWidth="1"/>
    <col min="13" max="13" width="27" style="77" customWidth="1"/>
    <col min="14" max="16384" width="15.140625" style="77"/>
  </cols>
  <sheetData>
    <row r="1" ht="42" customHeight="1"/>
  </sheetData>
  <pageMargins left="0.7" right="0.7" top="0.75" bottom="0.75" header="0.3" footer="0.3"/>
  <pageSetup scale="36"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tabColor theme="9" tint="-0.499984740745262"/>
    <pageSetUpPr fitToPage="1"/>
  </sheetPr>
  <dimension ref="A2:P37"/>
  <sheetViews>
    <sheetView showGridLines="0" view="pageBreakPreview" zoomScale="70" zoomScaleNormal="85" zoomScaleSheetLayoutView="70" workbookViewId="0">
      <selection activeCell="L3" sqref="L3"/>
    </sheetView>
  </sheetViews>
  <sheetFormatPr baseColWidth="10" defaultColWidth="11.42578125" defaultRowHeight="45.75" customHeight="1"/>
  <cols>
    <col min="1" max="1" width="11" style="985" customWidth="1"/>
    <col min="2" max="2" width="12.42578125" style="985" customWidth="1"/>
    <col min="3" max="3" width="10.85546875" style="985" customWidth="1"/>
    <col min="4" max="4" width="15.140625" style="985" customWidth="1"/>
    <col min="5" max="5" width="14.140625" style="985" customWidth="1"/>
    <col min="6" max="6" width="13.7109375" style="985" customWidth="1"/>
    <col min="7" max="7" width="12.85546875" style="985" customWidth="1"/>
    <col min="8" max="8" width="16.5703125" style="985" customWidth="1"/>
    <col min="9" max="9" width="15.28515625" style="985" customWidth="1"/>
    <col min="10" max="10" width="20.5703125" style="985" customWidth="1"/>
    <col min="11" max="11" width="17.85546875" style="985" customWidth="1"/>
    <col min="12" max="12" width="13.28515625" style="985" bestFit="1" customWidth="1"/>
    <col min="13" max="13" width="18.85546875" style="985" customWidth="1"/>
    <col min="14" max="14" width="14.7109375" style="985" customWidth="1"/>
    <col min="15" max="15" width="1.140625" style="985" customWidth="1"/>
    <col min="16" max="16" width="11" style="985" customWidth="1"/>
    <col min="17" max="16384" width="11.42578125" style="985"/>
  </cols>
  <sheetData>
    <row r="2" spans="1:16" s="45" customFormat="1" ht="36.75" customHeight="1">
      <c r="A2" s="2017" t="s">
        <v>466</v>
      </c>
      <c r="B2" s="2017"/>
      <c r="C2" s="2017"/>
      <c r="D2" s="2017"/>
      <c r="E2" s="2017"/>
      <c r="F2" s="2017"/>
      <c r="G2" s="2017"/>
      <c r="H2" s="2017"/>
      <c r="I2" s="2017"/>
      <c r="J2" s="2017"/>
      <c r="K2" s="2017"/>
      <c r="P2" s="1050"/>
    </row>
    <row r="3" spans="1:16" s="292" customFormat="1" ht="48.75" customHeight="1">
      <c r="A3" s="766" t="s">
        <v>25</v>
      </c>
      <c r="B3" s="766" t="s">
        <v>216</v>
      </c>
      <c r="C3" s="770" t="s">
        <v>225</v>
      </c>
      <c r="D3" s="770" t="s">
        <v>226</v>
      </c>
      <c r="E3" s="1116" t="s">
        <v>161</v>
      </c>
      <c r="F3" s="770" t="s">
        <v>227</v>
      </c>
      <c r="G3" s="770" t="s">
        <v>228</v>
      </c>
      <c r="H3" s="770" t="s">
        <v>229</v>
      </c>
      <c r="I3" s="1116" t="s">
        <v>162</v>
      </c>
      <c r="J3" s="771" t="s">
        <v>230</v>
      </c>
      <c r="K3" s="290"/>
      <c r="L3" s="291"/>
    </row>
    <row r="4" spans="1:16" ht="15.75">
      <c r="A4" s="767" t="s">
        <v>483</v>
      </c>
      <c r="B4" s="1153">
        <v>41379</v>
      </c>
      <c r="C4" s="1154">
        <v>304</v>
      </c>
      <c r="D4" s="1154">
        <v>74</v>
      </c>
      <c r="E4" s="1155">
        <f t="shared" ref="E4:E10" si="0">+D4+C4+B4</f>
        <v>41757</v>
      </c>
      <c r="F4" s="1156">
        <v>863333</v>
      </c>
      <c r="G4" s="1156">
        <v>123254</v>
      </c>
      <c r="H4" s="1156">
        <v>201642</v>
      </c>
      <c r="I4" s="1155">
        <f t="shared" ref="I4:I11" si="1">+H4+G4+F4</f>
        <v>1188229</v>
      </c>
      <c r="J4" s="1157">
        <f>I4/E4</f>
        <v>28.455803817324043</v>
      </c>
      <c r="K4" s="173"/>
      <c r="L4" s="173"/>
      <c r="M4" s="173"/>
      <c r="N4" s="984"/>
      <c r="P4" s="1061"/>
    </row>
    <row r="5" spans="1:16" ht="15.75">
      <c r="A5" s="768" t="s">
        <v>420</v>
      </c>
      <c r="B5" s="1158">
        <v>41179</v>
      </c>
      <c r="C5" s="1159">
        <v>412</v>
      </c>
      <c r="D5" s="1159">
        <v>80</v>
      </c>
      <c r="E5" s="1160">
        <f t="shared" si="0"/>
        <v>41671</v>
      </c>
      <c r="F5" s="1161">
        <v>869750</v>
      </c>
      <c r="G5" s="1161">
        <v>148220</v>
      </c>
      <c r="H5" s="1161">
        <v>209755</v>
      </c>
      <c r="I5" s="1160">
        <f t="shared" si="1"/>
        <v>1227725</v>
      </c>
      <c r="J5" s="1162">
        <f t="shared" ref="J5:J10" si="2">I5/E5</f>
        <v>29.462335917064625</v>
      </c>
      <c r="K5" s="107"/>
      <c r="L5" s="156"/>
      <c r="M5" s="210"/>
      <c r="N5" s="984"/>
      <c r="P5" s="1061"/>
    </row>
    <row r="6" spans="1:16" ht="13.5" customHeight="1">
      <c r="A6" s="768" t="s">
        <v>421</v>
      </c>
      <c r="B6" s="1158">
        <v>43682</v>
      </c>
      <c r="C6" s="1159">
        <v>418</v>
      </c>
      <c r="D6" s="1159">
        <v>79</v>
      </c>
      <c r="E6" s="1160">
        <f t="shared" si="0"/>
        <v>44179</v>
      </c>
      <c r="F6" s="1161">
        <v>943828</v>
      </c>
      <c r="G6" s="1161">
        <v>136553</v>
      </c>
      <c r="H6" s="1161">
        <v>218706</v>
      </c>
      <c r="I6" s="1160">
        <f t="shared" si="1"/>
        <v>1299087</v>
      </c>
      <c r="J6" s="1162">
        <f t="shared" si="2"/>
        <v>29.405079336336268</v>
      </c>
      <c r="K6" s="986"/>
      <c r="L6" s="156"/>
      <c r="M6" s="173"/>
      <c r="N6" s="984"/>
      <c r="P6" s="1061"/>
    </row>
    <row r="7" spans="1:16" ht="15" customHeight="1">
      <c r="A7" s="768" t="s">
        <v>422</v>
      </c>
      <c r="B7" s="1158">
        <v>46674</v>
      </c>
      <c r="C7" s="1159">
        <v>469</v>
      </c>
      <c r="D7" s="1159">
        <v>79</v>
      </c>
      <c r="E7" s="1160">
        <f t="shared" si="0"/>
        <v>47222</v>
      </c>
      <c r="F7" s="1161">
        <v>996469</v>
      </c>
      <c r="G7" s="1161">
        <v>142319</v>
      </c>
      <c r="H7" s="1161">
        <v>225133</v>
      </c>
      <c r="I7" s="1160">
        <f t="shared" si="1"/>
        <v>1363921</v>
      </c>
      <c r="J7" s="1162">
        <f t="shared" si="2"/>
        <v>28.883168861971114</v>
      </c>
      <c r="K7" s="986"/>
      <c r="L7" s="173"/>
      <c r="M7" s="158" t="s">
        <v>31</v>
      </c>
      <c r="N7" s="984"/>
      <c r="P7" s="1061"/>
    </row>
    <row r="8" spans="1:16" ht="13.5" customHeight="1">
      <c r="A8" s="768" t="s">
        <v>484</v>
      </c>
      <c r="B8" s="1158">
        <v>50784</v>
      </c>
      <c r="C8" s="1159">
        <v>488</v>
      </c>
      <c r="D8" s="1159">
        <v>79</v>
      </c>
      <c r="E8" s="1160">
        <f t="shared" si="0"/>
        <v>51351</v>
      </c>
      <c r="F8" s="1163">
        <v>1035050</v>
      </c>
      <c r="G8" s="1163">
        <v>156354</v>
      </c>
      <c r="H8" s="1163">
        <v>236498</v>
      </c>
      <c r="I8" s="1160">
        <f t="shared" si="1"/>
        <v>1427902</v>
      </c>
      <c r="J8" s="1162">
        <f t="shared" si="2"/>
        <v>27.806702887967127</v>
      </c>
      <c r="K8" s="156"/>
      <c r="M8" s="158"/>
      <c r="P8" s="1061"/>
    </row>
    <row r="9" spans="1:16" ht="15" customHeight="1">
      <c r="A9" s="768" t="s">
        <v>541</v>
      </c>
      <c r="B9" s="1158">
        <v>58768</v>
      </c>
      <c r="C9" s="1159">
        <v>489</v>
      </c>
      <c r="D9" s="1159">
        <v>78</v>
      </c>
      <c r="E9" s="1160">
        <f t="shared" si="0"/>
        <v>59335</v>
      </c>
      <c r="F9" s="1163">
        <v>1110841</v>
      </c>
      <c r="G9" s="1163">
        <v>166811</v>
      </c>
      <c r="H9" s="1163">
        <v>249006</v>
      </c>
      <c r="I9" s="1160">
        <f t="shared" si="1"/>
        <v>1526658</v>
      </c>
      <c r="J9" s="1162">
        <f t="shared" si="2"/>
        <v>25.729468273363107</v>
      </c>
      <c r="K9" s="156"/>
      <c r="P9" s="1061"/>
    </row>
    <row r="10" spans="1:16" ht="15" customHeight="1">
      <c r="A10" s="768" t="s">
        <v>574</v>
      </c>
      <c r="B10" s="1158">
        <v>65073</v>
      </c>
      <c r="C10" s="1159">
        <v>519</v>
      </c>
      <c r="D10" s="1159">
        <v>74</v>
      </c>
      <c r="E10" s="1160">
        <f t="shared" si="0"/>
        <v>65666</v>
      </c>
      <c r="F10" s="1163">
        <v>1193568</v>
      </c>
      <c r="G10" s="1163">
        <v>176595</v>
      </c>
      <c r="H10" s="1163">
        <v>281039</v>
      </c>
      <c r="I10" s="1160">
        <f t="shared" si="1"/>
        <v>1651202</v>
      </c>
      <c r="J10" s="1162">
        <f t="shared" si="2"/>
        <v>25.145463405719855</v>
      </c>
      <c r="K10" s="156"/>
      <c r="P10" s="1061"/>
    </row>
    <row r="11" spans="1:16" ht="13.5" customHeight="1">
      <c r="A11" s="769" t="s">
        <v>1002</v>
      </c>
      <c r="B11" s="1650">
        <v>69153</v>
      </c>
      <c r="C11" s="1651">
        <v>541</v>
      </c>
      <c r="D11" s="1651">
        <v>73</v>
      </c>
      <c r="E11" s="1538">
        <f>+D11+C11+B11</f>
        <v>69767</v>
      </c>
      <c r="F11" s="1652">
        <v>1263247</v>
      </c>
      <c r="G11" s="1652">
        <v>185821</v>
      </c>
      <c r="H11" s="1652">
        <v>301621</v>
      </c>
      <c r="I11" s="1538">
        <f t="shared" si="1"/>
        <v>1750689</v>
      </c>
      <c r="J11" s="1297">
        <f>I11/E11</f>
        <v>25.093367924663522</v>
      </c>
      <c r="K11" s="984"/>
      <c r="M11" s="45"/>
    </row>
    <row r="12" spans="1:16" ht="19.5" customHeight="1">
      <c r="A12" s="107"/>
      <c r="B12" s="987"/>
      <c r="C12" s="987"/>
      <c r="D12" s="987"/>
      <c r="E12" s="107"/>
      <c r="F12" s="988"/>
      <c r="G12" s="988"/>
      <c r="H12" s="988"/>
      <c r="O12" s="1049"/>
      <c r="P12" s="1518"/>
    </row>
    <row r="13" spans="1:16" ht="19.5" customHeight="1">
      <c r="P13" s="1519"/>
    </row>
    <row r="14" spans="1:16" ht="19.5" customHeight="1">
      <c r="L14" s="159"/>
      <c r="M14" s="160"/>
      <c r="P14" s="1518"/>
    </row>
    <row r="15" spans="1:16" ht="19.5" customHeight="1">
      <c r="L15" s="159"/>
      <c r="M15" s="159"/>
      <c r="P15" s="45"/>
    </row>
    <row r="16" spans="1:16" ht="19.5" customHeight="1">
      <c r="M16" s="159"/>
    </row>
    <row r="17" spans="12:16" ht="19.5" customHeight="1">
      <c r="M17" s="159"/>
      <c r="P17" s="45"/>
    </row>
    <row r="18" spans="12:16" ht="19.5" customHeight="1">
      <c r="L18" s="158"/>
      <c r="M18" s="159"/>
      <c r="P18" s="45"/>
    </row>
    <row r="19" spans="12:16" ht="19.5" customHeight="1">
      <c r="L19" s="158"/>
      <c r="P19" s="45"/>
    </row>
    <row r="20" spans="12:16" ht="19.5" customHeight="1">
      <c r="L20" s="158"/>
      <c r="P20" s="45"/>
    </row>
    <row r="21" spans="12:16" ht="19.5" customHeight="1">
      <c r="P21" s="45"/>
    </row>
    <row r="22" spans="12:16" ht="19.5" customHeight="1">
      <c r="P22" s="45"/>
    </row>
    <row r="23" spans="12:16" ht="19.5" customHeight="1">
      <c r="L23" s="158"/>
      <c r="P23" s="45"/>
    </row>
    <row r="24" spans="12:16" ht="19.5" customHeight="1">
      <c r="P24" s="45"/>
    </row>
    <row r="25" spans="12:16" ht="19.5" customHeight="1">
      <c r="P25" s="45"/>
    </row>
    <row r="26" spans="12:16" ht="19.5" customHeight="1">
      <c r="P26" s="45"/>
    </row>
    <row r="27" spans="12:16" ht="19.5" customHeight="1"/>
    <row r="28" spans="12:16" ht="19.5" customHeight="1"/>
    <row r="29" spans="12:16" ht="19.5" customHeight="1"/>
    <row r="30" spans="12:16" ht="19.5" customHeight="1"/>
    <row r="31" spans="12:16" ht="19.5" customHeight="1"/>
    <row r="32" spans="12:16" ht="19.5" customHeight="1"/>
    <row r="33" ht="19.5" customHeight="1"/>
    <row r="34" ht="19.5" customHeight="1"/>
    <row r="35" ht="19.5" customHeight="1"/>
    <row r="36" ht="19.5" customHeight="1"/>
    <row r="37" ht="19.5" customHeight="1"/>
  </sheetData>
  <mergeCells count="1">
    <mergeCell ref="A2:K2"/>
  </mergeCells>
  <printOptions horizontalCentered="1" verticalCentered="1"/>
  <pageMargins left="0.39370078740157483" right="0.39370078740157483" top="0.23622047244094491" bottom="0.23622047244094491" header="0.31496062992125984" footer="0.31496062992125984"/>
  <pageSetup scale="63" orientation="landscape" r:id="rId1"/>
  <rowBreaks count="1" manualBreakCount="1">
    <brk id="3" max="13" man="1"/>
  </rowBreaks>
  <drawing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2">
    <tabColor rgb="FF00B050"/>
    <pageSetUpPr fitToPage="1"/>
  </sheetPr>
  <dimension ref="M12:P42"/>
  <sheetViews>
    <sheetView showGridLines="0" view="pageBreakPreview" zoomScaleNormal="100" zoomScaleSheetLayoutView="100" workbookViewId="0">
      <selection activeCell="M30" sqref="M30"/>
    </sheetView>
  </sheetViews>
  <sheetFormatPr baseColWidth="10" defaultColWidth="11.42578125" defaultRowHeight="15"/>
  <cols>
    <col min="1" max="6" width="11.42578125" style="77"/>
    <col min="7" max="7" width="9.42578125" style="77" customWidth="1"/>
    <col min="8" max="12" width="11.42578125" style="77"/>
    <col min="13" max="13" width="16.28515625" style="77" bestFit="1" customWidth="1"/>
    <col min="14" max="17" width="11.42578125" style="77"/>
    <col min="18" max="18" width="17.85546875" style="77" customWidth="1"/>
    <col min="19" max="16384" width="11.42578125" style="77"/>
  </cols>
  <sheetData>
    <row r="12" spans="13:13" ht="15.75">
      <c r="M12" s="976"/>
    </row>
    <row r="14" spans="13:13">
      <c r="M14" s="277"/>
    </row>
    <row r="40" spans="14:16">
      <c r="P40" s="156"/>
    </row>
    <row r="41" spans="14:16">
      <c r="P41" s="156"/>
    </row>
    <row r="42" spans="14:16">
      <c r="N42" s="237"/>
    </row>
  </sheetData>
  <pageMargins left="0.7" right="0.7" top="0.75" bottom="0.75" header="0.3" footer="0.3"/>
  <pageSetup scale="99" orientation="landscape" r:id="rId1"/>
  <rowBreaks count="1" manualBreakCount="1">
    <brk id="32" max="13" man="1"/>
  </rowBreaks>
  <drawing r:id="rId2"/>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3">
    <tabColor rgb="FF00B050"/>
    <pageSetUpPr fitToPage="1"/>
  </sheetPr>
  <dimension ref="A1:S57"/>
  <sheetViews>
    <sheetView showGridLines="0" view="pageBreakPreview" zoomScale="55" zoomScaleNormal="70" zoomScaleSheetLayoutView="55" workbookViewId="0">
      <selection activeCell="G11" sqref="G11"/>
    </sheetView>
  </sheetViews>
  <sheetFormatPr baseColWidth="10" defaultColWidth="11.5703125" defaultRowHeight="15"/>
  <cols>
    <col min="1" max="1" width="15.140625" style="879" customWidth="1"/>
    <col min="2" max="2" width="23.85546875" style="879" customWidth="1"/>
    <col min="3" max="3" width="20" style="879" customWidth="1"/>
    <col min="4" max="4" width="27.5703125" style="879" customWidth="1"/>
    <col min="5" max="5" width="20.7109375" style="879" customWidth="1"/>
    <col min="6" max="6" width="35.28515625" style="879" customWidth="1"/>
    <col min="7" max="7" width="33.7109375" style="879" customWidth="1"/>
    <col min="8" max="9" width="31.7109375" style="879" customWidth="1"/>
    <col min="10" max="10" width="30" style="879" customWidth="1"/>
    <col min="11" max="11" width="28.5703125" style="879" customWidth="1"/>
    <col min="12" max="12" width="23.42578125" style="879" customWidth="1"/>
    <col min="13" max="13" width="17" style="879" customWidth="1"/>
    <col min="14" max="14" width="28.7109375" style="879" customWidth="1"/>
    <col min="15" max="15" width="24.7109375" style="879" customWidth="1"/>
    <col min="16" max="16" width="29.7109375" style="879" customWidth="1"/>
    <col min="17" max="17" width="41.42578125" style="879" customWidth="1"/>
    <col min="18" max="18" width="27.5703125" style="879" customWidth="1"/>
    <col min="19" max="19" width="25.42578125" style="879" customWidth="1"/>
    <col min="20" max="16384" width="11.5703125" style="879"/>
  </cols>
  <sheetData>
    <row r="1" spans="1:12" ht="111" customHeight="1">
      <c r="A1" s="2165"/>
      <c r="B1" s="2165"/>
      <c r="C1" s="2165"/>
      <c r="D1" s="2165"/>
      <c r="E1" s="2165"/>
      <c r="F1" s="2165"/>
      <c r="G1" s="2165"/>
      <c r="H1" s="2165"/>
      <c r="I1" s="2165"/>
      <c r="J1" s="2165"/>
    </row>
    <row r="2" spans="1:12" s="881" customFormat="1" ht="3" customHeight="1">
      <c r="A2" s="880"/>
      <c r="B2" s="880"/>
      <c r="C2" s="880"/>
      <c r="D2" s="880"/>
      <c r="E2" s="880"/>
      <c r="F2" s="880"/>
      <c r="G2" s="880"/>
    </row>
    <row r="3" spans="1:12" s="881" customFormat="1" ht="50.25" customHeight="1">
      <c r="A3" s="975" t="s">
        <v>46</v>
      </c>
      <c r="B3" s="1317" t="s">
        <v>766</v>
      </c>
      <c r="C3" s="1356" t="s">
        <v>641</v>
      </c>
      <c r="D3" s="1318" t="s">
        <v>767</v>
      </c>
      <c r="E3" s="882"/>
      <c r="F3" s="880"/>
      <c r="G3" s="880"/>
    </row>
    <row r="4" spans="1:12" s="881" customFormat="1" ht="19.5" customHeight="1">
      <c r="A4" s="1322" t="s">
        <v>749</v>
      </c>
      <c r="B4" s="1357">
        <f t="shared" ref="B4:B14" si="0">+D4/C4</f>
        <v>601</v>
      </c>
      <c r="C4" s="1360">
        <v>2000</v>
      </c>
      <c r="D4" s="1320">
        <v>1202000</v>
      </c>
      <c r="E4" s="885"/>
      <c r="F4" s="880"/>
      <c r="G4" s="880"/>
    </row>
    <row r="5" spans="1:12" s="881" customFormat="1" ht="19.5" customHeight="1">
      <c r="A5" s="1323" t="s">
        <v>420</v>
      </c>
      <c r="B5" s="1358">
        <f t="shared" si="0"/>
        <v>1814</v>
      </c>
      <c r="C5" s="1361">
        <v>2000</v>
      </c>
      <c r="D5" s="1316">
        <v>3628000</v>
      </c>
      <c r="E5" s="886"/>
      <c r="F5" s="880"/>
      <c r="G5" s="880"/>
    </row>
    <row r="6" spans="1:12" s="881" customFormat="1" ht="19.5" customHeight="1">
      <c r="A6" s="1323" t="s">
        <v>750</v>
      </c>
      <c r="B6" s="1358">
        <f t="shared" si="0"/>
        <v>2399</v>
      </c>
      <c r="C6" s="1361">
        <v>2000</v>
      </c>
      <c r="D6" s="1316">
        <v>4798000</v>
      </c>
      <c r="E6" s="886"/>
      <c r="F6" s="880"/>
      <c r="G6" s="880"/>
    </row>
    <row r="7" spans="1:12" s="881" customFormat="1" ht="19.5" customHeight="1">
      <c r="A7" s="1323" t="s">
        <v>421</v>
      </c>
      <c r="B7" s="1358">
        <f t="shared" si="0"/>
        <v>4254</v>
      </c>
      <c r="C7" s="1361">
        <v>2000</v>
      </c>
      <c r="D7" s="1316">
        <v>8508000</v>
      </c>
      <c r="E7" s="886"/>
      <c r="F7" s="880"/>
      <c r="G7" s="880"/>
    </row>
    <row r="8" spans="1:12" s="881" customFormat="1" ht="19.5" customHeight="1">
      <c r="A8" s="1323" t="s">
        <v>559</v>
      </c>
      <c r="B8" s="1358">
        <f t="shared" si="0"/>
        <v>4267</v>
      </c>
      <c r="C8" s="1361">
        <v>2000</v>
      </c>
      <c r="D8" s="1316">
        <v>8534000</v>
      </c>
      <c r="E8" s="886"/>
      <c r="F8" s="880"/>
      <c r="G8" s="880"/>
    </row>
    <row r="9" spans="1:12" s="881" customFormat="1" ht="19.5" customHeight="1">
      <c r="A9" s="1323" t="s">
        <v>422</v>
      </c>
      <c r="B9" s="1358">
        <f t="shared" si="0"/>
        <v>5208</v>
      </c>
      <c r="C9" s="1361">
        <v>2000</v>
      </c>
      <c r="D9" s="1316">
        <v>10416000</v>
      </c>
      <c r="E9" s="886"/>
      <c r="F9" s="880"/>
      <c r="G9" s="880"/>
    </row>
    <row r="10" spans="1:12" s="881" customFormat="1" ht="19.5" customHeight="1">
      <c r="A10" s="1323" t="s">
        <v>462</v>
      </c>
      <c r="B10" s="1358">
        <f t="shared" si="0"/>
        <v>4988</v>
      </c>
      <c r="C10" s="1361">
        <v>2000</v>
      </c>
      <c r="D10" s="1316">
        <v>9976000</v>
      </c>
      <c r="E10" s="886"/>
      <c r="F10" s="880"/>
      <c r="G10" s="880"/>
    </row>
    <row r="11" spans="1:12" s="881" customFormat="1" ht="19.5" customHeight="1">
      <c r="A11" s="1323" t="s">
        <v>484</v>
      </c>
      <c r="B11" s="1358">
        <f t="shared" si="0"/>
        <v>5894</v>
      </c>
      <c r="C11" s="1361">
        <v>2000</v>
      </c>
      <c r="D11" s="1316">
        <v>11788000</v>
      </c>
      <c r="E11" s="886"/>
      <c r="F11" s="880"/>
      <c r="G11" s="880"/>
    </row>
    <row r="12" spans="1:12" s="881" customFormat="1" ht="19.5" customHeight="1">
      <c r="A12" s="1323" t="s">
        <v>558</v>
      </c>
      <c r="B12" s="1358">
        <f t="shared" si="0"/>
        <v>5527</v>
      </c>
      <c r="C12" s="1361">
        <v>2000</v>
      </c>
      <c r="D12" s="1316">
        <v>11054000</v>
      </c>
      <c r="E12" s="886"/>
      <c r="F12" s="880"/>
      <c r="G12" s="880"/>
    </row>
    <row r="13" spans="1:12" s="881" customFormat="1" ht="19.5" customHeight="1">
      <c r="A13" s="1323" t="s">
        <v>541</v>
      </c>
      <c r="B13" s="1358">
        <f t="shared" si="0"/>
        <v>6648</v>
      </c>
      <c r="C13" s="1361">
        <v>2000</v>
      </c>
      <c r="D13" s="1316">
        <v>13296000</v>
      </c>
      <c r="E13" s="886"/>
      <c r="F13" s="880"/>
      <c r="G13" s="880"/>
    </row>
    <row r="14" spans="1:12" s="881" customFormat="1" ht="19.5" customHeight="1">
      <c r="A14" s="1323" t="s">
        <v>574</v>
      </c>
      <c r="B14" s="1358">
        <f t="shared" si="0"/>
        <v>7374</v>
      </c>
      <c r="C14" s="1361">
        <v>2000</v>
      </c>
      <c r="D14" s="1316">
        <v>14748000</v>
      </c>
      <c r="E14" s="886"/>
      <c r="F14" s="880"/>
      <c r="G14" s="880"/>
    </row>
    <row r="15" spans="1:12" s="881" customFormat="1" ht="19.5" customHeight="1">
      <c r="A15" s="1323" t="s">
        <v>746</v>
      </c>
      <c r="B15" s="1358">
        <v>5725</v>
      </c>
      <c r="C15" s="1361">
        <v>2000</v>
      </c>
      <c r="D15" s="1316">
        <v>11478000</v>
      </c>
      <c r="E15" s="886"/>
      <c r="F15" s="880"/>
      <c r="G15" s="880"/>
      <c r="L15" s="1741"/>
    </row>
    <row r="16" spans="1:12" s="881" customFormat="1" ht="19.5" customHeight="1">
      <c r="A16" s="1323" t="s">
        <v>783</v>
      </c>
      <c r="B16" s="1358">
        <v>6125</v>
      </c>
      <c r="C16" s="1361">
        <v>2000</v>
      </c>
      <c r="D16" s="1316">
        <v>12250000</v>
      </c>
      <c r="E16" s="886"/>
      <c r="F16" s="880"/>
      <c r="G16" s="880"/>
    </row>
    <row r="17" spans="1:7" s="881" customFormat="1" ht="19.5" customHeight="1">
      <c r="A17" s="1323" t="s">
        <v>970</v>
      </c>
      <c r="B17" s="1358">
        <v>6181</v>
      </c>
      <c r="C17" s="1361">
        <v>2000</v>
      </c>
      <c r="D17" s="1316">
        <v>12362000</v>
      </c>
      <c r="E17" s="886"/>
      <c r="F17" s="880"/>
      <c r="G17" s="880"/>
    </row>
    <row r="18" spans="1:7" s="881" customFormat="1" ht="19.5" customHeight="1">
      <c r="A18" s="1324" t="s">
        <v>1002</v>
      </c>
      <c r="B18" s="1359">
        <v>6061</v>
      </c>
      <c r="C18" s="1362">
        <v>2000</v>
      </c>
      <c r="D18" s="1321">
        <v>24913484</v>
      </c>
      <c r="E18" s="1319"/>
      <c r="F18" s="880"/>
      <c r="G18" s="880"/>
    </row>
    <row r="19" spans="1:7" s="881" customFormat="1" ht="54" customHeight="1">
      <c r="A19" s="2166" t="s">
        <v>758</v>
      </c>
      <c r="B19" s="2167"/>
      <c r="C19" s="2167"/>
      <c r="D19" s="2167"/>
      <c r="E19" s="1315"/>
      <c r="F19" s="880"/>
      <c r="G19" s="880"/>
    </row>
    <row r="20" spans="1:7" s="881" customFormat="1" ht="18.75" customHeight="1">
      <c r="A20" s="2167"/>
      <c r="B20" s="2167"/>
      <c r="C20" s="2167"/>
      <c r="D20" s="2167"/>
      <c r="E20" s="1315"/>
      <c r="F20" s="880"/>
      <c r="G20" s="880"/>
    </row>
    <row r="21" spans="1:7" s="881" customFormat="1" ht="20.25" customHeight="1">
      <c r="B21" s="884"/>
      <c r="C21" s="884"/>
      <c r="D21" s="883"/>
      <c r="E21" s="884"/>
      <c r="F21" s="880"/>
      <c r="G21" s="880"/>
    </row>
    <row r="22" spans="1:7" s="881" customFormat="1" ht="23.25" customHeight="1">
      <c r="B22" s="884"/>
      <c r="C22" s="884"/>
      <c r="D22" s="883"/>
      <c r="E22" s="884"/>
      <c r="F22" s="880"/>
      <c r="G22" s="880"/>
    </row>
    <row r="23" spans="1:7" s="881" customFormat="1" ht="23.25" customHeight="1">
      <c r="E23" s="884"/>
      <c r="F23" s="880"/>
      <c r="G23" s="880"/>
    </row>
    <row r="24" spans="1:7" s="881" customFormat="1" ht="23.25" customHeight="1">
      <c r="E24" s="884"/>
      <c r="F24" s="880"/>
      <c r="G24" s="880"/>
    </row>
    <row r="25" spans="1:7" s="881" customFormat="1" ht="23.25" customHeight="1">
      <c r="E25" s="884"/>
      <c r="F25" s="880"/>
      <c r="G25" s="880"/>
    </row>
    <row r="26" spans="1:7" s="881" customFormat="1" ht="23.25" customHeight="1">
      <c r="E26" s="884"/>
      <c r="F26" s="880"/>
      <c r="G26" s="880"/>
    </row>
    <row r="27" spans="1:7" s="881" customFormat="1" ht="23.25" customHeight="1">
      <c r="E27" s="884"/>
      <c r="F27" s="880"/>
      <c r="G27" s="880"/>
    </row>
    <row r="28" spans="1:7" s="881" customFormat="1" ht="20.25" customHeight="1">
      <c r="E28" s="884"/>
      <c r="F28" s="880"/>
      <c r="G28" s="880"/>
    </row>
    <row r="29" spans="1:7" s="881" customFormat="1" ht="23.25" customHeight="1">
      <c r="E29" s="884"/>
      <c r="F29" s="880"/>
      <c r="G29" s="880"/>
    </row>
    <row r="30" spans="1:7" s="881" customFormat="1" ht="23.25" customHeight="1">
      <c r="E30" s="884"/>
      <c r="F30" s="880"/>
      <c r="G30" s="880"/>
    </row>
    <row r="31" spans="1:7" s="881" customFormat="1" ht="20.25" customHeight="1">
      <c r="E31" s="884"/>
      <c r="F31" s="880"/>
      <c r="G31" s="880"/>
    </row>
    <row r="32" spans="1:7" s="881" customFormat="1" ht="21.75" customHeight="1">
      <c r="E32" s="883"/>
      <c r="F32" s="880"/>
      <c r="G32" s="880"/>
    </row>
    <row r="33" spans="1:19" s="881" customFormat="1" ht="21.75" customHeight="1">
      <c r="E33" s="883"/>
      <c r="F33" s="883"/>
      <c r="G33" s="883"/>
    </row>
    <row r="34" spans="1:19" s="881" customFormat="1" ht="21.75" customHeight="1">
      <c r="E34" s="883"/>
      <c r="F34" s="883"/>
      <c r="G34" s="883"/>
    </row>
    <row r="35" spans="1:19" s="881" customFormat="1" ht="21.75" customHeight="1">
      <c r="E35" s="883"/>
      <c r="F35" s="883"/>
      <c r="G35" s="883"/>
    </row>
    <row r="36" spans="1:19" s="881" customFormat="1" ht="26.25" customHeight="1">
      <c r="E36" s="883"/>
      <c r="F36" s="883"/>
      <c r="G36" s="883"/>
    </row>
    <row r="37" spans="1:19" s="881" customFormat="1" ht="26.25" customHeight="1">
      <c r="E37" s="883"/>
    </row>
    <row r="38" spans="1:19" s="881" customFormat="1" ht="23.25">
      <c r="E38" s="883"/>
    </row>
    <row r="39" spans="1:19" s="881" customFormat="1" ht="23.25">
      <c r="E39" s="883"/>
      <c r="M39" s="884"/>
      <c r="N39" s="884"/>
      <c r="O39" s="884"/>
      <c r="P39" s="884"/>
      <c r="Q39" s="884"/>
      <c r="R39" s="887"/>
      <c r="S39" s="883"/>
    </row>
    <row r="40" spans="1:19" s="881" customFormat="1" ht="23.25">
      <c r="E40" s="883"/>
    </row>
    <row r="41" spans="1:19" s="881" customFormat="1" ht="23.25">
      <c r="E41" s="883"/>
    </row>
    <row r="42" spans="1:19" s="881" customFormat="1" ht="23.25">
      <c r="E42" s="883"/>
    </row>
    <row r="43" spans="1:19" s="881" customFormat="1"/>
    <row r="44" spans="1:19" s="881" customFormat="1"/>
    <row r="45" spans="1:19" s="881" customFormat="1"/>
    <row r="46" spans="1:19" s="881" customFormat="1">
      <c r="A46" s="879"/>
      <c r="B46" s="879"/>
      <c r="C46" s="879"/>
      <c r="D46" s="879"/>
    </row>
    <row r="47" spans="1:19" s="881" customFormat="1">
      <c r="A47" s="879"/>
      <c r="B47" s="879"/>
      <c r="C47" s="879"/>
      <c r="D47" s="879"/>
    </row>
    <row r="48" spans="1:19" s="881" customFormat="1">
      <c r="A48" s="879"/>
      <c r="B48" s="879"/>
      <c r="C48" s="879"/>
      <c r="D48" s="879"/>
    </row>
    <row r="49" spans="1:4" s="881" customFormat="1">
      <c r="A49" s="879"/>
      <c r="B49" s="879"/>
      <c r="C49" s="879"/>
      <c r="D49" s="879"/>
    </row>
    <row r="50" spans="1:4" s="881" customFormat="1">
      <c r="A50" s="879"/>
      <c r="B50" s="879"/>
      <c r="C50" s="879"/>
      <c r="D50" s="879"/>
    </row>
    <row r="51" spans="1:4" s="881" customFormat="1">
      <c r="A51" s="879"/>
      <c r="B51" s="879"/>
      <c r="C51" s="879"/>
      <c r="D51" s="879"/>
    </row>
    <row r="52" spans="1:4" s="881" customFormat="1">
      <c r="A52" s="879"/>
      <c r="B52" s="879"/>
      <c r="C52" s="879"/>
      <c r="D52" s="879"/>
    </row>
    <row r="53" spans="1:4" s="881" customFormat="1">
      <c r="A53" s="879"/>
      <c r="B53" s="879"/>
      <c r="C53" s="879"/>
      <c r="D53" s="879"/>
    </row>
    <row r="54" spans="1:4" s="881" customFormat="1">
      <c r="A54" s="879"/>
      <c r="B54" s="879"/>
      <c r="C54" s="879"/>
      <c r="D54" s="879"/>
    </row>
    <row r="55" spans="1:4" s="881" customFormat="1">
      <c r="A55" s="879"/>
      <c r="B55" s="879"/>
      <c r="C55" s="879"/>
      <c r="D55" s="879"/>
    </row>
    <row r="56" spans="1:4" s="881" customFormat="1">
      <c r="A56" s="879"/>
      <c r="B56" s="879"/>
      <c r="C56" s="879"/>
      <c r="D56" s="879"/>
    </row>
    <row r="57" spans="1:4" s="881" customFormat="1">
      <c r="A57" s="879"/>
      <c r="B57" s="879"/>
      <c r="C57" s="879"/>
      <c r="D57" s="879"/>
    </row>
  </sheetData>
  <mergeCells count="2">
    <mergeCell ref="A1:J1"/>
    <mergeCell ref="A19:D20"/>
  </mergeCells>
  <printOptions horizontalCentered="1" verticalCentered="1"/>
  <pageMargins left="0.39370078740157483" right="0.39370078740157483" top="0.23622047244094491" bottom="0.23622047244094491" header="0.31496062992125984" footer="0.41"/>
  <pageSetup scale="44" orientation="landscape" r:id="rId1"/>
  <colBreaks count="1" manualBreakCount="1">
    <brk id="3" max="64" man="1"/>
  </colBreaks>
  <drawing r:id="rId2"/>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4">
    <tabColor rgb="FF00B050"/>
    <pageSetUpPr fitToPage="1"/>
  </sheetPr>
  <dimension ref="A1:K14"/>
  <sheetViews>
    <sheetView showGridLines="0" view="pageBreakPreview" zoomScale="85" zoomScaleNormal="70" zoomScaleSheetLayoutView="85" workbookViewId="0">
      <pane ySplit="1" topLeftCell="A2" activePane="bottomLeft" state="frozen"/>
      <selection pane="bottomLeft" activeCell="A3" sqref="A3"/>
    </sheetView>
  </sheetViews>
  <sheetFormatPr baseColWidth="10" defaultColWidth="11.42578125" defaultRowHeight="15"/>
  <cols>
    <col min="1" max="1" width="15.85546875" style="77" customWidth="1"/>
    <col min="2" max="2" width="18" style="77" customWidth="1"/>
    <col min="3" max="3" width="18.5703125" style="77" customWidth="1"/>
    <col min="4" max="4" width="21.140625" style="77" customWidth="1"/>
    <col min="5" max="5" width="16.7109375" style="77" customWidth="1"/>
    <col min="6" max="6" width="16.42578125" style="77" customWidth="1"/>
    <col min="7" max="7" width="24.85546875" style="77" customWidth="1"/>
    <col min="8" max="8" width="29.42578125" style="77" customWidth="1"/>
    <col min="9" max="9" width="28.85546875" style="77" customWidth="1"/>
    <col min="10" max="10" width="13.28515625" style="77" customWidth="1"/>
    <col min="11" max="16384" width="11.42578125" style="77"/>
  </cols>
  <sheetData>
    <row r="1" spans="1:11" ht="65.25" customHeight="1">
      <c r="A1" s="2050"/>
      <c r="B1" s="2050"/>
      <c r="C1" s="2050"/>
      <c r="D1" s="2050"/>
      <c r="E1" s="2050"/>
      <c r="F1" s="2050"/>
      <c r="G1" s="2050"/>
      <c r="H1" s="2050"/>
      <c r="I1" s="2050"/>
      <c r="J1" s="182"/>
    </row>
    <row r="2" spans="1:11" s="39" customFormat="1" ht="6" customHeight="1">
      <c r="A2" s="832"/>
      <c r="B2" s="832"/>
      <c r="C2" s="832"/>
      <c r="D2" s="832"/>
      <c r="E2" s="832"/>
      <c r="F2" s="832"/>
      <c r="G2" s="832"/>
      <c r="H2" s="832"/>
      <c r="I2" s="832"/>
      <c r="J2" s="832"/>
    </row>
    <row r="3" spans="1:11" ht="35.25" customHeight="1">
      <c r="A3" s="1364" t="s">
        <v>45</v>
      </c>
      <c r="B3" s="1365" t="s">
        <v>752</v>
      </c>
      <c r="C3" s="1366" t="s">
        <v>753</v>
      </c>
      <c r="D3" s="907" t="s">
        <v>751</v>
      </c>
    </row>
    <row r="4" spans="1:11" ht="17.25" customHeight="1">
      <c r="A4" s="1585">
        <v>2009</v>
      </c>
      <c r="B4" s="1586">
        <v>16656000</v>
      </c>
      <c r="C4" s="1587">
        <v>0</v>
      </c>
      <c r="D4" s="1588">
        <f t="shared" ref="D4:D10" si="0">+C4+B4</f>
        <v>16656000</v>
      </c>
    </row>
    <row r="5" spans="1:11" ht="15.75" customHeight="1">
      <c r="A5" s="1585">
        <v>2010</v>
      </c>
      <c r="B5" s="1586">
        <v>68030000</v>
      </c>
      <c r="C5" s="1587">
        <v>0</v>
      </c>
      <c r="D5" s="1588">
        <f t="shared" si="0"/>
        <v>68030000</v>
      </c>
    </row>
    <row r="6" spans="1:11" ht="17.25" customHeight="1">
      <c r="A6" s="1585">
        <v>2011</v>
      </c>
      <c r="B6" s="1586">
        <v>168385579.84999999</v>
      </c>
      <c r="C6" s="1587">
        <v>0</v>
      </c>
      <c r="D6" s="1588">
        <f t="shared" si="0"/>
        <v>168385579.84999999</v>
      </c>
    </row>
    <row r="7" spans="1:11" ht="17.25" customHeight="1">
      <c r="A7" s="1585">
        <v>2012</v>
      </c>
      <c r="B7" s="1586">
        <v>182376500</v>
      </c>
      <c r="C7" s="1587">
        <v>0</v>
      </c>
      <c r="D7" s="1588">
        <f t="shared" si="0"/>
        <v>182376500</v>
      </c>
    </row>
    <row r="8" spans="1:11" ht="18.75" customHeight="1">
      <c r="A8" s="1585">
        <v>2013</v>
      </c>
      <c r="B8" s="1586">
        <v>215786255.86000001</v>
      </c>
      <c r="C8" s="1587">
        <v>0</v>
      </c>
      <c r="D8" s="1588">
        <f t="shared" si="0"/>
        <v>215786255.86000001</v>
      </c>
    </row>
    <row r="9" spans="1:11" ht="18" customHeight="1">
      <c r="A9" s="1585">
        <v>2014</v>
      </c>
      <c r="B9" s="1586">
        <v>262429320</v>
      </c>
      <c r="C9" s="1587">
        <v>0</v>
      </c>
      <c r="D9" s="1588">
        <f t="shared" si="0"/>
        <v>262429320</v>
      </c>
    </row>
    <row r="10" spans="1:11" ht="15.75">
      <c r="A10" s="1589" t="s">
        <v>1006</v>
      </c>
      <c r="B10" s="1586">
        <v>150153484</v>
      </c>
      <c r="C10" s="1590">
        <v>115321356</v>
      </c>
      <c r="D10" s="1588">
        <f t="shared" si="0"/>
        <v>265474840</v>
      </c>
    </row>
    <row r="11" spans="1:11" ht="18.75">
      <c r="A11" s="1367" t="s">
        <v>23</v>
      </c>
      <c r="B11" s="1368">
        <f>SUM(B4:B10)</f>
        <v>1063817139.71</v>
      </c>
      <c r="C11" s="1369">
        <f>SUM(C4:C10)</f>
        <v>115321356</v>
      </c>
      <c r="D11" s="1370">
        <f>SUM(D4:D10)</f>
        <v>1179138495.71</v>
      </c>
      <c r="G11" s="1363"/>
    </row>
    <row r="14" spans="1:11">
      <c r="K14" s="183"/>
    </row>
  </sheetData>
  <mergeCells count="1">
    <mergeCell ref="A1:I1"/>
  </mergeCells>
  <printOptions horizontalCentered="1" verticalCentered="1"/>
  <pageMargins left="0.39370078740157483" right="0.39370078740157483" top="0.23622047244094491" bottom="0.23622047244094491" header="0.31496062992125984" footer="0.31496062992125984"/>
  <pageSetup scale="69" orientation="landscape" r:id="rId1"/>
  <rowBreaks count="1" manualBreakCount="1">
    <brk id="5" max="16383" man="1"/>
  </rowBreaks>
  <drawing r:id="rId2"/>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5">
    <tabColor theme="6" tint="-0.499984740745262"/>
    <pageSetUpPr fitToPage="1"/>
  </sheetPr>
  <dimension ref="D11"/>
  <sheetViews>
    <sheetView showGridLines="0" view="pageBreakPreview" zoomScale="70" zoomScaleNormal="100" zoomScaleSheetLayoutView="70" workbookViewId="0">
      <selection activeCell="J48" sqref="J48"/>
    </sheetView>
  </sheetViews>
  <sheetFormatPr baseColWidth="10" defaultColWidth="11.42578125" defaultRowHeight="15"/>
  <cols>
    <col min="1" max="6" width="11.42578125" style="77"/>
    <col min="7" max="7" width="9.42578125" style="77" customWidth="1"/>
    <col min="8" max="16384" width="11.42578125" style="77"/>
  </cols>
  <sheetData>
    <row r="11" spans="4:4" ht="61.5">
      <c r="D11" s="931"/>
    </row>
  </sheetData>
  <pageMargins left="0.7" right="0.7" top="0.75" bottom="0.75" header="0.3" footer="0.3"/>
  <pageSetup scale="68" orientation="landscape" r:id="rId1"/>
  <drawing r:id="rId2"/>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6">
    <tabColor theme="6" tint="-0.499984740745262"/>
  </sheetPr>
  <dimension ref="A5:R42"/>
  <sheetViews>
    <sheetView showGridLines="0" view="pageBreakPreview" zoomScale="85" zoomScaleNormal="100" zoomScaleSheetLayoutView="85" workbookViewId="0"/>
  </sheetViews>
  <sheetFormatPr baseColWidth="10" defaultColWidth="11.42578125" defaultRowHeight="15"/>
  <cols>
    <col min="1" max="6" width="11.42578125" style="77"/>
    <col min="7" max="7" width="9.42578125" style="77" customWidth="1"/>
    <col min="8" max="16384" width="11.42578125" style="77"/>
  </cols>
  <sheetData>
    <row r="5" spans="1:15" ht="6.75" customHeight="1">
      <c r="A5" s="2168" t="s">
        <v>972</v>
      </c>
      <c r="B5" s="2168"/>
      <c r="C5" s="2168"/>
      <c r="D5" s="2168"/>
      <c r="E5" s="2168"/>
      <c r="F5" s="2168"/>
      <c r="G5" s="2168"/>
      <c r="H5" s="2168"/>
      <c r="I5" s="2168"/>
      <c r="J5" s="2168"/>
      <c r="K5" s="2168"/>
      <c r="L5" s="2168"/>
      <c r="M5" s="2168"/>
      <c r="N5" s="2168"/>
      <c r="O5" s="2168"/>
    </row>
    <row r="6" spans="1:15" ht="17.25" customHeight="1">
      <c r="A6" s="2168"/>
      <c r="B6" s="2168"/>
      <c r="C6" s="2168"/>
      <c r="D6" s="2168"/>
      <c r="E6" s="2168"/>
      <c r="F6" s="2168"/>
      <c r="G6" s="2168"/>
      <c r="H6" s="2168"/>
      <c r="I6" s="2168"/>
      <c r="J6" s="2168"/>
      <c r="K6" s="2168"/>
      <c r="L6" s="2168"/>
      <c r="M6" s="2168"/>
      <c r="N6" s="2168"/>
      <c r="O6" s="2168"/>
    </row>
    <row r="7" spans="1:15">
      <c r="A7" s="2168"/>
      <c r="B7" s="2168"/>
      <c r="C7" s="2168"/>
      <c r="D7" s="2168"/>
      <c r="E7" s="2168"/>
      <c r="F7" s="2168"/>
      <c r="G7" s="2168"/>
      <c r="H7" s="2168"/>
      <c r="I7" s="2168"/>
      <c r="J7" s="2168"/>
      <c r="K7" s="2168"/>
      <c r="L7" s="2168"/>
      <c r="M7" s="2168"/>
      <c r="N7" s="2168"/>
      <c r="O7" s="2168"/>
    </row>
    <row r="8" spans="1:15">
      <c r="A8" s="2168"/>
      <c r="B8" s="2168"/>
      <c r="C8" s="2168"/>
      <c r="D8" s="2168"/>
      <c r="E8" s="2168"/>
      <c r="F8" s="2168"/>
      <c r="G8" s="2168"/>
      <c r="H8" s="2168"/>
      <c r="I8" s="2168"/>
      <c r="J8" s="2168"/>
      <c r="K8" s="2168"/>
      <c r="L8" s="2168"/>
      <c r="M8" s="2168"/>
      <c r="N8" s="2168"/>
      <c r="O8" s="2168"/>
    </row>
    <row r="9" spans="1:15">
      <c r="A9" s="2168"/>
      <c r="B9" s="2168"/>
      <c r="C9" s="2168"/>
      <c r="D9" s="2168"/>
      <c r="E9" s="2168"/>
      <c r="F9" s="2168"/>
      <c r="G9" s="2168"/>
      <c r="H9" s="2168"/>
      <c r="I9" s="2168"/>
      <c r="J9" s="2168"/>
      <c r="K9" s="2168"/>
      <c r="L9" s="2168"/>
      <c r="M9" s="2168"/>
      <c r="N9" s="2168"/>
      <c r="O9" s="2168"/>
    </row>
    <row r="10" spans="1:15">
      <c r="A10" s="2168"/>
      <c r="B10" s="2168"/>
      <c r="C10" s="2168"/>
      <c r="D10" s="2168"/>
      <c r="E10" s="2168"/>
      <c r="F10" s="2168"/>
      <c r="G10" s="2168"/>
      <c r="H10" s="2168"/>
      <c r="I10" s="2168"/>
      <c r="J10" s="2168"/>
      <c r="K10" s="2168"/>
      <c r="L10" s="2168"/>
      <c r="M10" s="2168"/>
      <c r="N10" s="2168"/>
      <c r="O10" s="2168"/>
    </row>
    <row r="11" spans="1:15">
      <c r="A11" s="2168"/>
      <c r="B11" s="2168"/>
      <c r="C11" s="2168"/>
      <c r="D11" s="2168"/>
      <c r="E11" s="2168"/>
      <c r="F11" s="2168"/>
      <c r="G11" s="2168"/>
      <c r="H11" s="2168"/>
      <c r="I11" s="2168"/>
      <c r="J11" s="2168"/>
      <c r="K11" s="2168"/>
      <c r="L11" s="2168"/>
      <c r="M11" s="2168"/>
      <c r="N11" s="2168"/>
      <c r="O11" s="2168"/>
    </row>
    <row r="12" spans="1:15">
      <c r="A12" s="2168"/>
      <c r="B12" s="2168"/>
      <c r="C12" s="2168"/>
      <c r="D12" s="2168"/>
      <c r="E12" s="2168"/>
      <c r="F12" s="2168"/>
      <c r="G12" s="2168"/>
      <c r="H12" s="2168"/>
      <c r="I12" s="2168"/>
      <c r="J12" s="2168"/>
      <c r="K12" s="2168"/>
      <c r="L12" s="2168"/>
      <c r="M12" s="2168"/>
      <c r="N12" s="2168"/>
      <c r="O12" s="2168"/>
    </row>
    <row r="13" spans="1:15">
      <c r="A13" s="2168"/>
      <c r="B13" s="2168"/>
      <c r="C13" s="2168"/>
      <c r="D13" s="2168"/>
      <c r="E13" s="2168"/>
      <c r="F13" s="2168"/>
      <c r="G13" s="2168"/>
      <c r="H13" s="2168"/>
      <c r="I13" s="2168"/>
      <c r="J13" s="2168"/>
      <c r="K13" s="2168"/>
      <c r="L13" s="2168"/>
      <c r="M13" s="2168"/>
      <c r="N13" s="2168"/>
      <c r="O13" s="2168"/>
    </row>
    <row r="14" spans="1:15">
      <c r="A14" s="2168"/>
      <c r="B14" s="2168"/>
      <c r="C14" s="2168"/>
      <c r="D14" s="2168"/>
      <c r="E14" s="2168"/>
      <c r="F14" s="2168"/>
      <c r="G14" s="2168"/>
      <c r="H14" s="2168"/>
      <c r="I14" s="2168"/>
      <c r="J14" s="2168"/>
      <c r="K14" s="2168"/>
      <c r="L14" s="2168"/>
      <c r="M14" s="2168"/>
      <c r="N14" s="2168"/>
      <c r="O14" s="2168"/>
    </row>
    <row r="15" spans="1:15">
      <c r="A15" s="2168"/>
      <c r="B15" s="2168"/>
      <c r="C15" s="2168"/>
      <c r="D15" s="2168"/>
      <c r="E15" s="2168"/>
      <c r="F15" s="2168"/>
      <c r="G15" s="2168"/>
      <c r="H15" s="2168"/>
      <c r="I15" s="2168"/>
      <c r="J15" s="2168"/>
      <c r="K15" s="2168"/>
      <c r="L15" s="2168"/>
      <c r="M15" s="2168"/>
      <c r="N15" s="2168"/>
      <c r="O15" s="2168"/>
    </row>
    <row r="16" spans="1:15">
      <c r="A16" s="2168"/>
      <c r="B16" s="2168"/>
      <c r="C16" s="2168"/>
      <c r="D16" s="2168"/>
      <c r="E16" s="2168"/>
      <c r="F16" s="2168"/>
      <c r="G16" s="2168"/>
      <c r="H16" s="2168"/>
      <c r="I16" s="2168"/>
      <c r="J16" s="2168"/>
      <c r="K16" s="2168"/>
      <c r="L16" s="2168"/>
      <c r="M16" s="2168"/>
      <c r="N16" s="2168"/>
      <c r="O16" s="2168"/>
    </row>
    <row r="17" spans="1:18">
      <c r="A17" s="2168"/>
      <c r="B17" s="2168"/>
      <c r="C17" s="2168"/>
      <c r="D17" s="2168"/>
      <c r="E17" s="2168"/>
      <c r="F17" s="2168"/>
      <c r="G17" s="2168"/>
      <c r="H17" s="2168"/>
      <c r="I17" s="2168"/>
      <c r="J17" s="2168"/>
      <c r="K17" s="2168"/>
      <c r="L17" s="2168"/>
      <c r="M17" s="2168"/>
      <c r="N17" s="2168"/>
      <c r="O17" s="2168"/>
    </row>
    <row r="18" spans="1:18">
      <c r="A18" s="2168"/>
      <c r="B18" s="2168"/>
      <c r="C18" s="2168"/>
      <c r="D18" s="2168"/>
      <c r="E18" s="2168"/>
      <c r="F18" s="2168"/>
      <c r="G18" s="2168"/>
      <c r="H18" s="2168"/>
      <c r="I18" s="2168"/>
      <c r="J18" s="2168"/>
      <c r="K18" s="2168"/>
      <c r="L18" s="2168"/>
      <c r="M18" s="2168"/>
      <c r="N18" s="2168"/>
      <c r="O18" s="2168"/>
    </row>
    <row r="19" spans="1:18">
      <c r="A19" s="2168"/>
      <c r="B19" s="2168"/>
      <c r="C19" s="2168"/>
      <c r="D19" s="2168"/>
      <c r="E19" s="2168"/>
      <c r="F19" s="2168"/>
      <c r="G19" s="2168"/>
      <c r="H19" s="2168"/>
      <c r="I19" s="2168"/>
      <c r="J19" s="2168"/>
      <c r="K19" s="2168"/>
      <c r="L19" s="2168"/>
      <c r="M19" s="2168"/>
      <c r="N19" s="2168"/>
      <c r="O19" s="2168"/>
    </row>
    <row r="20" spans="1:18">
      <c r="A20" s="2168"/>
      <c r="B20" s="2168"/>
      <c r="C20" s="2168"/>
      <c r="D20" s="2168"/>
      <c r="E20" s="2168"/>
      <c r="F20" s="2168"/>
      <c r="G20" s="2168"/>
      <c r="H20" s="2168"/>
      <c r="I20" s="2168"/>
      <c r="J20" s="2168"/>
      <c r="K20" s="2168"/>
      <c r="L20" s="2168"/>
      <c r="M20" s="2168"/>
      <c r="N20" s="2168"/>
      <c r="O20" s="2168"/>
      <c r="R20" s="18"/>
    </row>
    <row r="21" spans="1:18">
      <c r="A21" s="2168"/>
      <c r="B21" s="2168"/>
      <c r="C21" s="2168"/>
      <c r="D21" s="2168"/>
      <c r="E21" s="2168"/>
      <c r="F21" s="2168"/>
      <c r="G21" s="2168"/>
      <c r="H21" s="2168"/>
      <c r="I21" s="2168"/>
      <c r="J21" s="2168"/>
      <c r="K21" s="2168"/>
      <c r="L21" s="2168"/>
      <c r="M21" s="2168"/>
      <c r="N21" s="2168"/>
      <c r="O21" s="2168"/>
    </row>
    <row r="22" spans="1:18">
      <c r="A22" s="2168"/>
      <c r="B22" s="2168"/>
      <c r="C22" s="2168"/>
      <c r="D22" s="2168"/>
      <c r="E22" s="2168"/>
      <c r="F22" s="2168"/>
      <c r="G22" s="2168"/>
      <c r="H22" s="2168"/>
      <c r="I22" s="2168"/>
      <c r="J22" s="2168"/>
      <c r="K22" s="2168"/>
      <c r="L22" s="2168"/>
      <c r="M22" s="2168"/>
      <c r="N22" s="2168"/>
      <c r="O22" s="2168"/>
    </row>
    <row r="23" spans="1:18">
      <c r="A23" s="2168"/>
      <c r="B23" s="2168"/>
      <c r="C23" s="2168"/>
      <c r="D23" s="2168"/>
      <c r="E23" s="2168"/>
      <c r="F23" s="2168"/>
      <c r="G23" s="2168"/>
      <c r="H23" s="2168"/>
      <c r="I23" s="2168"/>
      <c r="J23" s="2168"/>
      <c r="K23" s="2168"/>
      <c r="L23" s="2168"/>
      <c r="M23" s="2168"/>
      <c r="N23" s="2168"/>
      <c r="O23" s="2168"/>
    </row>
    <row r="24" spans="1:18">
      <c r="A24" s="2168"/>
      <c r="B24" s="2168"/>
      <c r="C24" s="2168"/>
      <c r="D24" s="2168"/>
      <c r="E24" s="2168"/>
      <c r="F24" s="2168"/>
      <c r="G24" s="2168"/>
      <c r="H24" s="2168"/>
      <c r="I24" s="2168"/>
      <c r="J24" s="2168"/>
      <c r="K24" s="2168"/>
      <c r="L24" s="2168"/>
      <c r="M24" s="2168"/>
      <c r="N24" s="2168"/>
      <c r="O24" s="2168"/>
    </row>
    <row r="25" spans="1:18">
      <c r="A25" s="2168"/>
      <c r="B25" s="2168"/>
      <c r="C25" s="2168"/>
      <c r="D25" s="2168"/>
      <c r="E25" s="2168"/>
      <c r="F25" s="2168"/>
      <c r="G25" s="2168"/>
      <c r="H25" s="2168"/>
      <c r="I25" s="2168"/>
      <c r="J25" s="2168"/>
      <c r="K25" s="2168"/>
      <c r="L25" s="2168"/>
      <c r="M25" s="2168"/>
      <c r="N25" s="2168"/>
      <c r="O25" s="2168"/>
    </row>
    <row r="26" spans="1:18">
      <c r="A26" s="2168"/>
      <c r="B26" s="2168"/>
      <c r="C26" s="2168"/>
      <c r="D26" s="2168"/>
      <c r="E26" s="2168"/>
      <c r="F26" s="2168"/>
      <c r="G26" s="2168"/>
      <c r="H26" s="2168"/>
      <c r="I26" s="2168"/>
      <c r="J26" s="2168"/>
      <c r="K26" s="2168"/>
      <c r="L26" s="2168"/>
      <c r="M26" s="2168"/>
      <c r="N26" s="2168"/>
      <c r="O26" s="2168"/>
    </row>
    <row r="27" spans="1:18">
      <c r="A27" s="2168"/>
      <c r="B27" s="2168"/>
      <c r="C27" s="2168"/>
      <c r="D27" s="2168"/>
      <c r="E27" s="2168"/>
      <c r="F27" s="2168"/>
      <c r="G27" s="2168"/>
      <c r="H27" s="2168"/>
      <c r="I27" s="2168"/>
      <c r="J27" s="2168"/>
      <c r="K27" s="2168"/>
      <c r="L27" s="2168"/>
      <c r="M27" s="2168"/>
      <c r="N27" s="2168"/>
      <c r="O27" s="2168"/>
    </row>
    <row r="28" spans="1:18">
      <c r="A28" s="2168"/>
      <c r="B28" s="2168"/>
      <c r="C28" s="2168"/>
      <c r="D28" s="2168"/>
      <c r="E28" s="2168"/>
      <c r="F28" s="2168"/>
      <c r="G28" s="2168"/>
      <c r="H28" s="2168"/>
      <c r="I28" s="2168"/>
      <c r="J28" s="2168"/>
      <c r="K28" s="2168"/>
      <c r="L28" s="2168"/>
      <c r="M28" s="2168"/>
      <c r="N28" s="2168"/>
      <c r="O28" s="2168"/>
    </row>
    <row r="29" spans="1:18">
      <c r="A29" s="2168"/>
      <c r="B29" s="2168"/>
      <c r="C29" s="2168"/>
      <c r="D29" s="2168"/>
      <c r="E29" s="2168"/>
      <c r="F29" s="2168"/>
      <c r="G29" s="2168"/>
      <c r="H29" s="2168"/>
      <c r="I29" s="2168"/>
      <c r="J29" s="2168"/>
      <c r="K29" s="2168"/>
      <c r="L29" s="2168"/>
      <c r="M29" s="2168"/>
      <c r="N29" s="2168"/>
      <c r="O29" s="2168"/>
    </row>
    <row r="30" spans="1:18">
      <c r="A30" s="2168"/>
      <c r="B30" s="2168"/>
      <c r="C30" s="2168"/>
      <c r="D30" s="2168"/>
      <c r="E30" s="2168"/>
      <c r="F30" s="2168"/>
      <c r="G30" s="2168"/>
      <c r="H30" s="2168"/>
      <c r="I30" s="2168"/>
      <c r="J30" s="2168"/>
      <c r="K30" s="2168"/>
      <c r="L30" s="2168"/>
      <c r="M30" s="2168"/>
      <c r="N30" s="2168"/>
      <c r="O30" s="2168"/>
    </row>
    <row r="31" spans="1:18">
      <c r="A31" s="2168"/>
      <c r="B31" s="2168"/>
      <c r="C31" s="2168"/>
      <c r="D31" s="2168"/>
      <c r="E31" s="2168"/>
      <c r="F31" s="2168"/>
      <c r="G31" s="2168"/>
      <c r="H31" s="2168"/>
      <c r="I31" s="2168"/>
      <c r="J31" s="2168"/>
      <c r="K31" s="2168"/>
      <c r="L31" s="2168"/>
      <c r="M31" s="2168"/>
      <c r="N31" s="2168"/>
      <c r="O31" s="2168"/>
    </row>
    <row r="32" spans="1:18">
      <c r="A32" s="2168"/>
      <c r="B32" s="2168"/>
      <c r="C32" s="2168"/>
      <c r="D32" s="2168"/>
      <c r="E32" s="2168"/>
      <c r="F32" s="2168"/>
      <c r="G32" s="2168"/>
      <c r="H32" s="2168"/>
      <c r="I32" s="2168"/>
      <c r="J32" s="2168"/>
      <c r="K32" s="2168"/>
      <c r="L32" s="2168"/>
      <c r="M32" s="2168"/>
      <c r="N32" s="2168"/>
      <c r="O32" s="2168"/>
    </row>
    <row r="33" spans="1:15">
      <c r="A33" s="2168"/>
      <c r="B33" s="2168"/>
      <c r="C33" s="2168"/>
      <c r="D33" s="2168"/>
      <c r="E33" s="2168"/>
      <c r="F33" s="2168"/>
      <c r="G33" s="2168"/>
      <c r="H33" s="2168"/>
      <c r="I33" s="2168"/>
      <c r="J33" s="2168"/>
      <c r="K33" s="2168"/>
      <c r="L33" s="2168"/>
      <c r="M33" s="2168"/>
      <c r="N33" s="2168"/>
      <c r="O33" s="2168"/>
    </row>
    <row r="34" spans="1:15">
      <c r="A34" s="2168"/>
      <c r="B34" s="2168"/>
      <c r="C34" s="2168"/>
      <c r="D34" s="2168"/>
      <c r="E34" s="2168"/>
      <c r="F34" s="2168"/>
      <c r="G34" s="2168"/>
      <c r="H34" s="2168"/>
      <c r="I34" s="2168"/>
      <c r="J34" s="2168"/>
      <c r="K34" s="2168"/>
      <c r="L34" s="2168"/>
      <c r="M34" s="2168"/>
      <c r="N34" s="2168"/>
      <c r="O34" s="2168"/>
    </row>
    <row r="35" spans="1:15">
      <c r="A35" s="2168"/>
      <c r="B35" s="2168"/>
      <c r="C35" s="2168"/>
      <c r="D35" s="2168"/>
      <c r="E35" s="2168"/>
      <c r="F35" s="2168"/>
      <c r="G35" s="2168"/>
      <c r="H35" s="2168"/>
      <c r="I35" s="2168"/>
      <c r="J35" s="2168"/>
      <c r="K35" s="2168"/>
      <c r="L35" s="2168"/>
      <c r="M35" s="2168"/>
      <c r="N35" s="2168"/>
      <c r="O35" s="2168"/>
    </row>
    <row r="36" spans="1:15">
      <c r="A36" s="2168"/>
      <c r="B36" s="2168"/>
      <c r="C36" s="2168"/>
      <c r="D36" s="2168"/>
      <c r="E36" s="2168"/>
      <c r="F36" s="2168"/>
      <c r="G36" s="2168"/>
      <c r="H36" s="2168"/>
      <c r="I36" s="2168"/>
      <c r="J36" s="2168"/>
      <c r="K36" s="2168"/>
      <c r="L36" s="2168"/>
      <c r="M36" s="2168"/>
      <c r="N36" s="2168"/>
      <c r="O36" s="2168"/>
    </row>
    <row r="37" spans="1:15">
      <c r="A37" s="2168"/>
      <c r="B37" s="2168"/>
      <c r="C37" s="2168"/>
      <c r="D37" s="2168"/>
      <c r="E37" s="2168"/>
      <c r="F37" s="2168"/>
      <c r="G37" s="2168"/>
      <c r="H37" s="2168"/>
      <c r="I37" s="2168"/>
      <c r="J37" s="2168"/>
      <c r="K37" s="2168"/>
      <c r="L37" s="2168"/>
      <c r="M37" s="2168"/>
      <c r="N37" s="2168"/>
      <c r="O37" s="2168"/>
    </row>
    <row r="38" spans="1:15">
      <c r="A38" s="2168"/>
      <c r="B38" s="2168"/>
      <c r="C38" s="2168"/>
      <c r="D38" s="2168"/>
      <c r="E38" s="2168"/>
      <c r="F38" s="2168"/>
      <c r="G38" s="2168"/>
      <c r="H38" s="2168"/>
      <c r="I38" s="2168"/>
      <c r="J38" s="2168"/>
      <c r="K38" s="2168"/>
      <c r="L38" s="2168"/>
      <c r="M38" s="2168"/>
      <c r="N38" s="2168"/>
      <c r="O38" s="2168"/>
    </row>
    <row r="39" spans="1:15">
      <c r="A39" s="2168"/>
      <c r="B39" s="2168"/>
      <c r="C39" s="2168"/>
      <c r="D39" s="2168"/>
      <c r="E39" s="2168"/>
      <c r="F39" s="2168"/>
      <c r="G39" s="2168"/>
      <c r="H39" s="2168"/>
      <c r="I39" s="2168"/>
      <c r="J39" s="2168"/>
      <c r="K39" s="2168"/>
      <c r="L39" s="2168"/>
      <c r="M39" s="2168"/>
      <c r="N39" s="2168"/>
      <c r="O39" s="2168"/>
    </row>
    <row r="40" spans="1:15">
      <c r="A40" s="2168"/>
      <c r="B40" s="2168"/>
      <c r="C40" s="2168"/>
      <c r="D40" s="2168"/>
      <c r="E40" s="2168"/>
      <c r="F40" s="2168"/>
      <c r="G40" s="2168"/>
      <c r="H40" s="2168"/>
      <c r="I40" s="2168"/>
      <c r="J40" s="2168"/>
      <c r="K40" s="2168"/>
      <c r="L40" s="2168"/>
      <c r="M40" s="2168"/>
      <c r="N40" s="2168"/>
      <c r="O40" s="2168"/>
    </row>
    <row r="41" spans="1:15">
      <c r="A41" s="2168"/>
      <c r="B41" s="2168"/>
      <c r="C41" s="2168"/>
      <c r="D41" s="2168"/>
      <c r="E41" s="2168"/>
      <c r="F41" s="2168"/>
      <c r="G41" s="2168"/>
      <c r="H41" s="2168"/>
      <c r="I41" s="2168"/>
      <c r="J41" s="2168"/>
      <c r="K41" s="2168"/>
      <c r="L41" s="2168"/>
      <c r="M41" s="2168"/>
      <c r="N41" s="2168"/>
      <c r="O41" s="2168"/>
    </row>
    <row r="42" spans="1:15">
      <c r="A42" s="2168"/>
      <c r="B42" s="2168"/>
      <c r="C42" s="2168"/>
      <c r="D42" s="2168"/>
      <c r="E42" s="2168"/>
      <c r="F42" s="2168"/>
      <c r="G42" s="2168"/>
      <c r="H42" s="2168"/>
      <c r="I42" s="2168"/>
      <c r="J42" s="2168"/>
      <c r="K42" s="2168"/>
      <c r="L42" s="2168"/>
      <c r="M42" s="2168"/>
      <c r="N42" s="2168"/>
      <c r="O42" s="2168"/>
    </row>
  </sheetData>
  <mergeCells count="1">
    <mergeCell ref="A5:O42"/>
  </mergeCells>
  <pageMargins left="0.7" right="0.7" top="0.75" bottom="0.75" header="0.3" footer="0.3"/>
  <pageSetup scale="68" orientation="landscape" r:id="rId1"/>
  <drawing r:id="rId2"/>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7">
    <tabColor theme="6" tint="-0.499984740745262"/>
  </sheetPr>
  <dimension ref="A6:L32"/>
  <sheetViews>
    <sheetView showGridLines="0" view="pageBreakPreview" zoomScaleNormal="100" zoomScaleSheetLayoutView="100" workbookViewId="0">
      <selection activeCell="N17" sqref="N17"/>
    </sheetView>
  </sheetViews>
  <sheetFormatPr baseColWidth="10" defaultColWidth="11.42578125" defaultRowHeight="15"/>
  <cols>
    <col min="1" max="6" width="11.42578125" style="77"/>
    <col min="7" max="7" width="8.85546875" style="77" customWidth="1"/>
    <col min="8" max="16384" width="11.42578125" style="77"/>
  </cols>
  <sheetData>
    <row r="6" spans="1:12" ht="2.25" customHeight="1"/>
    <row r="7" spans="1:12" ht="15" customHeight="1">
      <c r="A7" s="2169" t="s">
        <v>1020</v>
      </c>
      <c r="B7" s="2169"/>
      <c r="C7" s="2169"/>
      <c r="D7" s="2169"/>
      <c r="E7" s="2169"/>
      <c r="F7" s="2169"/>
      <c r="G7" s="2169"/>
      <c r="H7" s="2169"/>
      <c r="I7" s="2169"/>
      <c r="J7" s="2169"/>
      <c r="K7" s="2169"/>
      <c r="L7" s="2169"/>
    </row>
    <row r="8" spans="1:12">
      <c r="A8" s="2169"/>
      <c r="B8" s="2169"/>
      <c r="C8" s="2169"/>
      <c r="D8" s="2169"/>
      <c r="E8" s="2169"/>
      <c r="F8" s="2169"/>
      <c r="G8" s="2169"/>
      <c r="H8" s="2169"/>
      <c r="I8" s="2169"/>
      <c r="J8" s="2169"/>
      <c r="K8" s="2169"/>
      <c r="L8" s="2169"/>
    </row>
    <row r="9" spans="1:12">
      <c r="A9" s="2169"/>
      <c r="B9" s="2169"/>
      <c r="C9" s="2169"/>
      <c r="D9" s="2169"/>
      <c r="E9" s="2169"/>
      <c r="F9" s="2169"/>
      <c r="G9" s="2169"/>
      <c r="H9" s="2169"/>
      <c r="I9" s="2169"/>
      <c r="J9" s="2169"/>
      <c r="K9" s="2169"/>
      <c r="L9" s="2169"/>
    </row>
    <row r="10" spans="1:12">
      <c r="A10" s="2169"/>
      <c r="B10" s="2169"/>
      <c r="C10" s="2169"/>
      <c r="D10" s="2169"/>
      <c r="E10" s="2169"/>
      <c r="F10" s="2169"/>
      <c r="G10" s="2169"/>
      <c r="H10" s="2169"/>
      <c r="I10" s="2169"/>
      <c r="J10" s="2169"/>
      <c r="K10" s="2169"/>
      <c r="L10" s="2169"/>
    </row>
    <row r="11" spans="1:12">
      <c r="A11" s="2169"/>
      <c r="B11" s="2169"/>
      <c r="C11" s="2169"/>
      <c r="D11" s="2169"/>
      <c r="E11" s="2169"/>
      <c r="F11" s="2169"/>
      <c r="G11" s="2169"/>
      <c r="H11" s="2169"/>
      <c r="I11" s="2169"/>
      <c r="J11" s="2169"/>
      <c r="K11" s="2169"/>
      <c r="L11" s="2169"/>
    </row>
    <row r="12" spans="1:12">
      <c r="A12" s="2169"/>
      <c r="B12" s="2169"/>
      <c r="C12" s="2169"/>
      <c r="D12" s="2169"/>
      <c r="E12" s="2169"/>
      <c r="F12" s="2169"/>
      <c r="G12" s="2169"/>
      <c r="H12" s="2169"/>
      <c r="I12" s="2169"/>
      <c r="J12" s="2169"/>
      <c r="K12" s="2169"/>
      <c r="L12" s="2169"/>
    </row>
    <row r="13" spans="1:12">
      <c r="A13" s="2169"/>
      <c r="B13" s="2169"/>
      <c r="C13" s="2169"/>
      <c r="D13" s="2169"/>
      <c r="E13" s="2169"/>
      <c r="F13" s="2169"/>
      <c r="G13" s="2169"/>
      <c r="H13" s="2169"/>
      <c r="I13" s="2169"/>
      <c r="J13" s="2169"/>
      <c r="K13" s="2169"/>
      <c r="L13" s="2169"/>
    </row>
    <row r="14" spans="1:12">
      <c r="A14" s="2169"/>
      <c r="B14" s="2169"/>
      <c r="C14" s="2169"/>
      <c r="D14" s="2169"/>
      <c r="E14" s="2169"/>
      <c r="F14" s="2169"/>
      <c r="G14" s="2169"/>
      <c r="H14" s="2169"/>
      <c r="I14" s="2169"/>
      <c r="J14" s="2169"/>
      <c r="K14" s="2169"/>
      <c r="L14" s="2169"/>
    </row>
    <row r="15" spans="1:12">
      <c r="A15" s="2169"/>
      <c r="B15" s="2169"/>
      <c r="C15" s="2169"/>
      <c r="D15" s="2169"/>
      <c r="E15" s="2169"/>
      <c r="F15" s="2169"/>
      <c r="G15" s="2169"/>
      <c r="H15" s="2169"/>
      <c r="I15" s="2169"/>
      <c r="J15" s="2169"/>
      <c r="K15" s="2169"/>
      <c r="L15" s="2169"/>
    </row>
    <row r="16" spans="1:12">
      <c r="A16" s="2169"/>
      <c r="B16" s="2169"/>
      <c r="C16" s="2169"/>
      <c r="D16" s="2169"/>
      <c r="E16" s="2169"/>
      <c r="F16" s="2169"/>
      <c r="G16" s="2169"/>
      <c r="H16" s="2169"/>
      <c r="I16" s="2169"/>
      <c r="J16" s="2169"/>
      <c r="K16" s="2169"/>
      <c r="L16" s="2169"/>
    </row>
    <row r="17" spans="1:12">
      <c r="A17" s="2169"/>
      <c r="B17" s="2169"/>
      <c r="C17" s="2169"/>
      <c r="D17" s="2169"/>
      <c r="E17" s="2169"/>
      <c r="F17" s="2169"/>
      <c r="G17" s="2169"/>
      <c r="H17" s="2169"/>
      <c r="I17" s="2169"/>
      <c r="J17" s="2169"/>
      <c r="K17" s="2169"/>
      <c r="L17" s="2169"/>
    </row>
    <row r="18" spans="1:12">
      <c r="A18" s="2169"/>
      <c r="B18" s="2169"/>
      <c r="C18" s="2169"/>
      <c r="D18" s="2169"/>
      <c r="E18" s="2169"/>
      <c r="F18" s="2169"/>
      <c r="G18" s="2169"/>
      <c r="H18" s="2169"/>
      <c r="I18" s="2169"/>
      <c r="J18" s="2169"/>
      <c r="K18" s="2169"/>
      <c r="L18" s="2169"/>
    </row>
    <row r="19" spans="1:12">
      <c r="A19" s="2169"/>
      <c r="B19" s="2169"/>
      <c r="C19" s="2169"/>
      <c r="D19" s="2169"/>
      <c r="E19" s="2169"/>
      <c r="F19" s="2169"/>
      <c r="G19" s="2169"/>
      <c r="H19" s="2169"/>
      <c r="I19" s="2169"/>
      <c r="J19" s="2169"/>
      <c r="K19" s="2169"/>
      <c r="L19" s="2169"/>
    </row>
    <row r="20" spans="1:12" ht="30.75" customHeight="1">
      <c r="A20" s="2169"/>
      <c r="B20" s="2169"/>
      <c r="C20" s="2169"/>
      <c r="D20" s="2169"/>
      <c r="E20" s="2169"/>
      <c r="F20" s="2169"/>
      <c r="G20" s="2169"/>
      <c r="H20" s="2169"/>
      <c r="I20" s="2169"/>
      <c r="J20" s="2169"/>
      <c r="K20" s="2169"/>
      <c r="L20" s="2169"/>
    </row>
    <row r="21" spans="1:12">
      <c r="A21" s="2169"/>
      <c r="B21" s="2169"/>
      <c r="C21" s="2169"/>
      <c r="D21" s="2169"/>
      <c r="E21" s="2169"/>
      <c r="F21" s="2169"/>
      <c r="G21" s="2169"/>
      <c r="H21" s="2169"/>
      <c r="I21" s="2169"/>
      <c r="J21" s="2169"/>
      <c r="K21" s="2169"/>
      <c r="L21" s="2169"/>
    </row>
    <row r="22" spans="1:12">
      <c r="A22" s="2169"/>
      <c r="B22" s="2169"/>
      <c r="C22" s="2169"/>
      <c r="D22" s="2169"/>
      <c r="E22" s="2169"/>
      <c r="F22" s="2169"/>
      <c r="G22" s="2169"/>
      <c r="H22" s="2169"/>
      <c r="I22" s="2169"/>
      <c r="J22" s="2169"/>
      <c r="K22" s="2169"/>
      <c r="L22" s="2169"/>
    </row>
    <row r="23" spans="1:12">
      <c r="A23" s="2169"/>
      <c r="B23" s="2169"/>
      <c r="C23" s="2169"/>
      <c r="D23" s="2169"/>
      <c r="E23" s="2169"/>
      <c r="F23" s="2169"/>
      <c r="G23" s="2169"/>
      <c r="H23" s="2169"/>
      <c r="I23" s="2169"/>
      <c r="J23" s="2169"/>
      <c r="K23" s="2169"/>
      <c r="L23" s="2169"/>
    </row>
    <row r="24" spans="1:12">
      <c r="A24" s="2169"/>
      <c r="B24" s="2169"/>
      <c r="C24" s="2169"/>
      <c r="D24" s="2169"/>
      <c r="E24" s="2169"/>
      <c r="F24" s="2169"/>
      <c r="G24" s="2169"/>
      <c r="H24" s="2169"/>
      <c r="I24" s="2169"/>
      <c r="J24" s="2169"/>
      <c r="K24" s="2169"/>
      <c r="L24" s="2169"/>
    </row>
    <row r="25" spans="1:12">
      <c r="A25" s="2169"/>
      <c r="B25" s="2169"/>
      <c r="C25" s="2169"/>
      <c r="D25" s="2169"/>
      <c r="E25" s="2169"/>
      <c r="F25" s="2169"/>
      <c r="G25" s="2169"/>
      <c r="H25" s="2169"/>
      <c r="I25" s="2169"/>
      <c r="J25" s="2169"/>
      <c r="K25" s="2169"/>
      <c r="L25" s="2169"/>
    </row>
    <row r="26" spans="1:12">
      <c r="A26" s="2169"/>
      <c r="B26" s="2169"/>
      <c r="C26" s="2169"/>
      <c r="D26" s="2169"/>
      <c r="E26" s="2169"/>
      <c r="F26" s="2169"/>
      <c r="G26" s="2169"/>
      <c r="H26" s="2169"/>
      <c r="I26" s="2169"/>
      <c r="J26" s="2169"/>
      <c r="K26" s="2169"/>
      <c r="L26" s="2169"/>
    </row>
    <row r="27" spans="1:12">
      <c r="A27" s="2169"/>
      <c r="B27" s="2169"/>
      <c r="C27" s="2169"/>
      <c r="D27" s="2169"/>
      <c r="E27" s="2169"/>
      <c r="F27" s="2169"/>
      <c r="G27" s="2169"/>
      <c r="H27" s="2169"/>
      <c r="I27" s="2169"/>
      <c r="J27" s="2169"/>
      <c r="K27" s="2169"/>
      <c r="L27" s="2169"/>
    </row>
    <row r="28" spans="1:12">
      <c r="A28" s="2169"/>
      <c r="B28" s="2169"/>
      <c r="C28" s="2169"/>
      <c r="D28" s="2169"/>
      <c r="E28" s="2169"/>
      <c r="F28" s="2169"/>
      <c r="G28" s="2169"/>
      <c r="H28" s="2169"/>
      <c r="I28" s="2169"/>
      <c r="J28" s="2169"/>
      <c r="K28" s="2169"/>
      <c r="L28" s="2169"/>
    </row>
    <row r="29" spans="1:12">
      <c r="A29" s="2169"/>
      <c r="B29" s="2169"/>
      <c r="C29" s="2169"/>
      <c r="D29" s="2169"/>
      <c r="E29" s="2169"/>
      <c r="F29" s="2169"/>
      <c r="G29" s="2169"/>
      <c r="H29" s="2169"/>
      <c r="I29" s="2169"/>
      <c r="J29" s="2169"/>
      <c r="K29" s="2169"/>
      <c r="L29" s="2169"/>
    </row>
    <row r="30" spans="1:12">
      <c r="A30" s="2169"/>
      <c r="B30" s="2169"/>
      <c r="C30" s="2169"/>
      <c r="D30" s="2169"/>
      <c r="E30" s="2169"/>
      <c r="F30" s="2169"/>
      <c r="G30" s="2169"/>
      <c r="H30" s="2169"/>
      <c r="I30" s="2169"/>
      <c r="J30" s="2169"/>
      <c r="K30" s="2169"/>
      <c r="L30" s="2169"/>
    </row>
    <row r="31" spans="1:12">
      <c r="A31" s="2169"/>
      <c r="B31" s="2169"/>
      <c r="C31" s="2169"/>
      <c r="D31" s="2169"/>
      <c r="E31" s="2169"/>
      <c r="F31" s="2169"/>
      <c r="G31" s="2169"/>
      <c r="H31" s="2169"/>
      <c r="I31" s="2169"/>
      <c r="J31" s="2169"/>
      <c r="K31" s="2169"/>
      <c r="L31" s="2169"/>
    </row>
    <row r="32" spans="1:12" ht="48.75" customHeight="1">
      <c r="A32" s="2169"/>
      <c r="B32" s="2169"/>
      <c r="C32" s="2169"/>
      <c r="D32" s="2169"/>
      <c r="E32" s="2169"/>
      <c r="F32" s="2169"/>
      <c r="G32" s="2169"/>
      <c r="H32" s="2169"/>
      <c r="I32" s="2169"/>
      <c r="J32" s="2169"/>
      <c r="K32" s="2169"/>
      <c r="L32" s="2169"/>
    </row>
  </sheetData>
  <mergeCells count="1">
    <mergeCell ref="A7:L32"/>
  </mergeCells>
  <pageMargins left="0.7" right="0.7" top="0.75" bottom="0.75" header="0.3" footer="0.3"/>
  <pageSetup scale="77" orientation="landscape" r:id="rId1"/>
  <drawing r:id="rId2"/>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8">
    <tabColor theme="6" tint="-0.499984740745262"/>
    <pageSetUpPr fitToPage="1"/>
  </sheetPr>
  <dimension ref="A1:O9"/>
  <sheetViews>
    <sheetView showGridLines="0" view="pageBreakPreview" zoomScaleNormal="100" zoomScaleSheetLayoutView="100" workbookViewId="0">
      <selection activeCell="L4" sqref="L4"/>
    </sheetView>
  </sheetViews>
  <sheetFormatPr baseColWidth="10" defaultColWidth="11.5703125" defaultRowHeight="15"/>
  <cols>
    <col min="1" max="1" width="17.5703125" style="77" customWidth="1"/>
    <col min="2" max="2" width="9" style="1332" customWidth="1"/>
    <col min="3" max="3" width="8.7109375" style="1332" customWidth="1"/>
    <col min="4" max="4" width="9.7109375" style="1332" customWidth="1"/>
    <col min="5" max="5" width="10.28515625" style="1332" customWidth="1"/>
    <col min="6" max="6" width="10.5703125" style="1332" customWidth="1"/>
    <col min="7" max="7" width="10.85546875" style="1332" customWidth="1"/>
    <col min="8" max="8" width="10.7109375" style="1332" customWidth="1"/>
    <col min="9" max="9" width="15.7109375" style="1332" customWidth="1"/>
    <col min="10" max="10" width="12.7109375" style="1332" customWidth="1"/>
    <col min="11" max="12" width="11.5703125" style="77"/>
    <col min="13" max="13" width="21.28515625" style="77" customWidth="1"/>
    <col min="14" max="16384" width="11.5703125" style="77"/>
  </cols>
  <sheetData>
    <row r="1" spans="1:15" ht="54.75" customHeight="1">
      <c r="A1" s="2170"/>
      <c r="B1" s="2171"/>
      <c r="C1" s="2171"/>
      <c r="D1" s="2171"/>
      <c r="E1" s="2171"/>
      <c r="F1" s="2171"/>
      <c r="G1" s="2171"/>
      <c r="H1" s="2171"/>
      <c r="I1" s="2171"/>
      <c r="J1" s="2171"/>
      <c r="K1" s="2171"/>
      <c r="L1" s="2171"/>
      <c r="M1" s="2171"/>
    </row>
    <row r="2" spans="1:15" s="39" customFormat="1" ht="4.5" customHeight="1">
      <c r="A2" s="191"/>
      <c r="B2" s="1325"/>
      <c r="C2" s="1325"/>
      <c r="D2" s="1325"/>
      <c r="E2" s="1325"/>
      <c r="F2" s="1325"/>
      <c r="G2" s="1325"/>
      <c r="H2" s="1325"/>
      <c r="I2" s="1325"/>
      <c r="J2" s="1325"/>
      <c r="K2" s="192"/>
      <c r="L2" s="192"/>
      <c r="M2" s="192"/>
    </row>
    <row r="3" spans="1:15">
      <c r="A3" s="575" t="s">
        <v>404</v>
      </c>
      <c r="B3" s="1326">
        <v>2008</v>
      </c>
      <c r="C3" s="1326">
        <v>2009</v>
      </c>
      <c r="D3" s="1326">
        <v>2010</v>
      </c>
      <c r="E3" s="1326">
        <v>2011</v>
      </c>
      <c r="F3" s="1326">
        <v>2012</v>
      </c>
      <c r="G3" s="1326">
        <v>2013</v>
      </c>
      <c r="H3" s="1326">
        <v>2014</v>
      </c>
      <c r="I3" s="1326" t="s">
        <v>1028</v>
      </c>
      <c r="J3" s="1327" t="s">
        <v>23</v>
      </c>
    </row>
    <row r="4" spans="1:15">
      <c r="A4" s="576" t="s">
        <v>405</v>
      </c>
      <c r="B4" s="1328">
        <v>2518</v>
      </c>
      <c r="C4" s="1328">
        <v>16948</v>
      </c>
      <c r="D4" s="1328">
        <v>18654</v>
      </c>
      <c r="E4" s="1328">
        <v>14305</v>
      </c>
      <c r="F4" s="1328">
        <v>15292</v>
      </c>
      <c r="G4" s="1328">
        <v>19148</v>
      </c>
      <c r="H4" s="1328">
        <v>19155</v>
      </c>
      <c r="I4" s="1328">
        <v>18671</v>
      </c>
      <c r="J4" s="1329">
        <v>124679</v>
      </c>
      <c r="N4" s="173"/>
    </row>
    <row r="5" spans="1:15">
      <c r="A5" s="576" t="s">
        <v>406</v>
      </c>
      <c r="B5" s="1328">
        <v>1331</v>
      </c>
      <c r="C5" s="1328">
        <v>12867</v>
      </c>
      <c r="D5" s="1328">
        <v>14072</v>
      </c>
      <c r="E5" s="1328">
        <v>10987</v>
      </c>
      <c r="F5" s="1328">
        <v>9466</v>
      </c>
      <c r="G5" s="1328">
        <v>15638</v>
      </c>
      <c r="H5" s="1328">
        <v>14936</v>
      </c>
      <c r="I5" s="1328">
        <v>15931</v>
      </c>
      <c r="J5" s="1329">
        <v>95227</v>
      </c>
      <c r="N5" s="173"/>
    </row>
    <row r="6" spans="1:15">
      <c r="A6" s="576" t="s">
        <v>413</v>
      </c>
      <c r="B6" s="1328">
        <v>0</v>
      </c>
      <c r="C6" s="1328">
        <v>3795</v>
      </c>
      <c r="D6" s="1328">
        <v>24841</v>
      </c>
      <c r="E6" s="1328">
        <v>33003</v>
      </c>
      <c r="F6" s="1328">
        <v>37654</v>
      </c>
      <c r="G6" s="1328">
        <v>46049</v>
      </c>
      <c r="H6" s="1328">
        <v>59366</v>
      </c>
      <c r="I6" s="1328">
        <v>67983</v>
      </c>
      <c r="J6" s="1329">
        <v>272691</v>
      </c>
      <c r="N6" s="173"/>
    </row>
    <row r="7" spans="1:15">
      <c r="A7" s="575" t="s">
        <v>23</v>
      </c>
      <c r="B7" s="1330">
        <f t="shared" ref="B7:J7" si="0">SUM(B4:B6)</f>
        <v>3849</v>
      </c>
      <c r="C7" s="1330">
        <f t="shared" si="0"/>
        <v>33610</v>
      </c>
      <c r="D7" s="1330">
        <f t="shared" si="0"/>
        <v>57567</v>
      </c>
      <c r="E7" s="1330">
        <f t="shared" si="0"/>
        <v>58295</v>
      </c>
      <c r="F7" s="1330">
        <f t="shared" si="0"/>
        <v>62412</v>
      </c>
      <c r="G7" s="1330">
        <f>SUM(G4:G6)</f>
        <v>80835</v>
      </c>
      <c r="H7" s="1330">
        <f t="shared" si="0"/>
        <v>93457</v>
      </c>
      <c r="I7" s="1330">
        <f t="shared" si="0"/>
        <v>102585</v>
      </c>
      <c r="J7" s="1327">
        <f t="shared" si="0"/>
        <v>492597</v>
      </c>
      <c r="N7" s="210"/>
    </row>
    <row r="8" spans="1:15">
      <c r="A8" s="97"/>
      <c r="B8" s="1331"/>
      <c r="C8" s="1331"/>
      <c r="D8" s="1331"/>
      <c r="E8" s="1331"/>
      <c r="F8" s="1331"/>
      <c r="G8" s="1331"/>
      <c r="H8" s="1331"/>
      <c r="I8" s="1331"/>
      <c r="J8" s="1331"/>
    </row>
    <row r="9" spans="1:15">
      <c r="O9" s="77" t="s">
        <v>31</v>
      </c>
    </row>
  </sheetData>
  <mergeCells count="1">
    <mergeCell ref="A1:M1"/>
  </mergeCells>
  <pageMargins left="0.7" right="0.7" top="0.75" bottom="0.75" header="0.3" footer="0.3"/>
  <pageSetup scale="76" orientation="landscape" r:id="rId1"/>
  <drawing r:id="rId2"/>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9">
    <tabColor theme="6" tint="-0.499984740745262"/>
    <pageSetUpPr fitToPage="1"/>
  </sheetPr>
  <dimension ref="A1:N7"/>
  <sheetViews>
    <sheetView showGridLines="0" view="pageBreakPreview" topLeftCell="B1" zoomScale="70" zoomScaleNormal="100" zoomScaleSheetLayoutView="70" workbookViewId="0">
      <selection activeCell="I5" sqref="I5"/>
    </sheetView>
  </sheetViews>
  <sheetFormatPr baseColWidth="10" defaultColWidth="11.5703125" defaultRowHeight="22.5" customHeight="1"/>
  <cols>
    <col min="1" max="1" width="22.140625" style="77" customWidth="1"/>
    <col min="2" max="2" width="19.5703125" style="77" bestFit="1" customWidth="1"/>
    <col min="3" max="3" width="21" style="77" bestFit="1" customWidth="1"/>
    <col min="4" max="9" width="24.85546875" style="77" customWidth="1"/>
    <col min="10" max="10" width="25.85546875" style="77" customWidth="1"/>
    <col min="11" max="11" width="16.7109375" style="77" bestFit="1" customWidth="1"/>
    <col min="12" max="12" width="14.5703125" style="77" customWidth="1"/>
    <col min="13" max="13" width="16.85546875" style="77" customWidth="1"/>
    <col min="14" max="16384" width="11.5703125" style="77"/>
  </cols>
  <sheetData>
    <row r="1" spans="1:14" ht="81" customHeight="1">
      <c r="A1" s="2069"/>
      <c r="B1" s="2025"/>
      <c r="C1" s="2025"/>
      <c r="D1" s="2025"/>
      <c r="E1" s="2025"/>
      <c r="F1" s="2025"/>
      <c r="G1" s="2025"/>
      <c r="H1" s="2025"/>
      <c r="I1" s="2025"/>
      <c r="J1" s="2025"/>
      <c r="K1" s="2025"/>
      <c r="L1" s="2025"/>
      <c r="M1" s="2025"/>
      <c r="N1" s="2025"/>
    </row>
    <row r="2" spans="1:14" ht="10.5" customHeight="1"/>
    <row r="3" spans="1:14" ht="22.5" customHeight="1">
      <c r="A3" s="577" t="s">
        <v>404</v>
      </c>
      <c r="B3" s="580">
        <v>2008</v>
      </c>
      <c r="C3" s="580">
        <v>2009</v>
      </c>
      <c r="D3" s="580">
        <v>2010</v>
      </c>
      <c r="E3" s="580">
        <v>2011</v>
      </c>
      <c r="F3" s="580">
        <v>2012</v>
      </c>
      <c r="G3" s="580">
        <v>2013</v>
      </c>
      <c r="H3" s="580">
        <v>2014</v>
      </c>
      <c r="I3" s="580" t="s">
        <v>1016</v>
      </c>
      <c r="J3" s="577" t="s">
        <v>23</v>
      </c>
    </row>
    <row r="4" spans="1:14" ht="18.75">
      <c r="A4" s="582" t="s">
        <v>405</v>
      </c>
      <c r="B4" s="579">
        <v>69129032.280000001</v>
      </c>
      <c r="C4" s="579">
        <v>561724059.99000001</v>
      </c>
      <c r="D4" s="579">
        <v>668415203.51999998</v>
      </c>
      <c r="E4" s="579">
        <v>537305292.14999998</v>
      </c>
      <c r="F4" s="579">
        <v>571314822.09000003</v>
      </c>
      <c r="G4" s="579">
        <v>766134331.44000006</v>
      </c>
      <c r="H4" s="579">
        <v>833145694.23000002</v>
      </c>
      <c r="I4" s="579">
        <v>857877959.07000005</v>
      </c>
      <c r="J4" s="583">
        <f>SUM(B4:I4)</f>
        <v>4865046394.7700005</v>
      </c>
    </row>
    <row r="5" spans="1:14" ht="18.75">
      <c r="A5" s="582" t="s">
        <v>406</v>
      </c>
      <c r="B5" s="579">
        <v>13366656.84</v>
      </c>
      <c r="C5" s="579">
        <v>132999984.59999999</v>
      </c>
      <c r="D5" s="579">
        <v>160423346.03999999</v>
      </c>
      <c r="E5" s="579">
        <v>137088478.56</v>
      </c>
      <c r="F5" s="579">
        <v>132479645.88</v>
      </c>
      <c r="G5" s="579">
        <v>228137238.59999999</v>
      </c>
      <c r="H5" s="579">
        <v>241574218.91999999</v>
      </c>
      <c r="I5" s="579">
        <v>262358462.16</v>
      </c>
      <c r="J5" s="583">
        <f>SUM(B5:I5)</f>
        <v>1308428031.6000001</v>
      </c>
    </row>
    <row r="6" spans="1:14" ht="18.75">
      <c r="A6" s="582" t="s">
        <v>412</v>
      </c>
      <c r="B6" s="579">
        <v>0</v>
      </c>
      <c r="C6" s="579">
        <v>14428645.85</v>
      </c>
      <c r="D6" s="579">
        <v>100999551.52</v>
      </c>
      <c r="E6" s="579">
        <v>134096281.95999999</v>
      </c>
      <c r="F6" s="579">
        <v>157835997.61000001</v>
      </c>
      <c r="G6" s="579">
        <v>211271694.63</v>
      </c>
      <c r="H6" s="579">
        <v>248732154.31</v>
      </c>
      <c r="I6" s="579">
        <v>328442265.00999999</v>
      </c>
      <c r="J6" s="583">
        <f>SUM(B6:I6)</f>
        <v>1195806590.8899999</v>
      </c>
    </row>
    <row r="7" spans="1:14" ht="22.5" customHeight="1">
      <c r="A7" s="577" t="s">
        <v>23</v>
      </c>
      <c r="B7" s="581">
        <f>SUM(B4:B6)</f>
        <v>82495689.120000005</v>
      </c>
      <c r="C7" s="581">
        <f>SUM(C4:C6)</f>
        <v>709152690.44000006</v>
      </c>
      <c r="D7" s="581">
        <f t="shared" ref="D7:J7" si="0">SUM(D4:D6)</f>
        <v>929838101.07999992</v>
      </c>
      <c r="E7" s="581">
        <f t="shared" si="0"/>
        <v>808490052.67000008</v>
      </c>
      <c r="F7" s="581">
        <f t="shared" si="0"/>
        <v>861630465.58000004</v>
      </c>
      <c r="G7" s="581">
        <f t="shared" si="0"/>
        <v>1205543264.6700001</v>
      </c>
      <c r="H7" s="581">
        <f t="shared" si="0"/>
        <v>1323452067.46</v>
      </c>
      <c r="I7" s="581">
        <f>SUM(I4:I6)</f>
        <v>1448678686.24</v>
      </c>
      <c r="J7" s="578">
        <f t="shared" si="0"/>
        <v>7369281017.2600002</v>
      </c>
    </row>
  </sheetData>
  <mergeCells count="1">
    <mergeCell ref="A1:N1"/>
  </mergeCells>
  <pageMargins left="0.70866141732283472" right="0.70866141732283472" top="0.74803149606299213" bottom="0.74803149606299213" header="0.31496062992125984" footer="0.31496062992125984"/>
  <pageSetup scale="41" orientation="landscape" r:id="rId1"/>
  <drawing r:id="rId2"/>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0">
    <tabColor theme="6" tint="-0.499984740745262"/>
    <pageSetUpPr fitToPage="1"/>
  </sheetPr>
  <dimension ref="A1"/>
  <sheetViews>
    <sheetView showGridLines="0" view="pageBreakPreview" zoomScale="85" zoomScaleNormal="100" zoomScaleSheetLayoutView="85" workbookViewId="0">
      <selection activeCell="M37" sqref="M37"/>
    </sheetView>
  </sheetViews>
  <sheetFormatPr baseColWidth="10" defaultColWidth="11.42578125" defaultRowHeight="15"/>
  <cols>
    <col min="1" max="6" width="11.42578125" style="77"/>
    <col min="7" max="7" width="9.42578125" style="77" customWidth="1"/>
    <col min="8" max="16384" width="11.42578125" style="77"/>
  </cols>
  <sheetData/>
  <pageMargins left="0.7" right="0.7" top="0.75" bottom="0.75" header="0.3" footer="0.3"/>
  <pageSetup scale="91" orientation="landscape" r:id="rId1"/>
  <drawing r:id="rId2"/>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1">
    <tabColor rgb="FFFFC000"/>
    <pageSetUpPr fitToPage="1"/>
  </sheetPr>
  <dimension ref="A5:O31"/>
  <sheetViews>
    <sheetView showGridLines="0" view="pageBreakPreview" zoomScaleNormal="100" zoomScaleSheetLayoutView="100" workbookViewId="0"/>
  </sheetViews>
  <sheetFormatPr baseColWidth="10" defaultColWidth="11.42578125" defaultRowHeight="15"/>
  <cols>
    <col min="1" max="6" width="11.42578125" style="77"/>
    <col min="7" max="7" width="8.85546875" style="77" customWidth="1"/>
    <col min="8" max="8" width="11.42578125" style="77"/>
    <col min="9" max="9" width="11.5703125" style="77" customWidth="1"/>
    <col min="10" max="12" width="11.42578125" style="77"/>
    <col min="13" max="13" width="10.85546875" style="77" customWidth="1"/>
    <col min="14" max="16384" width="11.42578125" style="77"/>
  </cols>
  <sheetData>
    <row r="5" spans="1:12" ht="21.75" customHeight="1">
      <c r="A5" s="2172" t="s">
        <v>1021</v>
      </c>
      <c r="B5" s="2173"/>
      <c r="C5" s="2173"/>
      <c r="D5" s="2173"/>
      <c r="E5" s="2173"/>
      <c r="F5" s="2173"/>
      <c r="G5" s="2173"/>
      <c r="H5" s="2173"/>
      <c r="I5" s="2173"/>
      <c r="J5" s="2173"/>
      <c r="K5" s="2173"/>
      <c r="L5" s="2173"/>
    </row>
    <row r="6" spans="1:12">
      <c r="A6" s="2173"/>
      <c r="B6" s="2173"/>
      <c r="C6" s="2173"/>
      <c r="D6" s="2173"/>
      <c r="E6" s="2173"/>
      <c r="F6" s="2173"/>
      <c r="G6" s="2173"/>
      <c r="H6" s="2173"/>
      <c r="I6" s="2173"/>
      <c r="J6" s="2173"/>
      <c r="K6" s="2173"/>
      <c r="L6" s="2173"/>
    </row>
    <row r="7" spans="1:12">
      <c r="A7" s="2173"/>
      <c r="B7" s="2173"/>
      <c r="C7" s="2173"/>
      <c r="D7" s="2173"/>
      <c r="E7" s="2173"/>
      <c r="F7" s="2173"/>
      <c r="G7" s="2173"/>
      <c r="H7" s="2173"/>
      <c r="I7" s="2173"/>
      <c r="J7" s="2173"/>
      <c r="K7" s="2173"/>
      <c r="L7" s="2173"/>
    </row>
    <row r="8" spans="1:12">
      <c r="A8" s="2173"/>
      <c r="B8" s="2173"/>
      <c r="C8" s="2173"/>
      <c r="D8" s="2173"/>
      <c r="E8" s="2173"/>
      <c r="F8" s="2173"/>
      <c r="G8" s="2173"/>
      <c r="H8" s="2173"/>
      <c r="I8" s="2173"/>
      <c r="J8" s="2173"/>
      <c r="K8" s="2173"/>
      <c r="L8" s="2173"/>
    </row>
    <row r="9" spans="1:12">
      <c r="A9" s="2173"/>
      <c r="B9" s="2173"/>
      <c r="C9" s="2173"/>
      <c r="D9" s="2173"/>
      <c r="E9" s="2173"/>
      <c r="F9" s="2173"/>
      <c r="G9" s="2173"/>
      <c r="H9" s="2173"/>
      <c r="I9" s="2173"/>
      <c r="J9" s="2173"/>
      <c r="K9" s="2173"/>
      <c r="L9" s="2173"/>
    </row>
    <row r="10" spans="1:12">
      <c r="A10" s="2173"/>
      <c r="B10" s="2173"/>
      <c r="C10" s="2173"/>
      <c r="D10" s="2173"/>
      <c r="E10" s="2173"/>
      <c r="F10" s="2173"/>
      <c r="G10" s="2173"/>
      <c r="H10" s="2173"/>
      <c r="I10" s="2173"/>
      <c r="J10" s="2173"/>
      <c r="K10" s="2173"/>
      <c r="L10" s="2173"/>
    </row>
    <row r="11" spans="1:12">
      <c r="A11" s="2173"/>
      <c r="B11" s="2173"/>
      <c r="C11" s="2173"/>
      <c r="D11" s="2173"/>
      <c r="E11" s="2173"/>
      <c r="F11" s="2173"/>
      <c r="G11" s="2173"/>
      <c r="H11" s="2173"/>
      <c r="I11" s="2173"/>
      <c r="J11" s="2173"/>
      <c r="K11" s="2173"/>
      <c r="L11" s="2173"/>
    </row>
    <row r="12" spans="1:12">
      <c r="A12" s="2173"/>
      <c r="B12" s="2173"/>
      <c r="C12" s="2173"/>
      <c r="D12" s="2173"/>
      <c r="E12" s="2173"/>
      <c r="F12" s="2173"/>
      <c r="G12" s="2173"/>
      <c r="H12" s="2173"/>
      <c r="I12" s="2173"/>
      <c r="J12" s="2173"/>
      <c r="K12" s="2173"/>
      <c r="L12" s="2173"/>
    </row>
    <row r="13" spans="1:12">
      <c r="A13" s="2173"/>
      <c r="B13" s="2173"/>
      <c r="C13" s="2173"/>
      <c r="D13" s="2173"/>
      <c r="E13" s="2173"/>
      <c r="F13" s="2173"/>
      <c r="G13" s="2173"/>
      <c r="H13" s="2173"/>
      <c r="I13" s="2173"/>
      <c r="J13" s="2173"/>
      <c r="K13" s="2173"/>
      <c r="L13" s="2173"/>
    </row>
    <row r="14" spans="1:12">
      <c r="A14" s="2173"/>
      <c r="B14" s="2173"/>
      <c r="C14" s="2173"/>
      <c r="D14" s="2173"/>
      <c r="E14" s="2173"/>
      <c r="F14" s="2173"/>
      <c r="G14" s="2173"/>
      <c r="H14" s="2173"/>
      <c r="I14" s="2173"/>
      <c r="J14" s="2173"/>
      <c r="K14" s="2173"/>
      <c r="L14" s="2173"/>
    </row>
    <row r="15" spans="1:12">
      <c r="A15" s="2173"/>
      <c r="B15" s="2173"/>
      <c r="C15" s="2173"/>
      <c r="D15" s="2173"/>
      <c r="E15" s="2173"/>
      <c r="F15" s="2173"/>
      <c r="G15" s="2173"/>
      <c r="H15" s="2173"/>
      <c r="I15" s="2173"/>
      <c r="J15" s="2173"/>
      <c r="K15" s="2173"/>
      <c r="L15" s="2173"/>
    </row>
    <row r="16" spans="1:12">
      <c r="A16" s="2173"/>
      <c r="B16" s="2173"/>
      <c r="C16" s="2173"/>
      <c r="D16" s="2173"/>
      <c r="E16" s="2173"/>
      <c r="F16" s="2173"/>
      <c r="G16" s="2173"/>
      <c r="H16" s="2173"/>
      <c r="I16" s="2173"/>
      <c r="J16" s="2173"/>
      <c r="K16" s="2173"/>
      <c r="L16" s="2173"/>
    </row>
    <row r="17" spans="1:15">
      <c r="A17" s="2173"/>
      <c r="B17" s="2173"/>
      <c r="C17" s="2173"/>
      <c r="D17" s="2173"/>
      <c r="E17" s="2173"/>
      <c r="F17" s="2173"/>
      <c r="G17" s="2173"/>
      <c r="H17" s="2173"/>
      <c r="I17" s="2173"/>
      <c r="J17" s="2173"/>
      <c r="K17" s="2173"/>
      <c r="L17" s="2173"/>
    </row>
    <row r="18" spans="1:15">
      <c r="A18" s="2173"/>
      <c r="B18" s="2173"/>
      <c r="C18" s="2173"/>
      <c r="D18" s="2173"/>
      <c r="E18" s="2173"/>
      <c r="F18" s="2173"/>
      <c r="G18" s="2173"/>
      <c r="H18" s="2173"/>
      <c r="I18" s="2173"/>
      <c r="J18" s="2173"/>
      <c r="K18" s="2173"/>
      <c r="L18" s="2173"/>
    </row>
    <row r="19" spans="1:15">
      <c r="A19" s="2173"/>
      <c r="B19" s="2173"/>
      <c r="C19" s="2173"/>
      <c r="D19" s="2173"/>
      <c r="E19" s="2173"/>
      <c r="F19" s="2173"/>
      <c r="G19" s="2173"/>
      <c r="H19" s="2173"/>
      <c r="I19" s="2173"/>
      <c r="J19" s="2173"/>
      <c r="K19" s="2173"/>
      <c r="L19" s="2173"/>
    </row>
    <row r="20" spans="1:15">
      <c r="A20" s="2173"/>
      <c r="B20" s="2173"/>
      <c r="C20" s="2173"/>
      <c r="D20" s="2173"/>
      <c r="E20" s="2173"/>
      <c r="F20" s="2173"/>
      <c r="G20" s="2173"/>
      <c r="H20" s="2173"/>
      <c r="I20" s="2173"/>
      <c r="J20" s="2173"/>
      <c r="K20" s="2173"/>
      <c r="L20" s="2173"/>
    </row>
    <row r="21" spans="1:15">
      <c r="A21" s="2173"/>
      <c r="B21" s="2173"/>
      <c r="C21" s="2173"/>
      <c r="D21" s="2173"/>
      <c r="E21" s="2173"/>
      <c r="F21" s="2173"/>
      <c r="G21" s="2173"/>
      <c r="H21" s="2173"/>
      <c r="I21" s="2173"/>
      <c r="J21" s="2173"/>
      <c r="K21" s="2173"/>
      <c r="L21" s="2173"/>
    </row>
    <row r="22" spans="1:15">
      <c r="A22" s="2173"/>
      <c r="B22" s="2173"/>
      <c r="C22" s="2173"/>
      <c r="D22" s="2173"/>
      <c r="E22" s="2173"/>
      <c r="F22" s="2173"/>
      <c r="G22" s="2173"/>
      <c r="H22" s="2173"/>
      <c r="I22" s="2173"/>
      <c r="J22" s="2173"/>
      <c r="K22" s="2173"/>
      <c r="L22" s="2173"/>
    </row>
    <row r="23" spans="1:15">
      <c r="A23" s="2173"/>
      <c r="B23" s="2173"/>
      <c r="C23" s="2173"/>
      <c r="D23" s="2173"/>
      <c r="E23" s="2173"/>
      <c r="F23" s="2173"/>
      <c r="G23" s="2173"/>
      <c r="H23" s="2173"/>
      <c r="I23" s="2173"/>
      <c r="J23" s="2173"/>
      <c r="K23" s="2173"/>
      <c r="L23" s="2173"/>
    </row>
    <row r="24" spans="1:15">
      <c r="A24" s="2173"/>
      <c r="B24" s="2173"/>
      <c r="C24" s="2173"/>
      <c r="D24" s="2173"/>
      <c r="E24" s="2173"/>
      <c r="F24" s="2173"/>
      <c r="G24" s="2173"/>
      <c r="H24" s="2173"/>
      <c r="I24" s="2173"/>
      <c r="J24" s="2173"/>
      <c r="K24" s="2173"/>
      <c r="L24" s="2173"/>
    </row>
    <row r="25" spans="1:15">
      <c r="A25" s="2173"/>
      <c r="B25" s="2173"/>
      <c r="C25" s="2173"/>
      <c r="D25" s="2173"/>
      <c r="E25" s="2173"/>
      <c r="F25" s="2173"/>
      <c r="G25" s="2173"/>
      <c r="H25" s="2173"/>
      <c r="I25" s="2173"/>
      <c r="J25" s="2173"/>
      <c r="K25" s="2173"/>
      <c r="L25" s="2173"/>
    </row>
    <row r="26" spans="1:15">
      <c r="A26" s="2173"/>
      <c r="B26" s="2173"/>
      <c r="C26" s="2173"/>
      <c r="D26" s="2173"/>
      <c r="E26" s="2173"/>
      <c r="F26" s="2173"/>
      <c r="G26" s="2173"/>
      <c r="H26" s="2173"/>
      <c r="I26" s="2173"/>
      <c r="J26" s="2173"/>
      <c r="K26" s="2173"/>
      <c r="L26" s="2173"/>
      <c r="N26" s="277"/>
      <c r="O26" s="277"/>
    </row>
    <row r="27" spans="1:15">
      <c r="A27" s="2173"/>
      <c r="B27" s="2173"/>
      <c r="C27" s="2173"/>
      <c r="D27" s="2173"/>
      <c r="E27" s="2173"/>
      <c r="F27" s="2173"/>
      <c r="G27" s="2173"/>
      <c r="H27" s="2173"/>
      <c r="I27" s="2173"/>
      <c r="J27" s="2173"/>
      <c r="K27" s="2173"/>
      <c r="L27" s="2173"/>
    </row>
    <row r="28" spans="1:15">
      <c r="A28" s="2173"/>
      <c r="B28" s="2173"/>
      <c r="C28" s="2173"/>
      <c r="D28" s="2173"/>
      <c r="E28" s="2173"/>
      <c r="F28" s="2173"/>
      <c r="G28" s="2173"/>
      <c r="H28" s="2173"/>
      <c r="I28" s="2173"/>
      <c r="J28" s="2173"/>
      <c r="K28" s="2173"/>
      <c r="L28" s="2173"/>
    </row>
    <row r="29" spans="1:15">
      <c r="A29" s="2173"/>
      <c r="B29" s="2173"/>
      <c r="C29" s="2173"/>
      <c r="D29" s="2173"/>
      <c r="E29" s="2173"/>
      <c r="F29" s="2173"/>
      <c r="G29" s="2173"/>
      <c r="H29" s="2173"/>
      <c r="I29" s="2173"/>
      <c r="J29" s="2173"/>
      <c r="K29" s="2173"/>
      <c r="L29" s="2173"/>
    </row>
    <row r="30" spans="1:15">
      <c r="A30" s="2173"/>
      <c r="B30" s="2173"/>
      <c r="C30" s="2173"/>
      <c r="D30" s="2173"/>
      <c r="E30" s="2173"/>
      <c r="F30" s="2173"/>
      <c r="G30" s="2173"/>
      <c r="H30" s="2173"/>
      <c r="I30" s="2173"/>
      <c r="J30" s="2173"/>
      <c r="K30" s="2173"/>
      <c r="L30" s="2173"/>
    </row>
    <row r="31" spans="1:15">
      <c r="A31" s="2173"/>
      <c r="B31" s="2173"/>
      <c r="C31" s="2173"/>
      <c r="D31" s="2173"/>
      <c r="E31" s="2173"/>
      <c r="F31" s="2173"/>
      <c r="G31" s="2173"/>
      <c r="H31" s="2173"/>
      <c r="I31" s="2173"/>
      <c r="J31" s="2173"/>
      <c r="K31" s="2173"/>
      <c r="L31" s="2173"/>
    </row>
  </sheetData>
  <mergeCells count="1">
    <mergeCell ref="A5:L31"/>
  </mergeCells>
  <pageMargins left="0.7" right="0.7" top="0.75" bottom="0.75" header="0.3" footer="0.3"/>
  <pageSetup scale="91"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tabColor theme="9" tint="-0.499984740745262"/>
    <pageSetUpPr fitToPage="1"/>
  </sheetPr>
  <dimension ref="A2:U37"/>
  <sheetViews>
    <sheetView showGridLines="0" view="pageBreakPreview" zoomScale="40" zoomScaleNormal="85" zoomScaleSheetLayoutView="40" workbookViewId="0">
      <selection activeCell="P44" sqref="P44"/>
    </sheetView>
  </sheetViews>
  <sheetFormatPr baseColWidth="10" defaultColWidth="11.42578125" defaultRowHeight="13.5" customHeight="1"/>
  <cols>
    <col min="1" max="1" width="24.42578125" style="70" customWidth="1"/>
    <col min="2" max="2" width="18" style="70" customWidth="1"/>
    <col min="3" max="3" width="17.5703125" style="70" hidden="1" customWidth="1"/>
    <col min="4" max="4" width="22.140625" style="70" customWidth="1"/>
    <col min="5" max="5" width="19.85546875" style="70" customWidth="1"/>
    <col min="6" max="6" width="2.85546875" style="70" hidden="1" customWidth="1"/>
    <col min="7" max="7" width="24.5703125" style="70" customWidth="1"/>
    <col min="8" max="8" width="22.85546875" style="70" customWidth="1"/>
    <col min="9" max="11" width="21.42578125" style="70" customWidth="1"/>
    <col min="12" max="12" width="21.85546875" style="70" customWidth="1"/>
    <col min="13" max="13" width="20.28515625" style="70" customWidth="1"/>
    <col min="14" max="14" width="21.5703125" style="70" customWidth="1"/>
    <col min="15" max="15" width="6.28515625" style="70" customWidth="1"/>
    <col min="16" max="16" width="19.7109375" style="1606" customWidth="1"/>
    <col min="17" max="17" width="13.42578125" style="70" customWidth="1"/>
    <col min="18" max="18" width="13.7109375" style="70" customWidth="1"/>
    <col min="19" max="16384" width="11.42578125" style="70"/>
  </cols>
  <sheetData>
    <row r="2" spans="1:21" ht="65.25" customHeight="1"/>
    <row r="3" spans="1:21" ht="39.75" customHeight="1">
      <c r="A3" s="2018"/>
      <c r="B3" s="2018"/>
      <c r="C3" s="2018"/>
      <c r="D3" s="2018"/>
      <c r="E3" s="2018"/>
      <c r="F3" s="2018"/>
      <c r="G3" s="2018"/>
      <c r="H3" s="2018"/>
      <c r="I3" s="2018"/>
      <c r="J3" s="2018"/>
      <c r="K3" s="2018"/>
      <c r="L3" s="2018"/>
      <c r="M3" s="2018"/>
      <c r="N3" s="2018"/>
      <c r="P3" s="1607"/>
      <c r="Q3"/>
    </row>
    <row r="4" spans="1:21" s="298" customFormat="1" ht="61.5" customHeight="1">
      <c r="A4" s="302" t="s">
        <v>578</v>
      </c>
      <c r="B4" s="332" t="s">
        <v>546</v>
      </c>
      <c r="C4" s="332" t="s">
        <v>545</v>
      </c>
      <c r="D4" s="332" t="s">
        <v>543</v>
      </c>
      <c r="E4" s="332" t="s">
        <v>547</v>
      </c>
      <c r="F4" s="332" t="s">
        <v>568</v>
      </c>
      <c r="G4" s="333" t="s">
        <v>544</v>
      </c>
      <c r="H4" s="293"/>
      <c r="I4" s="294"/>
      <c r="J4" s="294"/>
      <c r="K4" s="294"/>
      <c r="L4" s="295"/>
      <c r="M4" s="295"/>
      <c r="N4" s="295"/>
      <c r="O4" s="295"/>
      <c r="P4" s="1608"/>
      <c r="Q4" s="296"/>
      <c r="R4" s="297"/>
      <c r="U4" s="299"/>
    </row>
    <row r="5" spans="1:21" ht="21" customHeight="1">
      <c r="A5" s="334" t="s">
        <v>579</v>
      </c>
      <c r="B5" s="1653">
        <v>41044</v>
      </c>
      <c r="C5" s="371"/>
      <c r="D5" s="1654">
        <f>+B5/$B$14</f>
        <v>0.58830105924004183</v>
      </c>
      <c r="E5" s="371">
        <v>105336</v>
      </c>
      <c r="F5" s="371"/>
      <c r="G5" s="372">
        <f t="shared" ref="G5:G13" si="0">+E5/$F$14</f>
        <v>6.0168310876460636E-2</v>
      </c>
      <c r="H5" s="77"/>
      <c r="I5" s="119"/>
      <c r="J5" s="119"/>
      <c r="K5" s="119"/>
      <c r="L5" s="252"/>
      <c r="M5" s="249"/>
      <c r="N5" s="249"/>
      <c r="O5" s="250"/>
      <c r="P5" s="1609"/>
      <c r="Q5" s="251"/>
      <c r="U5" s="161"/>
    </row>
    <row r="6" spans="1:21" ht="21" customHeight="1">
      <c r="A6" s="334" t="s">
        <v>580</v>
      </c>
      <c r="B6" s="1655">
        <v>12193</v>
      </c>
      <c r="C6" s="373"/>
      <c r="D6" s="1656">
        <f t="shared" ref="D6:D13" si="1">+B6/$B$14</f>
        <v>0.1747674401937879</v>
      </c>
      <c r="E6" s="373">
        <v>92604</v>
      </c>
      <c r="F6" s="373"/>
      <c r="G6" s="374">
        <f t="shared" si="0"/>
        <v>5.2895745617868167E-2</v>
      </c>
      <c r="H6" s="77"/>
      <c r="I6" s="119"/>
      <c r="J6" s="119"/>
      <c r="K6" s="119"/>
      <c r="L6" s="252"/>
      <c r="M6" s="249"/>
      <c r="N6" s="249"/>
      <c r="O6" s="250"/>
      <c r="P6" s="1610"/>
      <c r="Q6" s="373"/>
      <c r="R6" s="373"/>
      <c r="S6" s="373"/>
      <c r="U6" s="161"/>
    </row>
    <row r="7" spans="1:21" ht="21" customHeight="1">
      <c r="A7" s="334" t="s">
        <v>581</v>
      </c>
      <c r="B7" s="1655">
        <v>7664</v>
      </c>
      <c r="C7" s="373"/>
      <c r="D7" s="1656">
        <f t="shared" si="1"/>
        <v>0.10985136239196182</v>
      </c>
      <c r="E7" s="373">
        <v>111161</v>
      </c>
      <c r="F7" s="373"/>
      <c r="G7" s="374">
        <f t="shared" si="0"/>
        <v>6.3495572314671539E-2</v>
      </c>
      <c r="H7" s="77"/>
      <c r="I7" s="119"/>
      <c r="J7" s="119"/>
      <c r="K7" s="119"/>
      <c r="L7" s="252"/>
      <c r="M7" s="249"/>
      <c r="N7" s="249"/>
      <c r="O7" s="250"/>
      <c r="P7" s="1610"/>
      <c r="Q7" s="373"/>
      <c r="R7" s="373"/>
      <c r="S7" s="373"/>
      <c r="U7" s="161"/>
    </row>
    <row r="8" spans="1:21" ht="21" customHeight="1">
      <c r="A8" s="334" t="s">
        <v>582</v>
      </c>
      <c r="B8" s="1655">
        <v>5174</v>
      </c>
      <c r="C8" s="373"/>
      <c r="D8" s="1656">
        <f t="shared" si="1"/>
        <v>7.416113635386358E-2</v>
      </c>
      <c r="E8" s="373">
        <v>161087</v>
      </c>
      <c r="F8" s="373"/>
      <c r="G8" s="374">
        <f t="shared" si="0"/>
        <v>9.2013487261301125E-2</v>
      </c>
      <c r="H8" s="132"/>
      <c r="I8" s="251"/>
      <c r="J8" s="251"/>
      <c r="K8" s="251"/>
      <c r="L8" s="253"/>
      <c r="M8" s="249"/>
      <c r="N8" s="249"/>
      <c r="O8" s="250"/>
      <c r="P8" s="1610"/>
      <c r="Q8" s="373"/>
      <c r="R8" s="373"/>
      <c r="S8" s="373"/>
    </row>
    <row r="9" spans="1:21" ht="21" customHeight="1">
      <c r="A9" s="334" t="s">
        <v>583</v>
      </c>
      <c r="B9" s="1655">
        <v>1711</v>
      </c>
      <c r="C9" s="373"/>
      <c r="D9" s="1656">
        <f t="shared" si="1"/>
        <v>2.4524488655094816E-2</v>
      </c>
      <c r="E9" s="373">
        <v>120240</v>
      </c>
      <c r="F9" s="373"/>
      <c r="G9" s="374">
        <f t="shared" si="0"/>
        <v>6.8681530528837506E-2</v>
      </c>
      <c r="H9" s="161"/>
      <c r="I9" s="254"/>
      <c r="J9" s="254"/>
      <c r="K9" s="254"/>
      <c r="L9" s="253"/>
      <c r="M9" s="249"/>
      <c r="N9" s="249"/>
      <c r="O9" s="250"/>
      <c r="P9" s="1610"/>
      <c r="Q9" s="373"/>
      <c r="R9" s="373"/>
      <c r="S9" s="373"/>
      <c r="U9" s="161"/>
    </row>
    <row r="10" spans="1:21" ht="21" customHeight="1">
      <c r="A10" s="334" t="s">
        <v>584</v>
      </c>
      <c r="B10" s="1655">
        <v>1553</v>
      </c>
      <c r="C10" s="373"/>
      <c r="D10" s="1656">
        <f t="shared" si="1"/>
        <v>2.225980764544842E-2</v>
      </c>
      <c r="E10" s="373">
        <v>319019</v>
      </c>
      <c r="F10" s="373"/>
      <c r="G10" s="374">
        <f t="shared" si="0"/>
        <v>0.18222482691100475</v>
      </c>
      <c r="H10" s="77"/>
      <c r="I10" s="119"/>
      <c r="J10" s="119"/>
      <c r="K10" s="119"/>
      <c r="L10" s="253"/>
      <c r="M10" s="249"/>
      <c r="N10" s="249"/>
      <c r="O10" s="250"/>
      <c r="P10" s="1610"/>
      <c r="Q10" s="373"/>
      <c r="R10" s="373"/>
      <c r="S10" s="373"/>
    </row>
    <row r="11" spans="1:21" ht="21" customHeight="1">
      <c r="A11" s="334" t="s">
        <v>585</v>
      </c>
      <c r="B11" s="1655">
        <v>229</v>
      </c>
      <c r="C11" s="373"/>
      <c r="D11" s="1656">
        <f t="shared" si="1"/>
        <v>3.2823541215761033E-3</v>
      </c>
      <c r="E11" s="373">
        <v>161306</v>
      </c>
      <c r="F11" s="373"/>
      <c r="G11" s="374">
        <f t="shared" si="0"/>
        <v>9.213858086730424E-2</v>
      </c>
      <c r="H11" s="77"/>
      <c r="I11" s="119"/>
      <c r="J11" s="119"/>
      <c r="K11" s="119"/>
      <c r="L11" s="253"/>
      <c r="M11" s="249"/>
      <c r="N11" s="249"/>
      <c r="O11" s="250"/>
      <c r="P11" s="1610"/>
      <c r="Q11" s="373"/>
      <c r="R11" s="373"/>
      <c r="S11" s="373"/>
    </row>
    <row r="12" spans="1:21" ht="21" customHeight="1">
      <c r="A12" s="334" t="s">
        <v>586</v>
      </c>
      <c r="B12" s="1655">
        <v>195</v>
      </c>
      <c r="C12" s="373"/>
      <c r="D12" s="1656">
        <f t="shared" si="1"/>
        <v>2.7950177017787778E-3</v>
      </c>
      <c r="E12" s="373">
        <v>421490</v>
      </c>
      <c r="F12" s="373"/>
      <c r="G12" s="374">
        <f t="shared" si="0"/>
        <v>0.24075663924317797</v>
      </c>
      <c r="H12" s="100"/>
      <c r="I12" s="100"/>
      <c r="J12" s="100"/>
      <c r="K12" s="100"/>
      <c r="L12" s="253"/>
      <c r="M12" s="249"/>
      <c r="N12" s="249"/>
      <c r="O12" s="254"/>
      <c r="P12" s="1610"/>
      <c r="Q12" s="373"/>
      <c r="R12" s="373"/>
      <c r="S12" s="373"/>
    </row>
    <row r="13" spans="1:21" ht="21" customHeight="1">
      <c r="A13" s="334" t="s">
        <v>587</v>
      </c>
      <c r="B13" s="1655">
        <v>4</v>
      </c>
      <c r="C13" s="373"/>
      <c r="D13" s="1656">
        <f t="shared" si="1"/>
        <v>5.7333696446744162E-5</v>
      </c>
      <c r="E13" s="373">
        <v>258446</v>
      </c>
      <c r="F13" s="373"/>
      <c r="G13" s="374">
        <f t="shared" si="0"/>
        <v>0.14762530637937407</v>
      </c>
      <c r="H13" s="100"/>
      <c r="I13" s="100"/>
      <c r="J13" s="100"/>
      <c r="K13" s="100"/>
      <c r="L13" s="255"/>
      <c r="M13" s="249"/>
      <c r="N13" s="249"/>
      <c r="O13" s="250"/>
      <c r="P13" s="1610"/>
      <c r="Q13" s="373"/>
      <c r="R13" s="373"/>
      <c r="S13" s="373"/>
    </row>
    <row r="14" spans="1:21" ht="18.75" customHeight="1">
      <c r="A14" s="335" t="s">
        <v>23</v>
      </c>
      <c r="B14" s="375">
        <f>SUM(B5:B13)</f>
        <v>69767</v>
      </c>
      <c r="C14" s="376">
        <f>SUM(B5:B13)</f>
        <v>69767</v>
      </c>
      <c r="D14" s="377">
        <f>SUM(D5:D13)</f>
        <v>1</v>
      </c>
      <c r="E14" s="376">
        <f>SUM(E5:E13)</f>
        <v>1750689</v>
      </c>
      <c r="F14" s="376">
        <f>SUM(E5:E13)</f>
        <v>1750689</v>
      </c>
      <c r="G14" s="378">
        <f>SUM(G5:G13)</f>
        <v>0.99999999999999989</v>
      </c>
      <c r="H14" s="100"/>
      <c r="I14" s="100"/>
      <c r="J14" s="100"/>
      <c r="K14" s="100"/>
      <c r="L14" s="255"/>
      <c r="M14" s="249"/>
      <c r="N14" s="249"/>
      <c r="O14" s="250"/>
      <c r="P14" s="1610"/>
      <c r="Q14" s="373"/>
      <c r="R14" s="373"/>
      <c r="S14" s="373"/>
    </row>
    <row r="15" spans="1:21" ht="13.5" customHeight="1">
      <c r="A15" s="100"/>
      <c r="B15" s="100"/>
      <c r="C15" s="100"/>
      <c r="D15" s="100"/>
      <c r="E15" s="100"/>
      <c r="F15" s="100"/>
      <c r="G15" s="100"/>
      <c r="H15" s="100"/>
      <c r="I15" s="100"/>
      <c r="J15" s="100"/>
      <c r="K15" s="100"/>
      <c r="L15" s="100"/>
      <c r="M15" s="100"/>
      <c r="P15" s="1610"/>
      <c r="Q15" s="373"/>
      <c r="R15" s="373"/>
      <c r="S15" s="373"/>
    </row>
    <row r="16" spans="1:21" ht="13.5" customHeight="1">
      <c r="A16" s="100"/>
      <c r="B16" s="100"/>
      <c r="C16" s="100"/>
      <c r="D16" s="100"/>
      <c r="E16" s="100"/>
      <c r="F16" s="100"/>
      <c r="G16" s="100"/>
      <c r="H16" s="100"/>
      <c r="I16" s="100"/>
      <c r="J16" s="100"/>
      <c r="K16" s="100"/>
      <c r="L16" s="100"/>
      <c r="M16" s="100"/>
      <c r="P16" s="1610"/>
      <c r="Q16" s="373"/>
      <c r="R16" s="373"/>
      <c r="S16" s="373"/>
    </row>
    <row r="17" spans="1:19" ht="13.5" customHeight="1">
      <c r="A17" s="100"/>
      <c r="B17" s="100"/>
      <c r="C17" s="100"/>
      <c r="D17" s="100"/>
      <c r="E17" s="100"/>
      <c r="F17" s="100"/>
      <c r="G17" s="100"/>
      <c r="H17" s="100"/>
      <c r="I17" s="100"/>
      <c r="J17" s="100"/>
      <c r="K17" s="100"/>
      <c r="L17" s="100"/>
      <c r="M17" s="100"/>
      <c r="P17" s="1610"/>
      <c r="Q17" s="373"/>
      <c r="R17" s="373"/>
      <c r="S17" s="373"/>
    </row>
    <row r="18" spans="1:19" ht="13.5" customHeight="1">
      <c r="A18" s="100"/>
      <c r="B18" s="100"/>
      <c r="C18" s="100"/>
      <c r="D18" s="100"/>
      <c r="E18" s="100"/>
      <c r="F18" s="100"/>
      <c r="G18" s="100"/>
      <c r="H18" s="100"/>
      <c r="I18" s="100"/>
      <c r="J18" s="100"/>
      <c r="K18" s="100"/>
      <c r="L18" s="100"/>
      <c r="M18" s="100"/>
      <c r="P18" s="1610"/>
      <c r="Q18" s="373"/>
      <c r="R18" s="373"/>
      <c r="S18" s="373"/>
    </row>
    <row r="19" spans="1:19" ht="13.5" customHeight="1">
      <c r="A19" s="100"/>
      <c r="B19" s="100"/>
      <c r="C19" s="100"/>
      <c r="D19" s="100"/>
      <c r="E19" s="100"/>
      <c r="F19" s="100"/>
      <c r="G19" s="100"/>
      <c r="H19" s="100"/>
      <c r="I19" s="100"/>
      <c r="J19" s="100"/>
      <c r="K19" s="100"/>
      <c r="L19" s="100"/>
      <c r="M19" s="100"/>
      <c r="P19" s="1610"/>
      <c r="Q19" s="373"/>
      <c r="R19" s="373"/>
      <c r="S19" s="373"/>
    </row>
    <row r="20" spans="1:19" ht="13.5" customHeight="1">
      <c r="A20" s="100"/>
      <c r="B20" s="100"/>
      <c r="C20" s="100"/>
      <c r="D20" s="100"/>
      <c r="E20" s="100"/>
      <c r="F20" s="100"/>
      <c r="G20" s="100"/>
      <c r="H20" s="100"/>
      <c r="I20" s="100"/>
      <c r="J20" s="100"/>
      <c r="K20" s="100"/>
      <c r="L20" s="100"/>
      <c r="M20" s="100"/>
      <c r="P20" s="1610"/>
      <c r="Q20" s="373"/>
      <c r="R20" s="373"/>
      <c r="S20" s="373"/>
    </row>
    <row r="21" spans="1:19" ht="13.5" customHeight="1">
      <c r="A21" s="100"/>
      <c r="B21" s="100"/>
      <c r="C21" s="100"/>
      <c r="D21" s="100"/>
      <c r="E21" s="100"/>
      <c r="F21" s="100"/>
      <c r="G21" s="100"/>
      <c r="H21" s="100"/>
      <c r="I21" s="100"/>
      <c r="J21" s="100"/>
      <c r="K21" s="100"/>
      <c r="L21" s="100"/>
      <c r="M21" s="100"/>
      <c r="P21" s="1610"/>
      <c r="Q21" s="373"/>
      <c r="R21" s="373"/>
      <c r="S21" s="373"/>
    </row>
    <row r="22" spans="1:19" ht="13.5" customHeight="1">
      <c r="A22" s="100"/>
      <c r="B22" s="100"/>
      <c r="C22" s="100"/>
      <c r="D22" s="100"/>
      <c r="E22" s="100"/>
      <c r="F22" s="100"/>
      <c r="G22" s="100"/>
      <c r="H22" s="100"/>
      <c r="I22" s="100"/>
      <c r="J22" s="100"/>
      <c r="K22" s="100"/>
      <c r="L22" s="100"/>
      <c r="M22" s="100"/>
      <c r="P22" s="1610"/>
      <c r="Q22" s="373"/>
      <c r="R22" s="373"/>
      <c r="S22" s="373"/>
    </row>
    <row r="23" spans="1:19" ht="13.5" customHeight="1">
      <c r="A23" s="100"/>
      <c r="B23" s="100"/>
      <c r="C23" s="100"/>
      <c r="D23" s="100"/>
      <c r="E23" s="100"/>
      <c r="F23" s="100"/>
      <c r="G23" s="100"/>
      <c r="H23" s="100"/>
      <c r="I23" s="100"/>
      <c r="J23" s="100"/>
      <c r="K23" s="100"/>
      <c r="L23" s="100"/>
      <c r="M23" s="100"/>
      <c r="P23" s="1610"/>
      <c r="Q23" s="373"/>
      <c r="R23" s="373"/>
      <c r="S23" s="373"/>
    </row>
    <row r="24" spans="1:19" ht="13.5" customHeight="1">
      <c r="A24" s="100"/>
      <c r="B24" s="100"/>
      <c r="C24" s="100"/>
      <c r="D24" s="100"/>
      <c r="E24" s="100"/>
      <c r="F24" s="100"/>
      <c r="G24" s="100"/>
      <c r="H24" s="100"/>
      <c r="I24" s="100"/>
      <c r="J24" s="100"/>
      <c r="K24" s="100"/>
      <c r="L24" s="100"/>
      <c r="M24" s="100"/>
      <c r="P24" s="1610"/>
      <c r="Q24" s="373"/>
      <c r="R24" s="373"/>
      <c r="S24" s="373"/>
    </row>
    <row r="25" spans="1:19" ht="13.5" customHeight="1">
      <c r="A25" s="100"/>
      <c r="B25" s="100"/>
      <c r="C25" s="100"/>
      <c r="D25" s="100"/>
      <c r="E25" s="100"/>
      <c r="F25" s="100"/>
      <c r="G25" s="100"/>
      <c r="H25" s="100"/>
      <c r="I25" s="100"/>
      <c r="J25" s="100"/>
      <c r="K25" s="100"/>
      <c r="L25" s="100"/>
      <c r="M25" s="100"/>
      <c r="P25" s="1610"/>
      <c r="Q25" s="373"/>
      <c r="R25" s="373"/>
      <c r="S25" s="373"/>
    </row>
    <row r="26" spans="1:19" ht="13.5" customHeight="1">
      <c r="A26" s="100"/>
      <c r="B26" s="100"/>
      <c r="C26" s="100"/>
      <c r="D26" s="100"/>
      <c r="E26" s="100"/>
      <c r="F26" s="100"/>
      <c r="G26" s="100"/>
      <c r="H26" s="100"/>
      <c r="I26" s="100"/>
      <c r="J26" s="100"/>
      <c r="K26" s="100"/>
      <c r="L26" s="100"/>
      <c r="M26" s="100"/>
      <c r="P26" s="1610"/>
      <c r="Q26" s="373"/>
      <c r="R26" s="373"/>
      <c r="S26" s="373"/>
    </row>
    <row r="27" spans="1:19" ht="13.5" customHeight="1">
      <c r="A27" s="100"/>
      <c r="B27" s="100"/>
      <c r="C27" s="100"/>
      <c r="D27" s="100"/>
      <c r="E27" s="100"/>
      <c r="F27" s="100"/>
      <c r="G27" s="100"/>
      <c r="H27" s="100"/>
      <c r="I27" s="100"/>
      <c r="J27" s="100"/>
      <c r="K27" s="100"/>
      <c r="L27" s="100"/>
      <c r="M27" s="100"/>
      <c r="P27" s="1610"/>
      <c r="Q27" s="373"/>
      <c r="R27" s="373"/>
      <c r="S27" s="373"/>
    </row>
    <row r="28" spans="1:19" ht="13.5" customHeight="1">
      <c r="A28" s="100"/>
      <c r="B28" s="100"/>
      <c r="C28" s="100"/>
      <c r="D28" s="100"/>
      <c r="E28" s="100"/>
      <c r="F28" s="100"/>
      <c r="G28" s="100"/>
      <c r="H28" s="100"/>
      <c r="I28" s="100"/>
      <c r="J28" s="100"/>
      <c r="K28" s="100"/>
      <c r="L28" s="100"/>
      <c r="M28" s="100"/>
      <c r="P28" s="1610"/>
      <c r="Q28" s="373"/>
      <c r="R28" s="373"/>
      <c r="S28" s="373"/>
    </row>
    <row r="29" spans="1:19" ht="13.5" customHeight="1">
      <c r="A29" s="100"/>
      <c r="B29" s="100"/>
      <c r="C29" s="100"/>
      <c r="D29" s="100"/>
      <c r="E29" s="100"/>
      <c r="F29" s="100"/>
      <c r="G29" s="100"/>
      <c r="H29" s="100"/>
      <c r="I29" s="100"/>
      <c r="J29" s="100"/>
      <c r="K29" s="100"/>
      <c r="L29" s="100"/>
      <c r="M29" s="100"/>
      <c r="P29" s="1610"/>
      <c r="Q29" s="373"/>
      <c r="R29" s="373"/>
      <c r="S29" s="373"/>
    </row>
    <row r="30" spans="1:19" ht="13.5" customHeight="1">
      <c r="A30" s="100"/>
      <c r="B30" s="100"/>
      <c r="C30" s="100"/>
      <c r="D30" s="100"/>
      <c r="E30" s="100"/>
      <c r="F30" s="100"/>
      <c r="G30" s="100"/>
      <c r="H30" s="100"/>
      <c r="I30" s="100"/>
      <c r="J30" s="100"/>
      <c r="K30" s="100"/>
      <c r="L30" s="100"/>
      <c r="M30" s="100"/>
    </row>
    <row r="31" spans="1:19" ht="13.5" customHeight="1">
      <c r="A31" s="100"/>
      <c r="B31" s="100"/>
      <c r="C31" s="100"/>
      <c r="D31" s="100"/>
      <c r="E31" s="100"/>
      <c r="F31" s="100"/>
      <c r="G31" s="100"/>
      <c r="H31" s="100"/>
      <c r="I31" s="100"/>
      <c r="J31" s="100"/>
      <c r="K31" s="100"/>
      <c r="L31" s="100"/>
      <c r="M31" s="100"/>
    </row>
    <row r="32" spans="1:19" ht="13.5" customHeight="1">
      <c r="A32" s="100"/>
      <c r="B32" s="100"/>
      <c r="C32" s="100"/>
      <c r="D32" s="100"/>
      <c r="E32" s="100"/>
      <c r="F32" s="100"/>
      <c r="G32" s="100"/>
      <c r="H32" s="100"/>
      <c r="I32" s="100"/>
      <c r="J32" s="100"/>
      <c r="K32" s="100"/>
      <c r="L32" s="100"/>
      <c r="M32" s="100"/>
    </row>
    <row r="33" spans="1:13" ht="13.5" customHeight="1">
      <c r="A33" s="100"/>
      <c r="B33" s="100"/>
      <c r="C33" s="100"/>
      <c r="D33" s="100"/>
      <c r="E33" s="100"/>
      <c r="F33" s="100"/>
      <c r="G33" s="100"/>
      <c r="H33" s="100"/>
      <c r="I33" s="100"/>
      <c r="J33" s="100"/>
      <c r="K33" s="100"/>
      <c r="L33" s="100"/>
      <c r="M33" s="100"/>
    </row>
    <row r="34" spans="1:13" ht="13.5" customHeight="1">
      <c r="A34" s="100"/>
      <c r="B34" s="100"/>
      <c r="C34" s="100"/>
      <c r="D34" s="100"/>
      <c r="E34" s="100"/>
      <c r="F34" s="100"/>
      <c r="G34" s="100"/>
      <c r="H34" s="100"/>
      <c r="I34" s="100"/>
      <c r="J34" s="100"/>
      <c r="K34" s="100"/>
      <c r="L34" s="100"/>
      <c r="M34" s="100"/>
    </row>
    <row r="35" spans="1:13" ht="13.5" customHeight="1">
      <c r="A35" s="100"/>
      <c r="B35" s="100"/>
      <c r="C35" s="100"/>
      <c r="D35" s="100"/>
      <c r="E35" s="100"/>
      <c r="F35" s="100"/>
      <c r="G35" s="100"/>
      <c r="H35" s="100"/>
      <c r="I35" s="100"/>
      <c r="J35" s="100"/>
      <c r="K35" s="100"/>
      <c r="L35" s="100"/>
      <c r="M35" s="100"/>
    </row>
    <row r="36" spans="1:13" ht="13.5" customHeight="1">
      <c r="A36" s="100"/>
      <c r="B36" s="100"/>
      <c r="C36" s="100"/>
      <c r="D36" s="100"/>
      <c r="E36" s="100"/>
      <c r="F36" s="100"/>
      <c r="G36" s="100"/>
      <c r="H36" s="100"/>
      <c r="I36" s="100"/>
      <c r="J36" s="100"/>
      <c r="K36" s="100"/>
      <c r="L36" s="100"/>
      <c r="M36" s="100"/>
    </row>
    <row r="37" spans="1:13" ht="13.5" customHeight="1">
      <c r="A37" s="100"/>
      <c r="B37" s="100"/>
      <c r="C37" s="100"/>
      <c r="D37" s="100"/>
      <c r="E37" s="100"/>
      <c r="F37" s="100"/>
      <c r="G37" s="100"/>
      <c r="H37" s="100"/>
      <c r="I37" s="100"/>
      <c r="J37" s="100"/>
      <c r="K37" s="100"/>
      <c r="L37" s="100"/>
      <c r="M37" s="100"/>
    </row>
  </sheetData>
  <mergeCells count="1">
    <mergeCell ref="A3:N3"/>
  </mergeCells>
  <printOptions horizontalCentered="1" verticalCentered="1"/>
  <pageMargins left="0.4" right="0.4" top="0.25" bottom="0.25" header="0.31496062992126" footer="0.31496062992126"/>
  <pageSetup scale="50" orientation="landscape" r:id="rId1"/>
  <drawing r:id="rId2"/>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2">
    <tabColor rgb="FF00B050"/>
    <pageSetUpPr fitToPage="1"/>
  </sheetPr>
  <dimension ref="A1:L18"/>
  <sheetViews>
    <sheetView showGridLines="0" view="pageBreakPreview" zoomScale="55" zoomScaleNormal="100" zoomScaleSheetLayoutView="55" workbookViewId="0">
      <selection activeCell="A2" sqref="A2"/>
    </sheetView>
  </sheetViews>
  <sheetFormatPr baseColWidth="10" defaultColWidth="11.42578125" defaultRowHeight="15"/>
  <cols>
    <col min="1" max="1" width="25.140625" style="77" customWidth="1"/>
    <col min="2" max="2" width="23.42578125" style="77" customWidth="1"/>
    <col min="3" max="3" width="25.28515625" style="77" customWidth="1"/>
    <col min="4" max="4" width="22.7109375" style="77" customWidth="1"/>
    <col min="5" max="5" width="17.7109375" style="77" customWidth="1"/>
    <col min="6" max="6" width="30.28515625" style="77" customWidth="1"/>
    <col min="7" max="7" width="26.5703125" style="77" customWidth="1"/>
    <col min="8" max="8" width="14.5703125" style="77" bestFit="1" customWidth="1"/>
    <col min="9" max="9" width="35" style="77" customWidth="1"/>
    <col min="10" max="10" width="27.140625" style="77" customWidth="1"/>
    <col min="11" max="11" width="33.28515625" style="77" customWidth="1"/>
    <col min="12" max="12" width="16.28515625" style="77" customWidth="1"/>
    <col min="13" max="16384" width="11.42578125" style="77"/>
  </cols>
  <sheetData>
    <row r="1" spans="1:12" ht="104.25" customHeight="1">
      <c r="A1" s="2069"/>
      <c r="B1" s="2069"/>
      <c r="C1" s="2069"/>
      <c r="D1" s="2069"/>
      <c r="E1" s="2069"/>
      <c r="F1" s="2069"/>
      <c r="G1" s="2069"/>
      <c r="H1" s="2069"/>
      <c r="I1" s="2069"/>
      <c r="J1" s="2069"/>
      <c r="K1" s="2069"/>
      <c r="L1" s="2069"/>
    </row>
    <row r="2" spans="1:12" ht="4.5" customHeight="1"/>
    <row r="3" spans="1:12" ht="32.25" customHeight="1">
      <c r="A3" s="1028"/>
      <c r="B3" s="2174" t="s">
        <v>186</v>
      </c>
      <c r="C3" s="2175"/>
      <c r="D3" s="2175"/>
      <c r="E3" s="2175"/>
      <c r="F3" s="2175"/>
      <c r="G3" s="2176"/>
    </row>
    <row r="4" spans="1:12" ht="45" customHeight="1">
      <c r="A4" s="1029" t="s">
        <v>189</v>
      </c>
      <c r="B4" s="1029" t="s">
        <v>187</v>
      </c>
      <c r="C4" s="1634" t="s">
        <v>491</v>
      </c>
      <c r="D4" s="1634" t="s">
        <v>768</v>
      </c>
      <c r="E4" s="1634" t="s">
        <v>204</v>
      </c>
      <c r="F4" s="1634" t="s">
        <v>205</v>
      </c>
      <c r="G4" s="1030" t="s">
        <v>206</v>
      </c>
    </row>
    <row r="5" spans="1:12" ht="18.75">
      <c r="A5" s="1636">
        <v>2003</v>
      </c>
      <c r="B5" s="1637">
        <v>3</v>
      </c>
      <c r="C5" s="1638">
        <v>24</v>
      </c>
      <c r="D5" s="1638"/>
      <c r="E5" s="1639">
        <f t="shared" ref="E5:E17" si="0">+B5+C5+D5</f>
        <v>27</v>
      </c>
      <c r="F5" s="1640">
        <f t="shared" ref="F5:F17" si="1">B5/E5</f>
        <v>0.1111111111111111</v>
      </c>
      <c r="G5" s="1641">
        <f t="shared" ref="G5:G17" si="2">C5/E5</f>
        <v>0.88888888888888884</v>
      </c>
    </row>
    <row r="6" spans="1:12" ht="18.75">
      <c r="A6" s="1636">
        <v>2004</v>
      </c>
      <c r="B6" s="1032">
        <v>2</v>
      </c>
      <c r="C6" s="1033">
        <v>63</v>
      </c>
      <c r="D6" s="1033"/>
      <c r="E6" s="1034">
        <f t="shared" si="0"/>
        <v>65</v>
      </c>
      <c r="F6" s="1035">
        <f t="shared" si="1"/>
        <v>3.0769230769230771E-2</v>
      </c>
      <c r="G6" s="1036">
        <f t="shared" si="2"/>
        <v>0.96923076923076923</v>
      </c>
    </row>
    <row r="7" spans="1:12" ht="18.75">
      <c r="A7" s="1636">
        <v>2005</v>
      </c>
      <c r="B7" s="1032">
        <v>34</v>
      </c>
      <c r="C7" s="1033">
        <v>181</v>
      </c>
      <c r="D7" s="1033"/>
      <c r="E7" s="1034">
        <f t="shared" si="0"/>
        <v>215</v>
      </c>
      <c r="F7" s="1035">
        <f t="shared" si="1"/>
        <v>0.15813953488372093</v>
      </c>
      <c r="G7" s="1036">
        <f t="shared" si="2"/>
        <v>0.8418604651162791</v>
      </c>
    </row>
    <row r="8" spans="1:12" ht="18.75">
      <c r="A8" s="1636">
        <v>2006</v>
      </c>
      <c r="B8" s="1032">
        <v>99</v>
      </c>
      <c r="C8" s="1033">
        <v>278</v>
      </c>
      <c r="D8" s="1033">
        <v>3</v>
      </c>
      <c r="E8" s="1034">
        <f t="shared" si="0"/>
        <v>380</v>
      </c>
      <c r="F8" s="1035">
        <f t="shared" si="1"/>
        <v>0.26052631578947366</v>
      </c>
      <c r="G8" s="1036">
        <f t="shared" si="2"/>
        <v>0.73157894736842111</v>
      </c>
    </row>
    <row r="9" spans="1:12" ht="18.75">
      <c r="A9" s="1636">
        <v>2007</v>
      </c>
      <c r="B9" s="1032">
        <v>154</v>
      </c>
      <c r="C9" s="1033">
        <v>252</v>
      </c>
      <c r="D9" s="1033"/>
      <c r="E9" s="1034">
        <f t="shared" si="0"/>
        <v>406</v>
      </c>
      <c r="F9" s="1035">
        <f t="shared" si="1"/>
        <v>0.37931034482758619</v>
      </c>
      <c r="G9" s="1036">
        <f t="shared" si="2"/>
        <v>0.62068965517241381</v>
      </c>
    </row>
    <row r="10" spans="1:12" ht="18.75">
      <c r="A10" s="1636">
        <v>2008</v>
      </c>
      <c r="B10" s="1037">
        <v>246</v>
      </c>
      <c r="C10" s="1038">
        <v>362</v>
      </c>
      <c r="D10" s="1038"/>
      <c r="E10" s="1034">
        <f t="shared" si="0"/>
        <v>608</v>
      </c>
      <c r="F10" s="1035">
        <f t="shared" si="1"/>
        <v>0.40460526315789475</v>
      </c>
      <c r="G10" s="1036">
        <f t="shared" si="2"/>
        <v>0.59539473684210531</v>
      </c>
    </row>
    <row r="11" spans="1:12" ht="18.75">
      <c r="A11" s="1636">
        <v>2009</v>
      </c>
      <c r="B11" s="1037">
        <v>258</v>
      </c>
      <c r="C11" s="1038">
        <v>581</v>
      </c>
      <c r="D11" s="1038">
        <v>1</v>
      </c>
      <c r="E11" s="1034">
        <f t="shared" si="0"/>
        <v>840</v>
      </c>
      <c r="F11" s="1035">
        <f t="shared" si="1"/>
        <v>0.30714285714285716</v>
      </c>
      <c r="G11" s="1036">
        <f t="shared" si="2"/>
        <v>0.69166666666666665</v>
      </c>
    </row>
    <row r="12" spans="1:12" ht="18.75">
      <c r="A12" s="1636">
        <v>2010</v>
      </c>
      <c r="B12" s="1037">
        <v>255</v>
      </c>
      <c r="C12" s="1038">
        <v>415</v>
      </c>
      <c r="D12" s="1038">
        <v>1</v>
      </c>
      <c r="E12" s="1034">
        <f t="shared" si="0"/>
        <v>671</v>
      </c>
      <c r="F12" s="1035">
        <f t="shared" si="1"/>
        <v>0.38002980625931443</v>
      </c>
      <c r="G12" s="1036">
        <f t="shared" si="2"/>
        <v>0.61847988077496274</v>
      </c>
    </row>
    <row r="13" spans="1:12" ht="18.75">
      <c r="A13" s="1636">
        <v>2011</v>
      </c>
      <c r="B13" s="1037">
        <v>369</v>
      </c>
      <c r="C13" s="1038">
        <v>506</v>
      </c>
      <c r="D13" s="1038"/>
      <c r="E13" s="1034">
        <f t="shared" si="0"/>
        <v>875</v>
      </c>
      <c r="F13" s="1035">
        <f t="shared" si="1"/>
        <v>0.42171428571428571</v>
      </c>
      <c r="G13" s="1036">
        <f t="shared" si="2"/>
        <v>0.57828571428571429</v>
      </c>
    </row>
    <row r="14" spans="1:12" ht="18.75">
      <c r="A14" s="1636">
        <v>2012</v>
      </c>
      <c r="B14" s="1037">
        <v>628</v>
      </c>
      <c r="C14" s="1038">
        <v>603</v>
      </c>
      <c r="D14" s="1038">
        <v>1</v>
      </c>
      <c r="E14" s="1034">
        <f t="shared" si="0"/>
        <v>1232</v>
      </c>
      <c r="F14" s="1035">
        <f t="shared" si="1"/>
        <v>0.50974025974025972</v>
      </c>
      <c r="G14" s="1036">
        <f t="shared" si="2"/>
        <v>0.48944805194805197</v>
      </c>
    </row>
    <row r="15" spans="1:12" ht="18.75">
      <c r="A15" s="1636" t="s">
        <v>561</v>
      </c>
      <c r="B15" s="1037">
        <v>1205</v>
      </c>
      <c r="C15" s="1038">
        <v>659</v>
      </c>
      <c r="D15" s="1038">
        <v>8</v>
      </c>
      <c r="E15" s="1034">
        <f t="shared" si="0"/>
        <v>1872</v>
      </c>
      <c r="F15" s="1035">
        <f t="shared" si="1"/>
        <v>0.64369658119658124</v>
      </c>
      <c r="G15" s="1036">
        <f t="shared" si="2"/>
        <v>0.35202991452991456</v>
      </c>
    </row>
    <row r="16" spans="1:12" ht="18.75">
      <c r="A16" s="1636" t="s">
        <v>569</v>
      </c>
      <c r="B16" s="1037">
        <v>1005</v>
      </c>
      <c r="C16" s="1038">
        <v>722</v>
      </c>
      <c r="D16" s="1038">
        <v>7</v>
      </c>
      <c r="E16" s="1034">
        <f t="shared" si="0"/>
        <v>1734</v>
      </c>
      <c r="F16" s="1035">
        <f t="shared" si="1"/>
        <v>0.57958477508650519</v>
      </c>
      <c r="G16" s="1036">
        <f t="shared" si="2"/>
        <v>0.41637831603229525</v>
      </c>
    </row>
    <row r="17" spans="1:7" ht="18.75">
      <c r="A17" s="1636" t="s">
        <v>1012</v>
      </c>
      <c r="B17" s="1037">
        <v>702</v>
      </c>
      <c r="C17" s="1038">
        <v>756</v>
      </c>
      <c r="D17" s="1038"/>
      <c r="E17" s="1034">
        <f t="shared" si="0"/>
        <v>1458</v>
      </c>
      <c r="F17" s="1035">
        <f t="shared" si="1"/>
        <v>0.48148148148148145</v>
      </c>
      <c r="G17" s="1036">
        <f t="shared" si="2"/>
        <v>0.51851851851851849</v>
      </c>
    </row>
    <row r="18" spans="1:7" ht="18.75">
      <c r="A18" s="1635" t="s">
        <v>101</v>
      </c>
      <c r="B18" s="1642">
        <f>SUM(B5:B17)</f>
        <v>4960</v>
      </c>
      <c r="C18" s="1039">
        <f>SUM(C5:C17)</f>
        <v>5402</v>
      </c>
      <c r="D18" s="1039">
        <f>SUM(D5:D17)</f>
        <v>21</v>
      </c>
      <c r="E18" s="1039">
        <f>SUM(E5:E17)</f>
        <v>10383</v>
      </c>
      <c r="F18" s="1039"/>
      <c r="G18" s="1040"/>
    </row>
  </sheetData>
  <mergeCells count="2">
    <mergeCell ref="A1:L1"/>
    <mergeCell ref="B3:G3"/>
  </mergeCells>
  <printOptions horizontalCentered="1" verticalCentered="1"/>
  <pageMargins left="0.4" right="0.4" top="0.25" bottom="0.25" header="0.31496062992126" footer="0.31496062992126"/>
  <pageSetup scale="44" orientation="landscape" r:id="rId1"/>
  <drawing r:id="rId2"/>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3">
    <tabColor rgb="FF00B050"/>
  </sheetPr>
  <dimension ref="A1:N13"/>
  <sheetViews>
    <sheetView showGridLines="0" view="pageBreakPreview" zoomScale="70" zoomScaleNormal="100" zoomScaleSheetLayoutView="70" workbookViewId="0">
      <selection activeCell="F4" sqref="F4"/>
    </sheetView>
  </sheetViews>
  <sheetFormatPr baseColWidth="10" defaultRowHeight="15"/>
  <cols>
    <col min="1" max="1" width="47.7109375" customWidth="1"/>
    <col min="2" max="2" width="22.5703125" customWidth="1"/>
    <col min="3" max="3" width="25.28515625" customWidth="1"/>
    <col min="4" max="4" width="19.85546875" customWidth="1"/>
  </cols>
  <sheetData>
    <row r="1" spans="1:14" ht="79.5" customHeight="1">
      <c r="A1" s="2107"/>
      <c r="B1" s="2107"/>
      <c r="C1" s="2107"/>
      <c r="D1" s="2107"/>
      <c r="E1" s="2107"/>
      <c r="F1" s="2107"/>
      <c r="G1" s="2107"/>
      <c r="H1" s="2107"/>
      <c r="I1" s="2107"/>
      <c r="J1" s="2107"/>
      <c r="K1" s="2107"/>
      <c r="L1" s="2107"/>
      <c r="M1" s="2107"/>
      <c r="N1" s="2107"/>
    </row>
    <row r="2" spans="1:14" ht="14.25" customHeight="1">
      <c r="A2" s="2177"/>
      <c r="B2" s="2177"/>
    </row>
    <row r="3" spans="1:14" ht="22.5" customHeight="1">
      <c r="A3" s="585" t="s">
        <v>494</v>
      </c>
      <c r="B3" s="935" t="s">
        <v>519</v>
      </c>
      <c r="C3" s="935" t="s">
        <v>520</v>
      </c>
      <c r="D3" s="400" t="s">
        <v>518</v>
      </c>
    </row>
    <row r="4" spans="1:14" s="212" customFormat="1" ht="18.75">
      <c r="A4" s="1485" t="s">
        <v>99</v>
      </c>
      <c r="B4" s="584">
        <v>4331.46</v>
      </c>
      <c r="C4" s="584">
        <v>9489.67</v>
      </c>
      <c r="D4" s="586">
        <v>7552.33</v>
      </c>
    </row>
    <row r="5" spans="1:14" s="212" customFormat="1" ht="18.75">
      <c r="A5" s="1485" t="s">
        <v>100</v>
      </c>
      <c r="B5" s="584">
        <v>4415.5600000000004</v>
      </c>
      <c r="C5" s="584">
        <v>10518.48</v>
      </c>
      <c r="D5" s="586">
        <v>7742.88</v>
      </c>
    </row>
    <row r="6" spans="1:14" s="212" customFormat="1" ht="18.75">
      <c r="A6" s="1485" t="s">
        <v>90</v>
      </c>
      <c r="B6" s="584">
        <v>3304.24</v>
      </c>
      <c r="C6" s="584">
        <v>7175.03</v>
      </c>
      <c r="D6" s="586">
        <v>5933.45</v>
      </c>
    </row>
    <row r="7" spans="1:14" s="212" customFormat="1" ht="18.75">
      <c r="A7" s="1485" t="s">
        <v>91</v>
      </c>
      <c r="B7" s="584">
        <v>2638.59</v>
      </c>
      <c r="C7" s="584">
        <v>6566.04</v>
      </c>
      <c r="D7" s="586">
        <v>4846.3999999999996</v>
      </c>
    </row>
    <row r="8" spans="1:14" s="212" customFormat="1" ht="18.75">
      <c r="A8" s="1485" t="s">
        <v>92</v>
      </c>
      <c r="B8" s="584">
        <v>4096.8999999999996</v>
      </c>
      <c r="C8" s="584">
        <v>8756.7900000000009</v>
      </c>
      <c r="D8" s="586">
        <v>7102.74</v>
      </c>
    </row>
    <row r="9" spans="1:14" s="212" customFormat="1" ht="18.75">
      <c r="A9" s="1485" t="s">
        <v>492</v>
      </c>
      <c r="B9" s="584">
        <v>9823.9699999999993</v>
      </c>
      <c r="C9" s="584">
        <v>30605.45</v>
      </c>
      <c r="D9" s="586">
        <v>25987.34</v>
      </c>
    </row>
    <row r="10" spans="1:14" s="212" customFormat="1" ht="18.75">
      <c r="A10" s="1485" t="s">
        <v>493</v>
      </c>
      <c r="B10" s="584">
        <v>10676.58</v>
      </c>
      <c r="C10" s="584">
        <v>23153</v>
      </c>
      <c r="D10" s="586">
        <v>17568.310000000001</v>
      </c>
    </row>
    <row r="11" spans="1:14" s="212" customFormat="1" ht="18" customHeight="1">
      <c r="A11" s="1485" t="s">
        <v>759</v>
      </c>
      <c r="B11" s="584">
        <v>5880.07</v>
      </c>
      <c r="C11" s="584">
        <v>15277.17</v>
      </c>
      <c r="D11" s="586">
        <v>10954.09</v>
      </c>
    </row>
    <row r="12" spans="1:14" s="77" customFormat="1" ht="15.75" customHeight="1">
      <c r="A12" s="1404" t="s">
        <v>23</v>
      </c>
      <c r="B12" s="1406">
        <v>4168.6099999999997</v>
      </c>
      <c r="C12" s="1405">
        <v>9757.23</v>
      </c>
      <c r="D12" s="1405">
        <v>7483.05</v>
      </c>
    </row>
    <row r="13" spans="1:14" ht="18.75">
      <c r="A13" s="587" t="s">
        <v>975</v>
      </c>
      <c r="B13" s="588"/>
      <c r="C13" s="588"/>
      <c r="D13" s="588"/>
      <c r="F13" s="77"/>
      <c r="G13" s="77"/>
      <c r="H13" s="77"/>
      <c r="I13" s="77"/>
      <c r="J13" s="77"/>
      <c r="K13" s="77"/>
      <c r="L13" s="77"/>
      <c r="M13" s="77"/>
    </row>
  </sheetData>
  <mergeCells count="2">
    <mergeCell ref="A2:B2"/>
    <mergeCell ref="A1:N1"/>
  </mergeCells>
  <pageMargins left="0.7" right="0.7" top="0.75" bottom="0.75" header="0.3" footer="0.3"/>
  <pageSetup scale="52" orientation="landscape" r:id="rId1"/>
  <drawing r:id="rId2"/>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4">
    <tabColor rgb="FF00B050"/>
  </sheetPr>
  <dimension ref="A1:AZ52"/>
  <sheetViews>
    <sheetView showGridLines="0" view="pageBreakPreview" zoomScaleNormal="85" zoomScaleSheetLayoutView="100" workbookViewId="0">
      <selection activeCell="B12" sqref="B12"/>
    </sheetView>
  </sheetViews>
  <sheetFormatPr baseColWidth="10" defaultRowHeight="15"/>
  <cols>
    <col min="1" max="1" width="22.42578125" customWidth="1"/>
    <col min="2" max="2" width="15.42578125" customWidth="1"/>
    <col min="3" max="3" width="14.5703125" customWidth="1"/>
    <col min="9" max="9" width="18.7109375" customWidth="1"/>
    <col min="11" max="11" width="10.140625" customWidth="1"/>
    <col min="17" max="17" width="13.7109375" customWidth="1"/>
    <col min="19" max="19" width="12" customWidth="1"/>
  </cols>
  <sheetData>
    <row r="1" spans="1:17" ht="37.5" customHeight="1">
      <c r="A1" s="2179"/>
      <c r="B1" s="2179"/>
      <c r="C1" s="2179"/>
      <c r="D1" s="2179"/>
      <c r="E1" s="2179"/>
      <c r="F1" s="2179"/>
      <c r="G1" s="2179"/>
      <c r="H1" s="2179"/>
      <c r="I1" s="2179"/>
      <c r="J1" s="236"/>
      <c r="K1" s="236"/>
      <c r="L1" s="2178"/>
      <c r="M1" s="2178"/>
      <c r="N1" s="2178"/>
      <c r="O1" s="2178"/>
      <c r="P1" s="2178"/>
      <c r="Q1" s="2178"/>
    </row>
    <row r="2" spans="1:17" s="77" customFormat="1" ht="15.75" customHeight="1"/>
    <row r="3" spans="1:17">
      <c r="A3" s="751" t="s">
        <v>494</v>
      </c>
      <c r="B3" s="753" t="s">
        <v>188</v>
      </c>
      <c r="C3" s="754" t="s">
        <v>187</v>
      </c>
    </row>
    <row r="4" spans="1:17" ht="12.75" customHeight="1">
      <c r="A4" s="755" t="s">
        <v>99</v>
      </c>
      <c r="B4" s="1408">
        <v>11720.59</v>
      </c>
      <c r="C4" s="1409">
        <f>+'V.3.3.Pens.Disc. AFP'!D4</f>
        <v>7552.33</v>
      </c>
    </row>
    <row r="5" spans="1:17" ht="12.75" customHeight="1">
      <c r="A5" s="755" t="s">
        <v>100</v>
      </c>
      <c r="B5" s="1408">
        <v>12182.96</v>
      </c>
      <c r="C5" s="1409">
        <f>+'V.3.3.Pens.Disc. AFP'!D5</f>
        <v>7742.88</v>
      </c>
    </row>
    <row r="6" spans="1:17" ht="12.75" customHeight="1">
      <c r="A6" s="755" t="s">
        <v>90</v>
      </c>
      <c r="B6" s="1408">
        <v>896334</v>
      </c>
      <c r="C6" s="1409">
        <f>+'V.3.3.Pens.Disc. AFP'!D6</f>
        <v>5933.45</v>
      </c>
    </row>
    <row r="7" spans="1:17" ht="12.75" customHeight="1">
      <c r="A7" s="755" t="s">
        <v>91</v>
      </c>
      <c r="B7" s="1408">
        <v>9034.92</v>
      </c>
      <c r="C7" s="1409">
        <f>+'V.3.3.Pens.Disc. AFP'!D7</f>
        <v>4846.3999999999996</v>
      </c>
    </row>
    <row r="8" spans="1:17" ht="12.75" customHeight="1">
      <c r="A8" s="755" t="s">
        <v>92</v>
      </c>
      <c r="B8" s="1408">
        <v>10510.29</v>
      </c>
      <c r="C8" s="1409">
        <f>+'V.3.3.Pens.Disc. AFP'!D8</f>
        <v>7102.74</v>
      </c>
    </row>
    <row r="9" spans="1:17" ht="12.75" customHeight="1">
      <c r="A9" s="755" t="s">
        <v>497</v>
      </c>
      <c r="B9" s="1408">
        <v>27808.65</v>
      </c>
      <c r="C9" s="1409">
        <f>+'V.3.3.Pens.Disc. AFP'!D9</f>
        <v>25987.34</v>
      </c>
    </row>
    <row r="10" spans="1:17" ht="12.75" customHeight="1">
      <c r="A10" s="755" t="s">
        <v>496</v>
      </c>
      <c r="B10" s="1408">
        <v>11103.35</v>
      </c>
      <c r="C10" s="1409">
        <f>+'V.3.3.Pens.Disc. AFP'!D10</f>
        <v>17568.310000000001</v>
      </c>
    </row>
    <row r="11" spans="1:17" ht="12.75" customHeight="1">
      <c r="A11" s="755" t="s">
        <v>495</v>
      </c>
      <c r="B11" s="1408">
        <v>9215.2800000000007</v>
      </c>
      <c r="C11" s="1409">
        <f>+'V.3.3.Pens.Disc. AFP'!D11</f>
        <v>10954.09</v>
      </c>
    </row>
    <row r="12" spans="1:17">
      <c r="A12" s="752" t="s">
        <v>512</v>
      </c>
      <c r="B12" s="940">
        <v>10742.74</v>
      </c>
      <c r="C12" s="1407">
        <f>+'V.3.3.Pens.Disc. AFP'!D12</f>
        <v>7483.05</v>
      </c>
    </row>
    <row r="13" spans="1:17">
      <c r="A13" s="1041" t="s">
        <v>976</v>
      </c>
      <c r="B13" s="94"/>
    </row>
    <row r="16" spans="1:17" ht="15" customHeight="1"/>
    <row r="17" ht="15" customHeight="1"/>
    <row r="39" spans="1:52" hidden="1">
      <c r="A39" s="77"/>
      <c r="B39" s="77"/>
      <c r="C39" s="77"/>
      <c r="D39" s="77"/>
      <c r="E39" s="77"/>
      <c r="F39" s="77"/>
      <c r="G39" s="77"/>
      <c r="H39" s="77"/>
      <c r="I39" s="77"/>
      <c r="J39" s="77"/>
      <c r="K39" s="77"/>
      <c r="L39" s="77"/>
      <c r="M39" s="77"/>
      <c r="N39" s="77"/>
      <c r="O39" s="77"/>
      <c r="P39" s="233"/>
      <c r="Q39" s="233"/>
      <c r="R39" s="77"/>
      <c r="S39" s="77"/>
      <c r="T39" s="77"/>
      <c r="U39" s="77"/>
      <c r="V39" s="77"/>
      <c r="W39" s="77"/>
      <c r="X39" s="77"/>
      <c r="Y39" s="77"/>
      <c r="Z39" s="77"/>
      <c r="AA39" s="77"/>
      <c r="AB39" s="77"/>
      <c r="AC39" s="77"/>
      <c r="AD39" s="77"/>
      <c r="AE39" s="77"/>
      <c r="AF39" s="77"/>
      <c r="AG39" s="77"/>
      <c r="AH39" s="77"/>
      <c r="AI39" s="77"/>
      <c r="AJ39" s="77"/>
      <c r="AK39" s="77"/>
      <c r="AL39" s="77"/>
      <c r="AM39" s="77"/>
      <c r="AN39" s="77"/>
      <c r="AO39" s="77"/>
      <c r="AP39" s="77"/>
      <c r="AQ39" s="77"/>
      <c r="AR39" s="77"/>
      <c r="AS39" s="77"/>
      <c r="AT39" s="77"/>
      <c r="AU39" s="77"/>
    </row>
    <row r="40" spans="1:52" hidden="1">
      <c r="B40" s="227" t="s">
        <v>515</v>
      </c>
      <c r="C40" s="234" t="s">
        <v>516</v>
      </c>
      <c r="D40" s="227" t="s">
        <v>515</v>
      </c>
      <c r="E40" s="234" t="s">
        <v>516</v>
      </c>
      <c r="F40" s="227" t="s">
        <v>515</v>
      </c>
      <c r="G40" s="234" t="s">
        <v>516</v>
      </c>
      <c r="H40" s="227" t="s">
        <v>515</v>
      </c>
      <c r="I40" s="234" t="s">
        <v>516</v>
      </c>
      <c r="J40" s="227" t="s">
        <v>515</v>
      </c>
      <c r="K40" s="234" t="s">
        <v>516</v>
      </c>
      <c r="L40" s="227" t="s">
        <v>515</v>
      </c>
      <c r="M40" s="234" t="s">
        <v>516</v>
      </c>
      <c r="N40" s="227" t="s">
        <v>515</v>
      </c>
      <c r="O40" s="234" t="s">
        <v>516</v>
      </c>
      <c r="P40" s="227" t="s">
        <v>515</v>
      </c>
      <c r="Q40" s="234" t="s">
        <v>516</v>
      </c>
      <c r="R40" s="227" t="s">
        <v>515</v>
      </c>
      <c r="S40" s="234" t="s">
        <v>516</v>
      </c>
      <c r="T40" s="227" t="s">
        <v>515</v>
      </c>
      <c r="U40" s="234" t="s">
        <v>516</v>
      </c>
      <c r="V40" s="227" t="s">
        <v>515</v>
      </c>
      <c r="W40" s="234" t="s">
        <v>516</v>
      </c>
      <c r="X40" s="227" t="s">
        <v>515</v>
      </c>
      <c r="Y40" s="234" t="s">
        <v>516</v>
      </c>
      <c r="Z40" s="227" t="s">
        <v>515</v>
      </c>
      <c r="AA40" s="234" t="s">
        <v>516</v>
      </c>
      <c r="AB40" s="227" t="s">
        <v>515</v>
      </c>
      <c r="AC40" s="234" t="s">
        <v>516</v>
      </c>
      <c r="AD40" s="227" t="s">
        <v>515</v>
      </c>
      <c r="AE40" s="234" t="s">
        <v>516</v>
      </c>
      <c r="AF40" s="227" t="s">
        <v>515</v>
      </c>
      <c r="AG40" s="234" t="s">
        <v>516</v>
      </c>
      <c r="AH40" s="227" t="s">
        <v>515</v>
      </c>
      <c r="AI40" s="234" t="s">
        <v>516</v>
      </c>
      <c r="AJ40" s="227" t="s">
        <v>515</v>
      </c>
      <c r="AK40" s="234" t="s">
        <v>516</v>
      </c>
      <c r="AL40" s="227" t="s">
        <v>515</v>
      </c>
      <c r="AM40" s="234" t="s">
        <v>516</v>
      </c>
      <c r="AN40" s="227" t="s">
        <v>515</v>
      </c>
      <c r="AO40" s="234" t="s">
        <v>516</v>
      </c>
      <c r="AP40" s="227" t="s">
        <v>515</v>
      </c>
      <c r="AQ40" s="234" t="s">
        <v>516</v>
      </c>
      <c r="AR40" s="227" t="s">
        <v>515</v>
      </c>
      <c r="AS40" s="234" t="s">
        <v>516</v>
      </c>
      <c r="AT40" s="227" t="s">
        <v>515</v>
      </c>
      <c r="AU40" s="234" t="s">
        <v>516</v>
      </c>
      <c r="AV40" s="227" t="s">
        <v>515</v>
      </c>
      <c r="AW40" s="234" t="s">
        <v>516</v>
      </c>
      <c r="AX40" s="227" t="s">
        <v>515</v>
      </c>
      <c r="AY40" s="234" t="s">
        <v>516</v>
      </c>
    </row>
    <row r="41" spans="1:52" hidden="1">
      <c r="A41" s="228" t="s">
        <v>494</v>
      </c>
      <c r="B41" s="227" t="s">
        <v>509</v>
      </c>
      <c r="C41" s="234" t="s">
        <v>509</v>
      </c>
      <c r="D41" s="227" t="s">
        <v>510</v>
      </c>
      <c r="E41" s="234" t="s">
        <v>510</v>
      </c>
      <c r="F41" s="227" t="s">
        <v>511</v>
      </c>
      <c r="G41" s="234" t="s">
        <v>511</v>
      </c>
      <c r="H41" s="227" t="s">
        <v>506</v>
      </c>
      <c r="I41" s="234" t="s">
        <v>506</v>
      </c>
      <c r="J41" s="227" t="s">
        <v>507</v>
      </c>
      <c r="K41" s="234" t="s">
        <v>507</v>
      </c>
      <c r="L41" s="227" t="s">
        <v>508</v>
      </c>
      <c r="M41" s="234" t="s">
        <v>508</v>
      </c>
      <c r="N41" s="227" t="s">
        <v>498</v>
      </c>
      <c r="O41" s="234" t="s">
        <v>498</v>
      </c>
      <c r="P41" s="230" t="s">
        <v>517</v>
      </c>
      <c r="Q41" s="234" t="s">
        <v>517</v>
      </c>
      <c r="R41" s="230" t="s">
        <v>499</v>
      </c>
      <c r="S41" s="234" t="s">
        <v>499</v>
      </c>
      <c r="T41" s="230" t="s">
        <v>483</v>
      </c>
      <c r="U41" s="234" t="s">
        <v>483</v>
      </c>
      <c r="V41" s="230" t="s">
        <v>500</v>
      </c>
      <c r="W41" s="234" t="s">
        <v>500</v>
      </c>
      <c r="X41" s="230" t="s">
        <v>501</v>
      </c>
      <c r="Y41" s="234" t="s">
        <v>501</v>
      </c>
      <c r="Z41" s="230" t="s">
        <v>420</v>
      </c>
      <c r="AA41" s="234" t="s">
        <v>420</v>
      </c>
      <c r="AB41" s="227" t="s">
        <v>502</v>
      </c>
      <c r="AC41" s="234" t="s">
        <v>502</v>
      </c>
      <c r="AD41" s="227" t="s">
        <v>513</v>
      </c>
      <c r="AE41" s="234" t="s">
        <v>513</v>
      </c>
      <c r="AF41" s="227" t="s">
        <v>504</v>
      </c>
      <c r="AG41" s="234" t="s">
        <v>504</v>
      </c>
      <c r="AH41" s="227" t="s">
        <v>421</v>
      </c>
      <c r="AI41" s="234" t="s">
        <v>421</v>
      </c>
      <c r="AJ41" s="227" t="s">
        <v>505</v>
      </c>
      <c r="AK41" s="234" t="s">
        <v>505</v>
      </c>
      <c r="AL41" s="227" t="s">
        <v>514</v>
      </c>
      <c r="AM41" s="234" t="s">
        <v>514</v>
      </c>
      <c r="AN41" s="227" t="s">
        <v>503</v>
      </c>
      <c r="AO41" s="234" t="s">
        <v>503</v>
      </c>
      <c r="AP41" s="227" t="s">
        <v>422</v>
      </c>
      <c r="AQ41" s="234" t="s">
        <v>422</v>
      </c>
      <c r="AR41" s="227" t="s">
        <v>419</v>
      </c>
      <c r="AS41" s="235" t="s">
        <v>419</v>
      </c>
      <c r="AT41" s="227" t="s">
        <v>463</v>
      </c>
      <c r="AU41" s="235" t="s">
        <v>463</v>
      </c>
      <c r="AV41" s="227" t="s">
        <v>464</v>
      </c>
      <c r="AW41" s="234" t="s">
        <v>464</v>
      </c>
      <c r="AX41" s="227" t="s">
        <v>484</v>
      </c>
      <c r="AY41" s="234" t="s">
        <v>484</v>
      </c>
    </row>
    <row r="42" spans="1:52" hidden="1">
      <c r="A42" s="231" t="s">
        <v>99</v>
      </c>
      <c r="B42" s="209"/>
      <c r="C42" s="209"/>
      <c r="D42" s="209"/>
      <c r="E42" s="209"/>
      <c r="F42" s="209"/>
      <c r="G42" s="209"/>
      <c r="H42" s="209"/>
      <c r="I42" s="209"/>
      <c r="J42" s="209"/>
      <c r="K42" s="209"/>
      <c r="L42" s="209"/>
      <c r="M42" s="209"/>
      <c r="N42" s="226"/>
      <c r="O42" s="226"/>
      <c r="P42" s="226"/>
      <c r="Q42" s="226"/>
      <c r="R42" s="226"/>
      <c r="S42" s="226"/>
      <c r="T42" s="226">
        <v>6862.09</v>
      </c>
      <c r="U42" s="226">
        <v>5466.02</v>
      </c>
      <c r="V42" s="226">
        <v>7008.29</v>
      </c>
      <c r="W42" s="226">
        <v>5228.53</v>
      </c>
      <c r="X42" s="226">
        <v>7052.01</v>
      </c>
      <c r="Y42" s="226">
        <v>5918.51</v>
      </c>
      <c r="Z42" s="226">
        <v>7363.3</v>
      </c>
      <c r="AA42" s="226">
        <v>5926.22</v>
      </c>
      <c r="AB42" s="226">
        <v>7444.78</v>
      </c>
      <c r="AC42" s="226">
        <v>6170.85</v>
      </c>
      <c r="AD42" s="226">
        <v>8016.05</v>
      </c>
      <c r="AE42" s="226">
        <v>6120.58</v>
      </c>
      <c r="AF42" s="226">
        <v>8107.44</v>
      </c>
      <c r="AG42" s="226">
        <v>6146.74</v>
      </c>
      <c r="AH42" s="226">
        <v>8273.11</v>
      </c>
      <c r="AI42" s="226">
        <v>6132.23</v>
      </c>
      <c r="AJ42" s="226">
        <v>8396.0499999999993</v>
      </c>
      <c r="AK42" s="226">
        <v>6292.33</v>
      </c>
      <c r="AL42" s="226">
        <v>8397.69</v>
      </c>
      <c r="AM42" s="226">
        <v>6201.63</v>
      </c>
      <c r="AN42" s="226">
        <v>8536.24</v>
      </c>
      <c r="AO42" s="226">
        <v>6198.55</v>
      </c>
      <c r="AP42" s="226">
        <v>8794.74</v>
      </c>
      <c r="AQ42" s="226">
        <v>6403.89</v>
      </c>
      <c r="AR42" s="226">
        <v>9041.9</v>
      </c>
      <c r="AS42" s="226">
        <v>6414.86</v>
      </c>
      <c r="AT42" s="226">
        <v>9043.19</v>
      </c>
      <c r="AU42" s="226">
        <v>6608.88</v>
      </c>
      <c r="AV42" s="226">
        <v>9175.3654368737461</v>
      </c>
      <c r="AW42" s="226">
        <v>6669.75</v>
      </c>
      <c r="AX42" s="226">
        <v>9235.15</v>
      </c>
      <c r="AY42" s="226">
        <v>6406.86</v>
      </c>
    </row>
    <row r="43" spans="1:52" hidden="1">
      <c r="A43" s="231" t="s">
        <v>100</v>
      </c>
      <c r="B43" s="209"/>
      <c r="C43" s="209"/>
      <c r="D43" s="209"/>
      <c r="E43" s="209"/>
      <c r="F43" s="209"/>
      <c r="G43" s="209"/>
      <c r="H43" s="209"/>
      <c r="I43" s="209"/>
      <c r="J43" s="209"/>
      <c r="K43" s="209"/>
      <c r="L43" s="209"/>
      <c r="M43" s="209"/>
      <c r="N43" s="226"/>
      <c r="O43" s="226"/>
      <c r="P43" s="226"/>
      <c r="Q43" s="226"/>
      <c r="R43" s="226"/>
      <c r="S43" s="226"/>
      <c r="T43" s="226">
        <v>7929.91</v>
      </c>
      <c r="U43" s="226">
        <v>8646.26</v>
      </c>
      <c r="V43" s="226">
        <v>7950.08</v>
      </c>
      <c r="W43" s="226">
        <v>8620.76</v>
      </c>
      <c r="X43" s="226">
        <v>8356.56</v>
      </c>
      <c r="Y43" s="226">
        <v>8685.5</v>
      </c>
      <c r="Z43" s="226">
        <v>7387.96</v>
      </c>
      <c r="AA43" s="226">
        <v>8934.6200000000008</v>
      </c>
      <c r="AB43" s="226">
        <v>7167.07</v>
      </c>
      <c r="AC43" s="226">
        <v>8801.31</v>
      </c>
      <c r="AD43" s="226">
        <v>7605.92</v>
      </c>
      <c r="AE43" s="226">
        <v>8570.25</v>
      </c>
      <c r="AF43" s="226">
        <v>7932.06</v>
      </c>
      <c r="AG43" s="226">
        <v>7801.78</v>
      </c>
      <c r="AH43" s="226">
        <v>7954.11</v>
      </c>
      <c r="AI43" s="226">
        <v>8209.52</v>
      </c>
      <c r="AJ43" s="226">
        <v>8082.35</v>
      </c>
      <c r="AK43" s="226">
        <v>7899.34</v>
      </c>
      <c r="AL43" s="226">
        <v>8597.8700000000008</v>
      </c>
      <c r="AM43" s="226">
        <v>7804.42</v>
      </c>
      <c r="AN43" s="226">
        <v>8651.5499999999993</v>
      </c>
      <c r="AO43" s="226">
        <v>7878.08</v>
      </c>
      <c r="AP43" s="226">
        <v>9077.81</v>
      </c>
      <c r="AQ43" s="226">
        <v>7627.54</v>
      </c>
      <c r="AR43" s="226">
        <v>9163.0499999999993</v>
      </c>
      <c r="AS43" s="226">
        <v>7088.11</v>
      </c>
      <c r="AT43" s="226">
        <v>9184.4599999999991</v>
      </c>
      <c r="AU43" s="226">
        <v>6909.23</v>
      </c>
      <c r="AV43" s="226">
        <v>9212.4380608695701</v>
      </c>
      <c r="AW43" s="226">
        <v>6792.19</v>
      </c>
      <c r="AX43" s="226">
        <v>9340.68</v>
      </c>
      <c r="AY43" s="226">
        <v>6846.92</v>
      </c>
    </row>
    <row r="44" spans="1:52" hidden="1">
      <c r="A44" s="231" t="s">
        <v>90</v>
      </c>
      <c r="B44" s="209"/>
      <c r="C44" s="209"/>
      <c r="D44" s="209"/>
      <c r="E44" s="209"/>
      <c r="F44" s="209"/>
      <c r="G44" s="209"/>
      <c r="H44" s="209"/>
      <c r="I44" s="209"/>
      <c r="J44" s="209"/>
      <c r="K44" s="209"/>
      <c r="L44" s="209"/>
      <c r="M44" s="209"/>
      <c r="N44" s="226"/>
      <c r="O44" s="226"/>
      <c r="P44" s="226"/>
      <c r="Q44" s="226"/>
      <c r="R44" s="226"/>
      <c r="S44" s="226"/>
      <c r="T44" s="226">
        <v>5859.75</v>
      </c>
      <c r="U44" s="226">
        <v>3835.19</v>
      </c>
      <c r="V44" s="226">
        <v>5772.78</v>
      </c>
      <c r="W44" s="226">
        <v>3708.91</v>
      </c>
      <c r="X44" s="226">
        <v>5637.4</v>
      </c>
      <c r="Y44" s="226">
        <v>3907.57</v>
      </c>
      <c r="Z44" s="226">
        <v>5637.4</v>
      </c>
      <c r="AA44" s="226">
        <v>3924.68</v>
      </c>
      <c r="AB44" s="226">
        <v>5621.6</v>
      </c>
      <c r="AC44" s="226">
        <v>3924.68</v>
      </c>
      <c r="AD44" s="226">
        <v>5924.07</v>
      </c>
      <c r="AE44" s="226">
        <v>4047.55</v>
      </c>
      <c r="AF44" s="226">
        <v>5948.37</v>
      </c>
      <c r="AG44" s="226">
        <v>4047.55</v>
      </c>
      <c r="AH44" s="226">
        <v>5880.94</v>
      </c>
      <c r="AI44" s="226">
        <v>4135.4399999999996</v>
      </c>
      <c r="AJ44" s="226">
        <v>5799.6</v>
      </c>
      <c r="AK44" s="226">
        <v>4156.57</v>
      </c>
      <c r="AL44" s="226">
        <v>5757.81</v>
      </c>
      <c r="AM44" s="226">
        <v>4156.57</v>
      </c>
      <c r="AN44" s="226">
        <v>5750.14</v>
      </c>
      <c r="AO44" s="226">
        <v>4156.57</v>
      </c>
      <c r="AP44" s="226">
        <v>5747.2</v>
      </c>
      <c r="AQ44" s="226">
        <v>4259.95</v>
      </c>
      <c r="AR44" s="226">
        <v>5751.11</v>
      </c>
      <c r="AS44" s="226">
        <v>4250.91</v>
      </c>
      <c r="AT44" s="226">
        <v>5751.11</v>
      </c>
      <c r="AU44" s="226">
        <v>4219.03</v>
      </c>
      <c r="AV44" s="226">
        <v>5792.1264186046501</v>
      </c>
      <c r="AW44" s="226">
        <v>4391.16</v>
      </c>
      <c r="AX44" s="226">
        <v>5947.33</v>
      </c>
      <c r="AY44" s="226">
        <v>4233.6099999999997</v>
      </c>
    </row>
    <row r="45" spans="1:52" hidden="1">
      <c r="A45" s="231" t="s">
        <v>91</v>
      </c>
      <c r="B45" s="209"/>
      <c r="C45" s="209"/>
      <c r="D45" s="209"/>
      <c r="E45" s="209"/>
      <c r="F45" s="209"/>
      <c r="G45" s="209"/>
      <c r="H45" s="209"/>
      <c r="I45" s="209"/>
      <c r="J45" s="209"/>
      <c r="K45" s="209"/>
      <c r="L45" s="209"/>
      <c r="M45" s="209"/>
      <c r="N45" s="226"/>
      <c r="O45" s="226"/>
      <c r="P45" s="226"/>
      <c r="Q45" s="226"/>
      <c r="R45" s="226"/>
      <c r="S45" s="226"/>
      <c r="T45" s="226">
        <v>5442.78</v>
      </c>
      <c r="U45" s="226">
        <v>4647.8999999999996</v>
      </c>
      <c r="V45" s="226">
        <v>5543.16</v>
      </c>
      <c r="W45" s="226">
        <v>4678.74</v>
      </c>
      <c r="X45" s="226">
        <v>5851.72</v>
      </c>
      <c r="Y45" s="226">
        <v>4601.21</v>
      </c>
      <c r="Z45" s="226">
        <v>6156.5</v>
      </c>
      <c r="AA45" s="226">
        <v>4762.3599999999997</v>
      </c>
      <c r="AB45" s="226">
        <v>6277.06</v>
      </c>
      <c r="AC45" s="226">
        <v>4771.51</v>
      </c>
      <c r="AD45" s="226">
        <v>6616.3</v>
      </c>
      <c r="AE45" s="226">
        <v>4848.12</v>
      </c>
      <c r="AF45" s="226">
        <v>6903.37</v>
      </c>
      <c r="AG45" s="226">
        <v>4657.3999999999996</v>
      </c>
      <c r="AH45" s="226">
        <v>6947.49</v>
      </c>
      <c r="AI45" s="226">
        <v>4735.88</v>
      </c>
      <c r="AJ45" s="226">
        <v>7000.61</v>
      </c>
      <c r="AK45" s="226">
        <v>4647.45</v>
      </c>
      <c r="AL45" s="226">
        <v>6898.94</v>
      </c>
      <c r="AM45" s="226">
        <v>4870.25</v>
      </c>
      <c r="AN45" s="226">
        <v>7103.36</v>
      </c>
      <c r="AO45" s="226">
        <v>4741.6499999999996</v>
      </c>
      <c r="AP45" s="226">
        <v>7241.35</v>
      </c>
      <c r="AQ45" s="226">
        <v>4923.1499999999996</v>
      </c>
      <c r="AR45" s="226">
        <v>7199.1</v>
      </c>
      <c r="AS45" s="226">
        <v>5048.2</v>
      </c>
      <c r="AT45" s="226">
        <v>7225</v>
      </c>
      <c r="AU45" s="226">
        <v>4876.26</v>
      </c>
      <c r="AV45" s="226">
        <v>7286.1333393316263</v>
      </c>
      <c r="AW45" s="226">
        <v>4573.1499999999996</v>
      </c>
      <c r="AX45" s="226">
        <v>7343.02</v>
      </c>
      <c r="AY45" s="226">
        <v>4591.4799999999996</v>
      </c>
    </row>
    <row r="46" spans="1:52" hidden="1">
      <c r="A46" s="231" t="s">
        <v>92</v>
      </c>
      <c r="B46" s="209"/>
      <c r="C46" s="209"/>
      <c r="D46" s="209"/>
      <c r="E46" s="209"/>
      <c r="F46" s="209"/>
      <c r="G46" s="209"/>
      <c r="H46" s="209"/>
      <c r="I46" s="209"/>
      <c r="J46" s="209"/>
      <c r="K46" s="209"/>
      <c r="L46" s="209"/>
      <c r="M46" s="209"/>
      <c r="N46" s="226"/>
      <c r="O46" s="226"/>
      <c r="P46" s="226"/>
      <c r="Q46" s="226"/>
      <c r="R46" s="226"/>
      <c r="S46" s="226"/>
      <c r="T46" s="226">
        <v>7737.92</v>
      </c>
      <c r="U46" s="226">
        <v>4975.3599999999997</v>
      </c>
      <c r="V46" s="226">
        <v>7556.01</v>
      </c>
      <c r="W46" s="226">
        <v>4839.3900000000003</v>
      </c>
      <c r="X46" s="226">
        <v>8023.03</v>
      </c>
      <c r="Y46" s="226">
        <v>4857.47</v>
      </c>
      <c r="Z46" s="226">
        <v>8162.58</v>
      </c>
      <c r="AA46" s="226">
        <v>4880.67</v>
      </c>
      <c r="AB46" s="226">
        <v>8215.75</v>
      </c>
      <c r="AC46" s="226">
        <v>4789.3999999999996</v>
      </c>
      <c r="AD46" s="226">
        <v>8479.8700000000008</v>
      </c>
      <c r="AE46" s="226">
        <v>5053.18</v>
      </c>
      <c r="AF46" s="226">
        <v>8604.0400000000009</v>
      </c>
      <c r="AG46" s="226">
        <v>5474.87</v>
      </c>
      <c r="AH46" s="226">
        <v>8546.8799999999992</v>
      </c>
      <c r="AI46" s="226">
        <v>5886.59</v>
      </c>
      <c r="AJ46" s="226">
        <v>8956.7800000000007</v>
      </c>
      <c r="AK46" s="226">
        <v>6393.64</v>
      </c>
      <c r="AL46" s="226">
        <v>8870.9</v>
      </c>
      <c r="AM46" s="226">
        <v>6275.25</v>
      </c>
      <c r="AN46" s="226">
        <v>8875.48</v>
      </c>
      <c r="AO46" s="226">
        <v>6178.67</v>
      </c>
      <c r="AP46" s="226">
        <v>8828.32</v>
      </c>
      <c r="AQ46" s="226">
        <v>6680.66</v>
      </c>
      <c r="AR46" s="226">
        <v>9012.27</v>
      </c>
      <c r="AS46" s="226">
        <v>6702.19</v>
      </c>
      <c r="AT46" s="226">
        <v>9064.69</v>
      </c>
      <c r="AU46" s="226">
        <v>6849.44</v>
      </c>
      <c r="AV46" s="226">
        <v>9110.6958030384922</v>
      </c>
      <c r="AW46" s="226">
        <v>7083</v>
      </c>
      <c r="AX46" s="226">
        <v>8980.09</v>
      </c>
      <c r="AY46" s="226">
        <v>6899.91</v>
      </c>
    </row>
    <row r="47" spans="1:52" hidden="1">
      <c r="A47" s="231" t="s">
        <v>497</v>
      </c>
      <c r="B47" s="209"/>
      <c r="C47" s="209"/>
      <c r="D47" s="209"/>
      <c r="E47" s="209"/>
      <c r="F47" s="209"/>
      <c r="G47" s="209"/>
      <c r="H47" s="209"/>
      <c r="I47" s="209"/>
      <c r="J47" s="209"/>
      <c r="K47" s="209"/>
      <c r="L47" s="209"/>
      <c r="M47" s="209"/>
      <c r="N47" s="226"/>
      <c r="O47" s="226"/>
      <c r="P47" s="226"/>
      <c r="Q47" s="226"/>
      <c r="R47" s="226"/>
      <c r="S47" s="226"/>
      <c r="T47" s="226">
        <v>11769.89</v>
      </c>
      <c r="U47" s="226">
        <v>16056.01</v>
      </c>
      <c r="V47" s="226">
        <v>11769.89</v>
      </c>
      <c r="W47" s="226">
        <v>16056.01</v>
      </c>
      <c r="X47" s="226">
        <v>11769.89</v>
      </c>
      <c r="Y47" s="226">
        <v>15831.22</v>
      </c>
      <c r="Z47" s="226">
        <v>11769.89</v>
      </c>
      <c r="AA47" s="226">
        <v>15831.22</v>
      </c>
      <c r="AB47" s="226">
        <v>11769.89</v>
      </c>
      <c r="AC47" s="226">
        <v>15831.22</v>
      </c>
      <c r="AD47" s="226">
        <v>11769.89</v>
      </c>
      <c r="AE47" s="226">
        <v>15523.18</v>
      </c>
      <c r="AF47" s="226">
        <v>11769.89</v>
      </c>
      <c r="AG47" s="226">
        <v>14890.42</v>
      </c>
      <c r="AH47" s="226">
        <v>11769.89</v>
      </c>
      <c r="AI47" s="226">
        <v>15887.88</v>
      </c>
      <c r="AJ47" s="226">
        <v>11769.89</v>
      </c>
      <c r="AK47" s="226">
        <v>15924.06</v>
      </c>
      <c r="AL47" s="226">
        <v>11769.89</v>
      </c>
      <c r="AM47" s="226">
        <v>15636.54</v>
      </c>
      <c r="AN47" s="226">
        <v>11769.89</v>
      </c>
      <c r="AO47" s="226">
        <v>15636.54</v>
      </c>
      <c r="AP47" s="226">
        <v>11769.89</v>
      </c>
      <c r="AQ47" s="226">
        <v>15636.54</v>
      </c>
      <c r="AR47" s="226">
        <v>11769.89</v>
      </c>
      <c r="AS47" s="226">
        <v>15163.84</v>
      </c>
      <c r="AT47" s="226">
        <v>11769.89</v>
      </c>
      <c r="AU47" s="226">
        <v>15164</v>
      </c>
      <c r="AV47" s="226">
        <v>11769.886500000001</v>
      </c>
      <c r="AW47" s="226">
        <v>15909.84</v>
      </c>
      <c r="AX47" s="226">
        <v>11769.89</v>
      </c>
      <c r="AY47" s="226">
        <v>17050.05</v>
      </c>
    </row>
    <row r="48" spans="1:52" hidden="1">
      <c r="A48" s="231" t="s">
        <v>496</v>
      </c>
      <c r="B48" s="209"/>
      <c r="C48" s="209"/>
      <c r="D48" s="209"/>
      <c r="E48" s="209"/>
      <c r="F48" s="209"/>
      <c r="G48" s="209"/>
      <c r="H48" s="209"/>
      <c r="I48" s="209"/>
      <c r="J48" s="209"/>
      <c r="K48" s="209"/>
      <c r="L48" s="209"/>
      <c r="M48" s="209"/>
      <c r="N48" s="226"/>
      <c r="O48" s="226"/>
      <c r="P48" s="226"/>
      <c r="Q48" s="226"/>
      <c r="R48" s="226"/>
      <c r="S48" s="226"/>
      <c r="T48" s="226">
        <v>7560.59</v>
      </c>
      <c r="U48" s="226">
        <v>12398.75</v>
      </c>
      <c r="V48" s="226">
        <v>7560.59</v>
      </c>
      <c r="W48" s="226">
        <v>12393.77</v>
      </c>
      <c r="X48" s="226">
        <v>7560.59</v>
      </c>
      <c r="Y48" s="226">
        <v>12213.89</v>
      </c>
      <c r="Z48" s="226">
        <v>7560.59</v>
      </c>
      <c r="AA48" s="226">
        <v>11828.81</v>
      </c>
      <c r="AB48" s="226">
        <v>7560.59</v>
      </c>
      <c r="AC48" s="226">
        <v>11894.8</v>
      </c>
      <c r="AD48" s="226">
        <v>7700.59</v>
      </c>
      <c r="AE48" s="226">
        <v>12010.3</v>
      </c>
      <c r="AF48" s="226">
        <v>7700.59</v>
      </c>
      <c r="AG48" s="226">
        <v>12010.3</v>
      </c>
      <c r="AH48" s="226">
        <v>7700.59</v>
      </c>
      <c r="AI48" s="226">
        <v>12463.26</v>
      </c>
      <c r="AJ48" s="226">
        <v>7754.88</v>
      </c>
      <c r="AK48" s="226">
        <v>12780.97</v>
      </c>
      <c r="AL48" s="226">
        <v>7754.88</v>
      </c>
      <c r="AM48" s="226">
        <v>13378.29</v>
      </c>
      <c r="AN48" s="226">
        <v>7754.88</v>
      </c>
      <c r="AO48" s="226">
        <v>13629.1</v>
      </c>
      <c r="AP48" s="226">
        <v>7754.88</v>
      </c>
      <c r="AQ48" s="226">
        <v>13753.57</v>
      </c>
      <c r="AR48" s="226">
        <v>7754.88</v>
      </c>
      <c r="AS48" s="226">
        <v>13753.57</v>
      </c>
      <c r="AT48" s="226">
        <v>7754.88</v>
      </c>
      <c r="AU48" s="226">
        <v>13774.79</v>
      </c>
      <c r="AV48" s="226">
        <v>7754.8792499999981</v>
      </c>
      <c r="AW48" s="226">
        <v>14384.28</v>
      </c>
      <c r="AX48" s="226">
        <v>7754.88</v>
      </c>
      <c r="AY48" s="226">
        <v>13455</v>
      </c>
      <c r="AZ48" s="77"/>
    </row>
    <row r="49" spans="1:52" hidden="1">
      <c r="A49" s="231" t="s">
        <v>495</v>
      </c>
      <c r="B49" s="209"/>
      <c r="C49" s="209"/>
      <c r="D49" s="209"/>
      <c r="E49" s="209"/>
      <c r="F49" s="209"/>
      <c r="G49" s="209"/>
      <c r="H49" s="209"/>
      <c r="I49" s="209"/>
      <c r="J49" s="209"/>
      <c r="K49" s="209"/>
      <c r="L49" s="209"/>
      <c r="M49" s="209"/>
      <c r="N49" s="226"/>
      <c r="O49" s="226"/>
      <c r="P49" s="226"/>
      <c r="Q49" s="226"/>
      <c r="R49" s="226"/>
      <c r="S49" s="226"/>
      <c r="T49" s="226">
        <v>0</v>
      </c>
      <c r="U49" s="226">
        <v>0</v>
      </c>
      <c r="V49" s="226">
        <v>0</v>
      </c>
      <c r="W49" s="226">
        <v>0</v>
      </c>
      <c r="X49" s="226">
        <v>6522.62</v>
      </c>
      <c r="Y49" s="226">
        <v>9328.01</v>
      </c>
      <c r="Z49" s="226">
        <v>6653.12</v>
      </c>
      <c r="AA49" s="226">
        <v>9328.01</v>
      </c>
      <c r="AB49" s="226">
        <v>9215.2800000000007</v>
      </c>
      <c r="AC49" s="226">
        <v>9328.01</v>
      </c>
      <c r="AD49" s="226">
        <v>9215.2800000000007</v>
      </c>
      <c r="AE49" s="226">
        <v>9328.01</v>
      </c>
      <c r="AF49" s="226">
        <v>9215.2800000000007</v>
      </c>
      <c r="AG49" s="226">
        <v>9328.01</v>
      </c>
      <c r="AH49" s="226">
        <v>9215.2800000000007</v>
      </c>
      <c r="AI49" s="226">
        <v>9323.01</v>
      </c>
      <c r="AJ49" s="226">
        <v>9215.2800000000007</v>
      </c>
      <c r="AK49" s="226">
        <v>9328.01</v>
      </c>
      <c r="AL49" s="226">
        <v>9215.2800000000007</v>
      </c>
      <c r="AM49" s="226">
        <v>9328.01</v>
      </c>
      <c r="AN49" s="226">
        <v>9215.2800000000007</v>
      </c>
      <c r="AO49" s="226">
        <v>9328.01</v>
      </c>
      <c r="AP49" s="226">
        <v>9215.2800000000007</v>
      </c>
      <c r="AQ49" s="226">
        <v>9328.01</v>
      </c>
      <c r="AR49" s="226">
        <v>9215.2800000000007</v>
      </c>
      <c r="AS49" s="226">
        <v>9328.01</v>
      </c>
      <c r="AT49" s="226">
        <v>9215.2800000000007</v>
      </c>
      <c r="AU49" s="226">
        <v>9328.01</v>
      </c>
      <c r="AV49" s="226">
        <v>9215.2796732026145</v>
      </c>
      <c r="AW49" s="226">
        <v>9328.01</v>
      </c>
      <c r="AX49" s="226">
        <v>9215.2800000000007</v>
      </c>
      <c r="AY49" s="226">
        <v>9328.01</v>
      </c>
      <c r="AZ49" s="77"/>
    </row>
    <row r="50" spans="1:52" hidden="1">
      <c r="A50" s="232" t="s">
        <v>512</v>
      </c>
      <c r="B50" s="232"/>
      <c r="C50" s="229"/>
      <c r="D50" s="229"/>
      <c r="E50" s="229"/>
      <c r="F50" s="229"/>
      <c r="G50" s="229"/>
      <c r="H50" s="229"/>
      <c r="I50" s="229"/>
      <c r="J50" s="229"/>
      <c r="K50" s="229"/>
      <c r="L50" s="229"/>
      <c r="M50" s="229"/>
      <c r="N50" s="229"/>
      <c r="O50" s="229"/>
      <c r="P50" s="229"/>
      <c r="Q50" s="229"/>
      <c r="R50" s="229"/>
      <c r="S50" s="229"/>
      <c r="T50" s="229">
        <v>6772.71</v>
      </c>
      <c r="U50" s="229">
        <v>6221.8</v>
      </c>
      <c r="V50" s="229">
        <v>6809.68</v>
      </c>
      <c r="W50" s="229">
        <v>6102.92</v>
      </c>
      <c r="X50" s="229">
        <v>6986.6</v>
      </c>
      <c r="Y50" s="229">
        <v>6348.14</v>
      </c>
      <c r="Z50" s="229">
        <v>6912.11</v>
      </c>
      <c r="AA50" s="229">
        <v>6449.89</v>
      </c>
      <c r="AB50" s="229">
        <v>7152.46</v>
      </c>
      <c r="AC50" s="229">
        <v>6517.75</v>
      </c>
      <c r="AD50" s="229">
        <v>7716.41</v>
      </c>
      <c r="AE50" s="229">
        <v>6523.25</v>
      </c>
      <c r="AF50" s="229">
        <v>7872.32</v>
      </c>
      <c r="AG50" s="229">
        <v>6456.67</v>
      </c>
      <c r="AH50" s="229">
        <v>7915.13</v>
      </c>
      <c r="AI50" s="229">
        <v>6616.09</v>
      </c>
      <c r="AJ50" s="229">
        <v>9051.5</v>
      </c>
      <c r="AK50" s="229">
        <v>6748.78</v>
      </c>
      <c r="AL50" s="229">
        <v>8072.43</v>
      </c>
      <c r="AM50" s="229">
        <v>6713.99</v>
      </c>
      <c r="AN50" s="229">
        <v>8172.25</v>
      </c>
      <c r="AO50" s="229">
        <v>6648.35</v>
      </c>
      <c r="AP50" s="229">
        <v>8337.76</v>
      </c>
      <c r="AQ50" s="229">
        <v>6795.41</v>
      </c>
      <c r="AR50" s="229">
        <v>8459.01</v>
      </c>
      <c r="AS50" s="229">
        <v>6714.26</v>
      </c>
      <c r="AT50" s="229">
        <v>8485.99</v>
      </c>
      <c r="AU50" s="229">
        <v>6751.74</v>
      </c>
      <c r="AV50" s="229">
        <v>8564.9457267858488</v>
      </c>
      <c r="AW50" s="229">
        <v>6680.37</v>
      </c>
      <c r="AX50" s="229">
        <v>8594.56</v>
      </c>
      <c r="AY50" s="229">
        <v>6539.13</v>
      </c>
      <c r="AZ50" s="77"/>
    </row>
    <row r="51" spans="1:52" hidden="1">
      <c r="AK51" s="77"/>
      <c r="AV51" s="77"/>
    </row>
    <row r="52" spans="1:52" hidden="1"/>
  </sheetData>
  <mergeCells count="2">
    <mergeCell ref="L1:Q1"/>
    <mergeCell ref="A1:I1"/>
  </mergeCells>
  <pageMargins left="0.7" right="0.7" top="0.75" bottom="0.75" header="0.3" footer="0.3"/>
  <pageSetup scale="88" orientation="landscape" r:id="rId1"/>
  <drawing r:id="rId2"/>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5">
    <tabColor theme="6" tint="-0.499984740745262"/>
    <pageSetUpPr fitToPage="1"/>
  </sheetPr>
  <dimension ref="A1"/>
  <sheetViews>
    <sheetView showGridLines="0" view="pageBreakPreview" zoomScale="70" zoomScaleNormal="100" zoomScaleSheetLayoutView="70" workbookViewId="0">
      <selection activeCell="N18" sqref="N18"/>
    </sheetView>
  </sheetViews>
  <sheetFormatPr baseColWidth="10" defaultColWidth="11.42578125" defaultRowHeight="15"/>
  <cols>
    <col min="1" max="6" width="11.42578125" style="77"/>
    <col min="7" max="7" width="9.42578125" style="77" customWidth="1"/>
    <col min="8" max="16384" width="11.42578125" style="77"/>
  </cols>
  <sheetData/>
  <pageMargins left="0.7" right="0.7" top="0.75" bottom="0.75" header="0.3" footer="0.3"/>
  <pageSetup scale="84" orientation="landscape" r:id="rId1"/>
  <drawing r:id="rId2"/>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6">
    <pageSetUpPr fitToPage="1"/>
  </sheetPr>
  <dimension ref="N4:Q56"/>
  <sheetViews>
    <sheetView showGridLines="0" view="pageBreakPreview" zoomScale="85" zoomScaleNormal="85" zoomScaleSheetLayoutView="85" workbookViewId="0">
      <selection activeCell="G55" sqref="G55"/>
    </sheetView>
  </sheetViews>
  <sheetFormatPr baseColWidth="10" defaultColWidth="11.42578125" defaultRowHeight="15"/>
  <cols>
    <col min="1" max="6" width="11.42578125" style="77"/>
    <col min="7" max="7" width="9.42578125" style="77" customWidth="1"/>
    <col min="8" max="17" width="11.42578125" style="77"/>
    <col min="18" max="18" width="17.85546875" style="77" customWidth="1"/>
    <col min="19" max="16384" width="11.42578125" style="77"/>
  </cols>
  <sheetData>
    <row r="4" ht="15.75" customHeight="1"/>
    <row r="17" spans="15:16">
      <c r="P17" s="156"/>
    </row>
    <row r="18" spans="15:16">
      <c r="P18" s="156"/>
    </row>
    <row r="19" spans="15:16">
      <c r="P19" s="156"/>
    </row>
    <row r="20" spans="15:16">
      <c r="P20" s="156"/>
    </row>
    <row r="21" spans="15:16">
      <c r="P21" s="156"/>
    </row>
    <row r="22" spans="15:16">
      <c r="P22" s="156"/>
    </row>
    <row r="23" spans="15:16">
      <c r="O23" s="277"/>
      <c r="P23" s="156"/>
    </row>
    <row r="24" spans="15:16">
      <c r="P24" s="156"/>
    </row>
    <row r="25" spans="15:16" ht="43.5" customHeight="1">
      <c r="P25" s="144"/>
    </row>
    <row r="32" spans="15:16">
      <c r="O32" s="173"/>
    </row>
    <row r="33" spans="14:17">
      <c r="Q33" s="173"/>
    </row>
    <row r="35" spans="14:17">
      <c r="O35" s="277"/>
    </row>
    <row r="36" spans="14:17">
      <c r="Q36" s="173"/>
    </row>
    <row r="40" spans="14:17">
      <c r="P40" s="156"/>
    </row>
    <row r="41" spans="14:17">
      <c r="P41" s="156"/>
    </row>
    <row r="42" spans="14:17">
      <c r="N42" s="237"/>
      <c r="O42" s="277"/>
    </row>
    <row r="49" spans="15:16">
      <c r="P49" s="277"/>
    </row>
    <row r="50" spans="15:16">
      <c r="P50" s="277"/>
    </row>
    <row r="56" spans="15:16">
      <c r="O56" s="277"/>
    </row>
  </sheetData>
  <pageMargins left="0.7" right="0.7" top="0.75" bottom="0.75" header="0.3" footer="0.3"/>
  <pageSetup scale="69" orientation="landscape" r:id="rId1"/>
  <drawing r:id="rId2"/>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7">
    <tabColor rgb="FF66FF33"/>
    <pageSetUpPr fitToPage="1"/>
  </sheetPr>
  <dimension ref="A1:L50"/>
  <sheetViews>
    <sheetView showGridLines="0" view="pageBreakPreview" zoomScale="70" zoomScaleNormal="100" zoomScaleSheetLayoutView="70" workbookViewId="0">
      <selection activeCell="A3" sqref="A3"/>
    </sheetView>
  </sheetViews>
  <sheetFormatPr baseColWidth="10" defaultColWidth="11.42578125" defaultRowHeight="15"/>
  <cols>
    <col min="1" max="1" width="13.28515625" style="39" customWidth="1"/>
    <col min="2" max="2" width="14.140625" style="39" customWidth="1"/>
    <col min="3" max="3" width="15.5703125" style="39" customWidth="1"/>
    <col min="4" max="4" width="13.85546875" style="39" customWidth="1"/>
    <col min="5" max="5" width="15.5703125" style="39" customWidth="1"/>
    <col min="6" max="6" width="18.5703125" style="39" customWidth="1"/>
    <col min="7" max="7" width="18.28515625" style="39" customWidth="1"/>
    <col min="8" max="8" width="32.85546875" style="39" customWidth="1"/>
    <col min="9" max="9" width="22.85546875" style="39" customWidth="1"/>
    <col min="10" max="10" width="19.28515625" style="39" customWidth="1"/>
    <col min="11" max="11" width="3.7109375" style="39" customWidth="1"/>
    <col min="12" max="16384" width="11.42578125" style="39"/>
  </cols>
  <sheetData>
    <row r="1" spans="1:12" s="77" customFormat="1" ht="66" customHeight="1">
      <c r="A1" s="2071"/>
      <c r="B1" s="2071"/>
      <c r="C1" s="2071"/>
      <c r="D1" s="2071"/>
      <c r="E1" s="2071"/>
      <c r="F1" s="2071"/>
      <c r="G1" s="2071"/>
      <c r="H1" s="2071"/>
      <c r="I1" s="2071"/>
      <c r="J1" s="2071"/>
    </row>
    <row r="2" spans="1:12" s="77" customFormat="1" ht="4.5" customHeight="1"/>
    <row r="3" spans="1:12" s="77" customFormat="1" ht="37.5" customHeight="1">
      <c r="A3" s="671" t="s">
        <v>250</v>
      </c>
      <c r="B3" s="687" t="s">
        <v>409</v>
      </c>
      <c r="C3" s="687" t="s">
        <v>249</v>
      </c>
      <c r="D3" s="671" t="s">
        <v>137</v>
      </c>
      <c r="E3" s="687" t="s">
        <v>248</v>
      </c>
      <c r="F3" s="688" t="s">
        <v>414</v>
      </c>
    </row>
    <row r="4" spans="1:12" s="77" customFormat="1" ht="15.75">
      <c r="A4" s="690">
        <v>2005</v>
      </c>
      <c r="B4" s="629">
        <v>3719</v>
      </c>
      <c r="C4" s="629">
        <v>12</v>
      </c>
      <c r="D4" s="1110">
        <f t="shared" ref="D4:D14" si="0">+C4+B4</f>
        <v>3731</v>
      </c>
      <c r="E4" s="685">
        <f t="shared" ref="E4:E14" si="1">B4/D4</f>
        <v>0.99678370410077732</v>
      </c>
      <c r="F4" s="686">
        <f t="shared" ref="F4:F10" si="2">C4/D4</f>
        <v>3.2162958992227285E-3</v>
      </c>
      <c r="L4" s="173"/>
    </row>
    <row r="5" spans="1:12" s="77" customFormat="1" ht="15.75">
      <c r="A5" s="689">
        <v>2006</v>
      </c>
      <c r="B5" s="629">
        <v>5483</v>
      </c>
      <c r="C5" s="629">
        <v>52</v>
      </c>
      <c r="D5" s="1110">
        <f t="shared" si="0"/>
        <v>5535</v>
      </c>
      <c r="E5" s="685">
        <f t="shared" si="1"/>
        <v>0.9906052393857272</v>
      </c>
      <c r="F5" s="686">
        <f t="shared" si="2"/>
        <v>9.39476061427281E-3</v>
      </c>
      <c r="L5" s="173"/>
    </row>
    <row r="6" spans="1:12" s="77" customFormat="1" ht="15.75">
      <c r="A6" s="690">
        <v>2007</v>
      </c>
      <c r="B6" s="629">
        <v>8459</v>
      </c>
      <c r="C6" s="629">
        <v>85</v>
      </c>
      <c r="D6" s="1110">
        <f t="shared" si="0"/>
        <v>8544</v>
      </c>
      <c r="E6" s="685">
        <f t="shared" si="1"/>
        <v>0.99005149812734083</v>
      </c>
      <c r="F6" s="686">
        <f t="shared" si="2"/>
        <v>9.948501872659176E-3</v>
      </c>
      <c r="L6" s="173"/>
    </row>
    <row r="7" spans="1:12" s="77" customFormat="1" ht="15.75">
      <c r="A7" s="689">
        <v>2008</v>
      </c>
      <c r="B7" s="629">
        <v>10873</v>
      </c>
      <c r="C7" s="629">
        <v>104</v>
      </c>
      <c r="D7" s="1110">
        <f t="shared" si="0"/>
        <v>10977</v>
      </c>
      <c r="E7" s="685">
        <f t="shared" si="1"/>
        <v>0.99052564452947067</v>
      </c>
      <c r="F7" s="686">
        <f t="shared" si="2"/>
        <v>9.4743554705292877E-3</v>
      </c>
      <c r="L7" s="173"/>
    </row>
    <row r="8" spans="1:12" s="77" customFormat="1" ht="15.75">
      <c r="A8" s="690">
        <v>2009</v>
      </c>
      <c r="B8" s="629">
        <v>14386</v>
      </c>
      <c r="C8" s="629">
        <v>297</v>
      </c>
      <c r="D8" s="1110">
        <f t="shared" si="0"/>
        <v>14683</v>
      </c>
      <c r="E8" s="685">
        <f t="shared" si="1"/>
        <v>0.97977252605053466</v>
      </c>
      <c r="F8" s="686">
        <f t="shared" si="2"/>
        <v>2.0227473949465367E-2</v>
      </c>
      <c r="L8" s="173"/>
    </row>
    <row r="9" spans="1:12" s="77" customFormat="1" ht="15.75">
      <c r="A9" s="689">
        <v>2010</v>
      </c>
      <c r="B9" s="629">
        <v>17051</v>
      </c>
      <c r="C9" s="629">
        <v>405</v>
      </c>
      <c r="D9" s="1110">
        <f t="shared" si="0"/>
        <v>17456</v>
      </c>
      <c r="E9" s="685">
        <f t="shared" si="1"/>
        <v>0.97679880843263056</v>
      </c>
      <c r="F9" s="686">
        <f t="shared" si="2"/>
        <v>2.3201191567369387E-2</v>
      </c>
      <c r="L9" s="173"/>
    </row>
    <row r="10" spans="1:12" s="77" customFormat="1" ht="15.75">
      <c r="A10" s="689">
        <v>2011</v>
      </c>
      <c r="B10" s="629">
        <v>22120</v>
      </c>
      <c r="C10" s="629">
        <v>477</v>
      </c>
      <c r="D10" s="1110">
        <f t="shared" si="0"/>
        <v>22597</v>
      </c>
      <c r="E10" s="685">
        <f t="shared" si="1"/>
        <v>0.97889100323051736</v>
      </c>
      <c r="F10" s="686">
        <f t="shared" si="2"/>
        <v>2.1108996769482673E-2</v>
      </c>
      <c r="L10" s="173"/>
    </row>
    <row r="11" spans="1:12" s="77" customFormat="1" ht="14.25" customHeight="1">
      <c r="A11" s="689" t="s">
        <v>482</v>
      </c>
      <c r="B11" s="629">
        <v>26233</v>
      </c>
      <c r="C11" s="629">
        <v>455</v>
      </c>
      <c r="D11" s="1110">
        <f t="shared" si="0"/>
        <v>26688</v>
      </c>
      <c r="E11" s="685">
        <f t="shared" si="1"/>
        <v>0.982951139088729</v>
      </c>
      <c r="F11" s="686">
        <f>C11/D11</f>
        <v>1.7048860911270985E-2</v>
      </c>
      <c r="L11" s="173"/>
    </row>
    <row r="12" spans="1:12" s="77" customFormat="1" ht="14.25" customHeight="1">
      <c r="A12" s="689" t="s">
        <v>561</v>
      </c>
      <c r="B12" s="629">
        <v>28246</v>
      </c>
      <c r="C12" s="629">
        <v>389</v>
      </c>
      <c r="D12" s="1110">
        <f t="shared" si="0"/>
        <v>28635</v>
      </c>
      <c r="E12" s="685">
        <f t="shared" si="1"/>
        <v>0.98641522612187882</v>
      </c>
      <c r="F12" s="686">
        <f>C12/D12</f>
        <v>1.358477387812118E-2</v>
      </c>
      <c r="L12" s="173"/>
    </row>
    <row r="13" spans="1:12" s="77" customFormat="1" ht="14.25" customHeight="1">
      <c r="A13" s="689" t="s">
        <v>569</v>
      </c>
      <c r="B13" s="629">
        <v>30630</v>
      </c>
      <c r="C13" s="629">
        <v>402</v>
      </c>
      <c r="D13" s="1110">
        <f t="shared" si="0"/>
        <v>31032</v>
      </c>
      <c r="E13" s="685">
        <f t="shared" si="1"/>
        <v>0.98704563031709203</v>
      </c>
      <c r="F13" s="686">
        <f>C13/D13</f>
        <v>1.2954369682907967E-2</v>
      </c>
      <c r="L13" s="173"/>
    </row>
    <row r="14" spans="1:12" s="77" customFormat="1" ht="14.25" customHeight="1">
      <c r="A14" s="678" t="s">
        <v>1015</v>
      </c>
      <c r="B14" s="281">
        <v>31381</v>
      </c>
      <c r="C14" s="281">
        <v>437</v>
      </c>
      <c r="D14" s="1110">
        <f t="shared" si="0"/>
        <v>31818</v>
      </c>
      <c r="E14" s="685">
        <f t="shared" si="1"/>
        <v>0.98626563580363313</v>
      </c>
      <c r="F14" s="686">
        <f>C14/D14</f>
        <v>1.3734364196366837E-2</v>
      </c>
      <c r="L14" s="173"/>
    </row>
    <row r="15" spans="1:12" s="77" customFormat="1" ht="15.75">
      <c r="A15" s="684" t="s">
        <v>23</v>
      </c>
      <c r="B15" s="691">
        <f>SUM(B4:B14)</f>
        <v>198581</v>
      </c>
      <c r="C15" s="691">
        <f>SUM(C4:C14)</f>
        <v>3115</v>
      </c>
      <c r="D15" s="1111">
        <f>SUM(D4:D14)</f>
        <v>201696</v>
      </c>
      <c r="E15" s="692">
        <f>AVERAGE(E4:E11)</f>
        <v>0.9857974453682159</v>
      </c>
      <c r="F15" s="693">
        <f>AVERAGE(F4:F11)</f>
        <v>1.4202554631784051E-2</v>
      </c>
      <c r="K15" s="23"/>
    </row>
    <row r="16" spans="1:12" s="77" customFormat="1">
      <c r="K16" s="39"/>
    </row>
    <row r="17" spans="11:11" s="77" customFormat="1">
      <c r="K17" s="39"/>
    </row>
    <row r="18" spans="11:11" s="77" customFormat="1">
      <c r="K18" s="23"/>
    </row>
    <row r="19" spans="11:11" s="77" customFormat="1">
      <c r="K19" s="23"/>
    </row>
    <row r="20" spans="11:11" s="77" customFormat="1">
      <c r="K20" s="23"/>
    </row>
    <row r="21" spans="11:11" s="77" customFormat="1">
      <c r="K21" s="23"/>
    </row>
    <row r="22" spans="11:11" s="77" customFormat="1">
      <c r="K22" s="23"/>
    </row>
    <row r="23" spans="11:11" s="77" customFormat="1">
      <c r="K23" s="23"/>
    </row>
    <row r="24" spans="11:11" s="77" customFormat="1">
      <c r="K24" s="23"/>
    </row>
    <row r="25" spans="11:11" s="77" customFormat="1">
      <c r="K25" s="23"/>
    </row>
    <row r="26" spans="11:11" s="77" customFormat="1">
      <c r="K26" s="23"/>
    </row>
    <row r="27" spans="11:11" s="77" customFormat="1">
      <c r="K27" s="23"/>
    </row>
    <row r="28" spans="11:11" s="77" customFormat="1">
      <c r="K28" s="23"/>
    </row>
    <row r="29" spans="11:11" s="77" customFormat="1">
      <c r="K29" s="23"/>
    </row>
    <row r="30" spans="11:11" s="77" customFormat="1">
      <c r="K30" s="23"/>
    </row>
    <row r="31" spans="11:11" s="77" customFormat="1">
      <c r="K31" s="23"/>
    </row>
    <row r="32" spans="11:11" s="77" customFormat="1">
      <c r="K32" s="23"/>
    </row>
    <row r="33" spans="11:11" s="77" customFormat="1">
      <c r="K33" s="23"/>
    </row>
    <row r="34" spans="11:11" s="77" customFormat="1">
      <c r="K34" s="23"/>
    </row>
    <row r="35" spans="11:11" s="77" customFormat="1">
      <c r="K35" s="23"/>
    </row>
    <row r="36" spans="11:11" s="77" customFormat="1"/>
    <row r="37" spans="11:11" s="77" customFormat="1"/>
    <row r="38" spans="11:11" s="77" customFormat="1"/>
    <row r="39" spans="11:11" s="77" customFormat="1"/>
    <row r="40" spans="11:11" s="77" customFormat="1"/>
    <row r="41" spans="11:11" s="77" customFormat="1"/>
    <row r="42" spans="11:11" s="77" customFormat="1"/>
    <row r="43" spans="11:11" s="77" customFormat="1"/>
    <row r="44" spans="11:11" s="77" customFormat="1"/>
    <row r="45" spans="11:11" s="77" customFormat="1"/>
    <row r="46" spans="11:11" s="77" customFormat="1"/>
    <row r="47" spans="11:11" s="77" customFormat="1"/>
    <row r="48" spans="11:11" s="77" customFormat="1"/>
    <row r="49" s="77" customFormat="1"/>
    <row r="50" s="77" customFormat="1"/>
  </sheetData>
  <mergeCells count="1">
    <mergeCell ref="A1:J1"/>
  </mergeCells>
  <printOptions horizontalCentered="1"/>
  <pageMargins left="0.39370078740157483" right="0.39370078740157483" top="0.23622047244094491" bottom="0.23622047244094491" header="0.31496062992125984" footer="0.31496062992125984"/>
  <pageSetup scale="71" orientation="landscape" r:id="rId1"/>
  <drawing r:id="rId2"/>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8">
    <tabColor rgb="FF66FF33"/>
    <pageSetUpPr fitToPage="1"/>
  </sheetPr>
  <dimension ref="A1:AG46"/>
  <sheetViews>
    <sheetView showGridLines="0" view="pageBreakPreview" zoomScale="70" zoomScaleNormal="100" zoomScaleSheetLayoutView="70" workbookViewId="0">
      <pane ySplit="1" topLeftCell="A2" activePane="bottomLeft" state="frozen"/>
      <selection activeCell="M22" sqref="M22"/>
      <selection pane="bottomLeft" activeCell="A3" sqref="A3"/>
    </sheetView>
  </sheetViews>
  <sheetFormatPr baseColWidth="10" defaultColWidth="11.42578125" defaultRowHeight="15"/>
  <cols>
    <col min="1" max="1" width="15.7109375" style="39" customWidth="1"/>
    <col min="2" max="2" width="10.28515625" style="39" customWidth="1"/>
    <col min="3" max="3" width="9.42578125" style="39" customWidth="1"/>
    <col min="4" max="4" width="10.85546875" style="39" customWidth="1"/>
    <col min="5" max="5" width="8.85546875" style="39" customWidth="1"/>
    <col min="6" max="6" width="8.7109375" style="39" customWidth="1"/>
    <col min="7" max="7" width="9.28515625" style="39" customWidth="1"/>
    <col min="8" max="8" width="8.28515625" style="39" customWidth="1"/>
    <col min="9" max="9" width="10.42578125" style="39" customWidth="1"/>
    <col min="10" max="10" width="9.7109375" style="39" customWidth="1"/>
    <col min="11" max="11" width="11.140625" style="39" customWidth="1"/>
    <col min="12" max="13" width="10.42578125" style="39" customWidth="1"/>
    <col min="14" max="14" width="10.7109375" style="39" customWidth="1"/>
    <col min="15" max="15" width="10.42578125" style="39" customWidth="1"/>
    <col min="16" max="16" width="10.7109375" style="39" customWidth="1"/>
    <col min="17" max="18" width="10.28515625" style="39" customWidth="1"/>
    <col min="19" max="19" width="10.140625" style="39" customWidth="1"/>
    <col min="20" max="20" width="10.28515625" style="39" customWidth="1"/>
    <col min="21" max="21" width="5.42578125" style="39" customWidth="1"/>
    <col min="22" max="22" width="11.7109375" style="39" customWidth="1"/>
    <col min="23" max="32" width="11.42578125" style="39" hidden="1" customWidth="1"/>
    <col min="33" max="16384" width="11.42578125" style="39"/>
  </cols>
  <sheetData>
    <row r="1" spans="1:33" s="77" customFormat="1" ht="68.25" customHeight="1">
      <c r="A1" s="2071"/>
      <c r="B1" s="2071"/>
      <c r="C1" s="2071"/>
      <c r="D1" s="2071"/>
      <c r="E1" s="2071"/>
      <c r="F1" s="2071"/>
      <c r="G1" s="2071"/>
      <c r="H1" s="2071"/>
      <c r="I1" s="2071"/>
      <c r="J1" s="2071"/>
      <c r="K1" s="2071"/>
      <c r="L1" s="2071"/>
      <c r="M1" s="2071"/>
      <c r="N1" s="2071"/>
      <c r="O1" s="2071"/>
      <c r="P1" s="2071"/>
      <c r="Q1" s="2071"/>
      <c r="R1" s="2071"/>
      <c r="S1" s="2071"/>
      <c r="T1" s="2071"/>
    </row>
    <row r="2" spans="1:33" s="77" customFormat="1" ht="3.75" customHeight="1">
      <c r="A2" s="2180"/>
      <c r="B2" s="2180"/>
      <c r="C2" s="2180"/>
      <c r="D2" s="2180"/>
      <c r="E2" s="2180"/>
      <c r="F2" s="2180"/>
      <c r="G2" s="2180"/>
      <c r="H2" s="2180"/>
      <c r="I2" s="2180"/>
      <c r="J2" s="2180"/>
      <c r="K2" s="2180"/>
      <c r="L2" s="2180"/>
      <c r="M2" s="2180"/>
      <c r="N2" s="2180"/>
      <c r="O2" s="2180"/>
      <c r="P2" s="2180"/>
      <c r="Q2" s="2180"/>
      <c r="R2" s="2180"/>
      <c r="S2" s="2180"/>
      <c r="T2" s="2181"/>
    </row>
    <row r="3" spans="1:33" s="134" customFormat="1" ht="31.5">
      <c r="A3" s="677" t="s">
        <v>250</v>
      </c>
      <c r="B3" s="545" t="s">
        <v>274</v>
      </c>
      <c r="C3" s="545" t="s">
        <v>273</v>
      </c>
      <c r="D3" s="545" t="s">
        <v>272</v>
      </c>
      <c r="E3" s="545" t="s">
        <v>271</v>
      </c>
      <c r="F3" s="545" t="s">
        <v>270</v>
      </c>
      <c r="G3" s="545" t="s">
        <v>269</v>
      </c>
      <c r="H3" s="545" t="s">
        <v>268</v>
      </c>
      <c r="I3" s="545" t="s">
        <v>267</v>
      </c>
      <c r="J3" s="545" t="s">
        <v>266</v>
      </c>
      <c r="K3" s="1063" t="s">
        <v>265</v>
      </c>
      <c r="L3" s="545" t="s">
        <v>264</v>
      </c>
      <c r="M3" s="545" t="s">
        <v>263</v>
      </c>
      <c r="N3" s="545" t="s">
        <v>262</v>
      </c>
      <c r="O3" s="545" t="s">
        <v>261</v>
      </c>
      <c r="P3" s="545" t="s">
        <v>260</v>
      </c>
      <c r="Q3" s="545" t="s">
        <v>259</v>
      </c>
      <c r="R3" s="545" t="s">
        <v>258</v>
      </c>
      <c r="S3" s="545" t="s">
        <v>257</v>
      </c>
      <c r="T3" s="546" t="s">
        <v>256</v>
      </c>
      <c r="V3" s="77"/>
      <c r="W3" s="77"/>
      <c r="X3" s="77"/>
      <c r="Y3" s="77"/>
      <c r="Z3" s="77"/>
      <c r="AA3" s="77"/>
      <c r="AB3" s="77"/>
      <c r="AC3" s="77"/>
      <c r="AD3" s="77"/>
      <c r="AE3" s="77"/>
      <c r="AF3" s="77"/>
      <c r="AG3" s="77"/>
    </row>
    <row r="4" spans="1:33" s="77" customFormat="1" ht="15.75">
      <c r="A4" s="562">
        <v>2005</v>
      </c>
      <c r="B4" s="631">
        <v>3726</v>
      </c>
      <c r="C4" s="631">
        <v>1</v>
      </c>
      <c r="D4" s="631">
        <v>1</v>
      </c>
      <c r="E4" s="631">
        <v>0</v>
      </c>
      <c r="F4" s="631">
        <v>1</v>
      </c>
      <c r="G4" s="631">
        <v>2</v>
      </c>
      <c r="H4" s="631">
        <v>0</v>
      </c>
      <c r="I4" s="631">
        <v>0</v>
      </c>
      <c r="J4" s="631">
        <v>0</v>
      </c>
      <c r="K4" s="1064">
        <f t="shared" ref="K4:K10" si="0">SUM(B4:J4)</f>
        <v>3731</v>
      </c>
      <c r="L4" s="682">
        <f t="shared" ref="L4:L10" si="1">B4/K4</f>
        <v>0.99865987670865719</v>
      </c>
      <c r="M4" s="682">
        <f t="shared" ref="M4:M15" si="2">C4/K4</f>
        <v>2.6802465826856071E-4</v>
      </c>
      <c r="N4" s="682">
        <f t="shared" ref="N4:N15" si="3">D4/K4</f>
        <v>2.6802465826856071E-4</v>
      </c>
      <c r="O4" s="682">
        <f t="shared" ref="O4:O15" si="4">E4/K4</f>
        <v>0</v>
      </c>
      <c r="P4" s="682">
        <f t="shared" ref="P4:P15" si="5">F4/K4</f>
        <v>2.6802465826856071E-4</v>
      </c>
      <c r="Q4" s="682">
        <f t="shared" ref="Q4:Q15" si="6">G4/K4</f>
        <v>5.3604931653712141E-4</v>
      </c>
      <c r="R4" s="682">
        <f t="shared" ref="R4:R15" si="7">H4/K4</f>
        <v>0</v>
      </c>
      <c r="S4" s="682">
        <f t="shared" ref="S4:S15" si="8">I4/K4</f>
        <v>0</v>
      </c>
      <c r="T4" s="683">
        <f t="shared" ref="T4:T15" si="9">J4/K4</f>
        <v>0</v>
      </c>
    </row>
    <row r="5" spans="1:33" s="77" customFormat="1" ht="15.75">
      <c r="A5" s="678">
        <v>2006</v>
      </c>
      <c r="B5" s="631">
        <v>5469</v>
      </c>
      <c r="C5" s="631">
        <v>10</v>
      </c>
      <c r="D5" s="631">
        <v>17</v>
      </c>
      <c r="E5" s="631">
        <v>2</v>
      </c>
      <c r="F5" s="631">
        <v>1</v>
      </c>
      <c r="G5" s="631">
        <v>23</v>
      </c>
      <c r="H5" s="631">
        <v>5</v>
      </c>
      <c r="I5" s="631">
        <v>8</v>
      </c>
      <c r="J5" s="631">
        <v>0</v>
      </c>
      <c r="K5" s="1064">
        <f t="shared" si="0"/>
        <v>5535</v>
      </c>
      <c r="L5" s="682">
        <f t="shared" si="1"/>
        <v>0.98807588075880759</v>
      </c>
      <c r="M5" s="682">
        <f t="shared" si="2"/>
        <v>1.8066847335140017E-3</v>
      </c>
      <c r="N5" s="682">
        <f t="shared" si="3"/>
        <v>3.0713640469738029E-3</v>
      </c>
      <c r="O5" s="682">
        <f t="shared" si="4"/>
        <v>3.6133694670280038E-4</v>
      </c>
      <c r="P5" s="682">
        <f t="shared" si="5"/>
        <v>1.8066847335140019E-4</v>
      </c>
      <c r="Q5" s="682">
        <f t="shared" si="6"/>
        <v>4.1553748870822044E-3</v>
      </c>
      <c r="R5" s="682">
        <f t="shared" si="7"/>
        <v>9.0334236675700087E-4</v>
      </c>
      <c r="S5" s="682">
        <f t="shared" si="8"/>
        <v>1.4453477868112015E-3</v>
      </c>
      <c r="T5" s="683">
        <f t="shared" si="9"/>
        <v>0</v>
      </c>
    </row>
    <row r="6" spans="1:33" s="77" customFormat="1" ht="15.75">
      <c r="A6" s="562">
        <v>2007</v>
      </c>
      <c r="B6" s="631">
        <v>5248</v>
      </c>
      <c r="C6" s="631">
        <v>259</v>
      </c>
      <c r="D6" s="631">
        <v>1131</v>
      </c>
      <c r="E6" s="631">
        <v>112</v>
      </c>
      <c r="F6" s="631">
        <v>54</v>
      </c>
      <c r="G6" s="631">
        <v>1402</v>
      </c>
      <c r="H6" s="631">
        <v>67</v>
      </c>
      <c r="I6" s="631">
        <v>271</v>
      </c>
      <c r="J6" s="631">
        <v>0</v>
      </c>
      <c r="K6" s="1064">
        <f t="shared" si="0"/>
        <v>8544</v>
      </c>
      <c r="L6" s="682">
        <f t="shared" si="1"/>
        <v>0.61423220973782766</v>
      </c>
      <c r="M6" s="682">
        <f t="shared" si="2"/>
        <v>3.031367041198502E-2</v>
      </c>
      <c r="N6" s="682">
        <f t="shared" si="3"/>
        <v>0.13237359550561797</v>
      </c>
      <c r="O6" s="682">
        <f t="shared" si="4"/>
        <v>1.3108614232209739E-2</v>
      </c>
      <c r="P6" s="682">
        <f t="shared" si="5"/>
        <v>6.3202247191011234E-3</v>
      </c>
      <c r="Q6" s="682">
        <f t="shared" si="6"/>
        <v>0.16409176029962547</v>
      </c>
      <c r="R6" s="682">
        <f t="shared" si="7"/>
        <v>7.8417602996254682E-3</v>
      </c>
      <c r="S6" s="682">
        <f t="shared" si="8"/>
        <v>3.1718164794007492E-2</v>
      </c>
      <c r="T6" s="683">
        <f t="shared" si="9"/>
        <v>0</v>
      </c>
    </row>
    <row r="7" spans="1:33" s="77" customFormat="1" ht="15.75">
      <c r="A7" s="678">
        <v>2008</v>
      </c>
      <c r="B7" s="631">
        <v>5249</v>
      </c>
      <c r="C7" s="631">
        <v>457</v>
      </c>
      <c r="D7" s="631">
        <v>2480</v>
      </c>
      <c r="E7" s="631">
        <v>167</v>
      </c>
      <c r="F7" s="631">
        <v>61</v>
      </c>
      <c r="G7" s="631">
        <v>2135</v>
      </c>
      <c r="H7" s="631">
        <v>47</v>
      </c>
      <c r="I7" s="631">
        <v>381</v>
      </c>
      <c r="J7" s="631">
        <v>0</v>
      </c>
      <c r="K7" s="1064">
        <f t="shared" si="0"/>
        <v>10977</v>
      </c>
      <c r="L7" s="682">
        <f t="shared" si="1"/>
        <v>0.47818165254623302</v>
      </c>
      <c r="M7" s="682">
        <f t="shared" si="2"/>
        <v>4.1632504327229661E-2</v>
      </c>
      <c r="N7" s="682">
        <f t="shared" si="3"/>
        <v>0.22592693814339074</v>
      </c>
      <c r="O7" s="682">
        <f t="shared" si="4"/>
        <v>1.5213628495946069E-2</v>
      </c>
      <c r="P7" s="682">
        <f t="shared" si="5"/>
        <v>5.5570738817527559E-3</v>
      </c>
      <c r="Q7" s="682">
        <f t="shared" si="6"/>
        <v>0.19449758586134644</v>
      </c>
      <c r="R7" s="682">
        <f t="shared" si="7"/>
        <v>4.2816798761045822E-3</v>
      </c>
      <c r="S7" s="682">
        <f t="shared" si="8"/>
        <v>3.4708936867996719E-2</v>
      </c>
      <c r="T7" s="683">
        <f t="shared" si="9"/>
        <v>0</v>
      </c>
    </row>
    <row r="8" spans="1:33" s="77" customFormat="1" ht="15.75">
      <c r="A8" s="562">
        <v>2009</v>
      </c>
      <c r="B8" s="631">
        <v>5951</v>
      </c>
      <c r="C8" s="631">
        <v>466</v>
      </c>
      <c r="D8" s="631">
        <v>3922</v>
      </c>
      <c r="E8" s="631">
        <v>308</v>
      </c>
      <c r="F8" s="631">
        <v>128</v>
      </c>
      <c r="G8" s="631">
        <v>2899</v>
      </c>
      <c r="H8" s="631">
        <v>159</v>
      </c>
      <c r="I8" s="631">
        <v>850</v>
      </c>
      <c r="J8" s="631">
        <v>0</v>
      </c>
      <c r="K8" s="1064">
        <f t="shared" si="0"/>
        <v>14683</v>
      </c>
      <c r="L8" s="682">
        <f t="shared" si="1"/>
        <v>0.40529864469113941</v>
      </c>
      <c r="M8" s="682">
        <f t="shared" si="2"/>
        <v>3.1737383368521423E-2</v>
      </c>
      <c r="N8" s="682">
        <f t="shared" si="3"/>
        <v>0.26711162568957297</v>
      </c>
      <c r="O8" s="682">
        <f t="shared" si="4"/>
        <v>2.0976639651297417E-2</v>
      </c>
      <c r="P8" s="682">
        <f t="shared" si="5"/>
        <v>8.7175645304093177E-3</v>
      </c>
      <c r="Q8" s="682">
        <f t="shared" si="6"/>
        <v>0.19743921541919227</v>
      </c>
      <c r="R8" s="682">
        <f t="shared" si="7"/>
        <v>1.0828849690117824E-2</v>
      </c>
      <c r="S8" s="682">
        <f t="shared" si="8"/>
        <v>5.7890076959749369E-2</v>
      </c>
      <c r="T8" s="683">
        <f t="shared" si="9"/>
        <v>0</v>
      </c>
    </row>
    <row r="9" spans="1:33" s="77" customFormat="1" ht="15.75">
      <c r="A9" s="678">
        <v>2010</v>
      </c>
      <c r="B9" s="631">
        <v>6247</v>
      </c>
      <c r="C9" s="631">
        <v>524</v>
      </c>
      <c r="D9" s="631">
        <v>4790</v>
      </c>
      <c r="E9" s="631">
        <v>428</v>
      </c>
      <c r="F9" s="631">
        <v>239</v>
      </c>
      <c r="G9" s="631">
        <v>3860</v>
      </c>
      <c r="H9" s="631">
        <v>234</v>
      </c>
      <c r="I9" s="631">
        <v>1134</v>
      </c>
      <c r="J9" s="631">
        <v>0</v>
      </c>
      <c r="K9" s="1064">
        <f t="shared" si="0"/>
        <v>17456</v>
      </c>
      <c r="L9" s="682">
        <f t="shared" si="1"/>
        <v>0.35787121906507791</v>
      </c>
      <c r="M9" s="682">
        <f t="shared" si="2"/>
        <v>3.0018331805682859E-2</v>
      </c>
      <c r="N9" s="682">
        <f t="shared" si="3"/>
        <v>0.27440421631530704</v>
      </c>
      <c r="O9" s="682">
        <f t="shared" si="4"/>
        <v>2.451879010082493E-2</v>
      </c>
      <c r="P9" s="682">
        <f t="shared" si="5"/>
        <v>1.3691567369385885E-2</v>
      </c>
      <c r="Q9" s="682">
        <f t="shared" si="6"/>
        <v>0.22112740604949588</v>
      </c>
      <c r="R9" s="682">
        <f t="shared" si="7"/>
        <v>1.3405132905591201E-2</v>
      </c>
      <c r="S9" s="682">
        <f t="shared" si="8"/>
        <v>6.4963336388634274E-2</v>
      </c>
      <c r="T9" s="683">
        <f t="shared" si="9"/>
        <v>0</v>
      </c>
    </row>
    <row r="10" spans="1:33" s="77" customFormat="1" ht="15.75">
      <c r="A10" s="678">
        <v>2011</v>
      </c>
      <c r="B10" s="631">
        <v>7512</v>
      </c>
      <c r="C10" s="631">
        <v>818</v>
      </c>
      <c r="D10" s="631">
        <v>6018</v>
      </c>
      <c r="E10" s="631">
        <v>681</v>
      </c>
      <c r="F10" s="631">
        <v>471</v>
      </c>
      <c r="G10" s="631">
        <v>5158</v>
      </c>
      <c r="H10" s="631">
        <v>364</v>
      </c>
      <c r="I10" s="631">
        <v>1575</v>
      </c>
      <c r="J10" s="631">
        <v>0</v>
      </c>
      <c r="K10" s="1064">
        <f t="shared" si="0"/>
        <v>22597</v>
      </c>
      <c r="L10" s="682">
        <f t="shared" si="1"/>
        <v>0.33243350887285922</v>
      </c>
      <c r="M10" s="682">
        <f t="shared" si="2"/>
        <v>3.6199495508253306E-2</v>
      </c>
      <c r="N10" s="682">
        <f t="shared" si="3"/>
        <v>0.26631853785900783</v>
      </c>
      <c r="O10" s="682">
        <f t="shared" si="4"/>
        <v>3.0136743815550735E-2</v>
      </c>
      <c r="P10" s="682">
        <f t="shared" si="5"/>
        <v>2.0843474797539497E-2</v>
      </c>
      <c r="Q10" s="682">
        <f t="shared" si="6"/>
        <v>0.22826038854715228</v>
      </c>
      <c r="R10" s="682">
        <f t="shared" si="7"/>
        <v>1.6108332964552816E-2</v>
      </c>
      <c r="S10" s="682">
        <f t="shared" si="8"/>
        <v>6.9699517635084307E-2</v>
      </c>
      <c r="T10" s="683">
        <f t="shared" si="9"/>
        <v>0</v>
      </c>
    </row>
    <row r="11" spans="1:33" s="77" customFormat="1" ht="15.75">
      <c r="A11" s="678" t="s">
        <v>482</v>
      </c>
      <c r="B11" s="631">
        <v>8554</v>
      </c>
      <c r="C11" s="631">
        <v>1073</v>
      </c>
      <c r="D11" s="631">
        <v>7266</v>
      </c>
      <c r="E11" s="631">
        <v>925</v>
      </c>
      <c r="F11" s="631">
        <v>535</v>
      </c>
      <c r="G11" s="631">
        <v>5902</v>
      </c>
      <c r="H11" s="631">
        <v>474</v>
      </c>
      <c r="I11" s="631">
        <v>1959</v>
      </c>
      <c r="J11" s="631">
        <v>0</v>
      </c>
      <c r="K11" s="1064">
        <f>SUM(B11:J11)</f>
        <v>26688</v>
      </c>
      <c r="L11" s="682">
        <f>B11/K11</f>
        <v>0.32051858513189446</v>
      </c>
      <c r="M11" s="682">
        <f>C11/K11</f>
        <v>4.0205335731414868E-2</v>
      </c>
      <c r="N11" s="682">
        <f>D11/K11</f>
        <v>0.27225719424460432</v>
      </c>
      <c r="O11" s="682">
        <f>E11/K11</f>
        <v>3.4659772182254196E-2</v>
      </c>
      <c r="P11" s="682">
        <f>F11/K11</f>
        <v>2.0046462829736211E-2</v>
      </c>
      <c r="Q11" s="682">
        <f>G11/K11</f>
        <v>0.2211480815347722</v>
      </c>
      <c r="R11" s="682">
        <f>H11/K11</f>
        <v>1.7760791366906475E-2</v>
      </c>
      <c r="S11" s="682">
        <f>I11/K11</f>
        <v>7.3403776978417268E-2</v>
      </c>
      <c r="T11" s="683">
        <f>J11/K11</f>
        <v>0</v>
      </c>
    </row>
    <row r="12" spans="1:33" s="134" customFormat="1" ht="15.75">
      <c r="A12" s="678" t="s">
        <v>561</v>
      </c>
      <c r="B12" s="631">
        <v>9093</v>
      </c>
      <c r="C12" s="631">
        <v>1147</v>
      </c>
      <c r="D12" s="631">
        <v>8256</v>
      </c>
      <c r="E12" s="631">
        <v>933</v>
      </c>
      <c r="F12" s="631">
        <v>584</v>
      </c>
      <c r="G12" s="631">
        <v>5913</v>
      </c>
      <c r="H12" s="631">
        <v>417</v>
      </c>
      <c r="I12" s="631">
        <v>2292</v>
      </c>
      <c r="J12" s="631">
        <v>0</v>
      </c>
      <c r="K12" s="1064">
        <f>SUM(B12:J12)</f>
        <v>28635</v>
      </c>
      <c r="L12" s="682">
        <f>B12/K12</f>
        <v>0.31754845468831849</v>
      </c>
      <c r="M12" s="682">
        <f>C12/K12</f>
        <v>4.0055875676619522E-2</v>
      </c>
      <c r="N12" s="682">
        <f>D12/K12</f>
        <v>0.28831849135673127</v>
      </c>
      <c r="O12" s="682">
        <f>E12/K12</f>
        <v>3.2582503928758513E-2</v>
      </c>
      <c r="P12" s="682">
        <f>F12/K12</f>
        <v>2.0394621966125372E-2</v>
      </c>
      <c r="Q12" s="682">
        <f>G12/K12</f>
        <v>0.20649554740701939</v>
      </c>
      <c r="R12" s="682">
        <f>H12/K12</f>
        <v>1.4562598218962807E-2</v>
      </c>
      <c r="S12" s="682">
        <f>I12/K12</f>
        <v>8.0041906757464643E-2</v>
      </c>
      <c r="T12" s="683">
        <f>J12/K12</f>
        <v>0</v>
      </c>
      <c r="V12" s="77"/>
      <c r="W12" s="77"/>
      <c r="X12" s="77"/>
      <c r="Y12" s="77"/>
      <c r="Z12" s="77"/>
      <c r="AA12" s="77"/>
      <c r="AB12" s="77"/>
      <c r="AC12" s="77"/>
      <c r="AD12" s="77"/>
      <c r="AE12" s="77"/>
      <c r="AF12" s="77"/>
      <c r="AG12" s="77"/>
    </row>
    <row r="13" spans="1:33" s="134" customFormat="1" ht="15.75">
      <c r="A13" s="678" t="s">
        <v>569</v>
      </c>
      <c r="B13" s="631">
        <v>10098</v>
      </c>
      <c r="C13" s="631">
        <v>1346</v>
      </c>
      <c r="D13" s="631">
        <v>8494</v>
      </c>
      <c r="E13" s="631">
        <v>1003</v>
      </c>
      <c r="F13" s="631">
        <v>627</v>
      </c>
      <c r="G13" s="631">
        <v>6354</v>
      </c>
      <c r="H13" s="631">
        <v>518</v>
      </c>
      <c r="I13" s="631">
        <v>2592</v>
      </c>
      <c r="J13" s="631">
        <v>0</v>
      </c>
      <c r="K13" s="1064">
        <f>SUM(B13:J13)</f>
        <v>31032</v>
      </c>
      <c r="L13" s="682">
        <f>B13/K13</f>
        <v>0.32540603248259858</v>
      </c>
      <c r="M13" s="682">
        <f>C13/K13</f>
        <v>4.337458107759732E-2</v>
      </c>
      <c r="N13" s="682">
        <f>D13/K13</f>
        <v>0.27371745295179167</v>
      </c>
      <c r="O13" s="682">
        <f>E13/K13</f>
        <v>3.2321474606857435E-2</v>
      </c>
      <c r="P13" s="682">
        <f>F13/K13</f>
        <v>2.0204949729311677E-2</v>
      </c>
      <c r="Q13" s="682">
        <f>G13/K13</f>
        <v>0.20475638051044084</v>
      </c>
      <c r="R13" s="682">
        <f>H13/K13</f>
        <v>1.6692446506831656E-2</v>
      </c>
      <c r="S13" s="682">
        <f>I13/K13</f>
        <v>8.3526682134570762E-2</v>
      </c>
      <c r="T13" s="683">
        <f>J13/K13</f>
        <v>0</v>
      </c>
      <c r="V13" s="77"/>
      <c r="W13" s="77"/>
      <c r="X13" s="77"/>
      <c r="Y13" s="77"/>
      <c r="Z13" s="77"/>
      <c r="AA13" s="77"/>
      <c r="AB13" s="77"/>
      <c r="AC13" s="77"/>
      <c r="AD13" s="77"/>
      <c r="AE13" s="77"/>
      <c r="AF13" s="77"/>
    </row>
    <row r="14" spans="1:33" s="134" customFormat="1" ht="15.75">
      <c r="A14" s="678" t="s">
        <v>1006</v>
      </c>
      <c r="B14" s="631">
        <f>11104-870</f>
        <v>10234</v>
      </c>
      <c r="C14" s="631">
        <f>1417-90</f>
        <v>1327</v>
      </c>
      <c r="D14" s="631">
        <f>9714-719</f>
        <v>8995</v>
      </c>
      <c r="E14" s="631">
        <f>1229-96</f>
        <v>1133</v>
      </c>
      <c r="F14" s="631">
        <f>451-48</f>
        <v>403</v>
      </c>
      <c r="G14" s="631">
        <f>7190-589</f>
        <v>6601</v>
      </c>
      <c r="H14" s="631">
        <f>574-57</f>
        <v>517</v>
      </c>
      <c r="I14" s="631">
        <f>2870-262</f>
        <v>2608</v>
      </c>
      <c r="J14" s="631">
        <v>0</v>
      </c>
      <c r="K14" s="1064">
        <f>SUM(B14:J14)</f>
        <v>31818</v>
      </c>
      <c r="L14" s="682">
        <f>B14/K14</f>
        <v>0.32164183795335971</v>
      </c>
      <c r="M14" s="682">
        <f>C14/K14</f>
        <v>4.1705952605443457E-2</v>
      </c>
      <c r="N14" s="682">
        <f>D14/K14</f>
        <v>0.28270161543780248</v>
      </c>
      <c r="O14" s="682">
        <f>E14/K14</f>
        <v>3.5608774907285187E-2</v>
      </c>
      <c r="P14" s="682">
        <f>F14/K14</f>
        <v>1.2665786661638067E-2</v>
      </c>
      <c r="Q14" s="682">
        <f>G14/K14</f>
        <v>0.20746118549248854</v>
      </c>
      <c r="R14" s="682">
        <f>H14/K14</f>
        <v>1.6248664278081588E-2</v>
      </c>
      <c r="S14" s="682">
        <f>I14/K14</f>
        <v>8.1966182663900933E-2</v>
      </c>
      <c r="T14" s="683">
        <f>J14/K14</f>
        <v>0</v>
      </c>
      <c r="V14" s="77"/>
      <c r="W14" s="77"/>
      <c r="X14" s="77"/>
      <c r="Y14" s="77"/>
      <c r="Z14" s="77"/>
      <c r="AA14" s="77"/>
      <c r="AB14" s="77"/>
      <c r="AC14" s="77"/>
      <c r="AD14" s="77"/>
      <c r="AE14" s="77"/>
      <c r="AF14" s="77"/>
    </row>
    <row r="15" spans="1:33" s="77" customFormat="1" ht="15.75">
      <c r="A15" s="677" t="s">
        <v>140</v>
      </c>
      <c r="B15" s="679">
        <f>SUM(B4:B14)</f>
        <v>77381</v>
      </c>
      <c r="C15" s="679">
        <f t="shared" ref="C15:K15" si="10">SUM(C4:C14)</f>
        <v>7428</v>
      </c>
      <c r="D15" s="679">
        <f t="shared" si="10"/>
        <v>51370</v>
      </c>
      <c r="E15" s="679">
        <f t="shared" si="10"/>
        <v>5692</v>
      </c>
      <c r="F15" s="679">
        <f t="shared" si="10"/>
        <v>3104</v>
      </c>
      <c r="G15" s="679">
        <f t="shared" si="10"/>
        <v>40249</v>
      </c>
      <c r="H15" s="679">
        <f t="shared" si="10"/>
        <v>2802</v>
      </c>
      <c r="I15" s="679">
        <f t="shared" si="10"/>
        <v>13670</v>
      </c>
      <c r="J15" s="679">
        <f t="shared" si="10"/>
        <v>0</v>
      </c>
      <c r="K15" s="1065">
        <f t="shared" si="10"/>
        <v>201696</v>
      </c>
      <c r="L15" s="680">
        <f>B15/K15</f>
        <v>0.38365163414247183</v>
      </c>
      <c r="M15" s="680">
        <f t="shared" si="2"/>
        <v>3.6827701094716801E-2</v>
      </c>
      <c r="N15" s="680">
        <f t="shared" si="3"/>
        <v>0.25469022687609078</v>
      </c>
      <c r="O15" s="680">
        <f t="shared" si="4"/>
        <v>2.8220688561002696E-2</v>
      </c>
      <c r="P15" s="680">
        <f t="shared" si="5"/>
        <v>1.5389497064889734E-2</v>
      </c>
      <c r="Q15" s="680">
        <f t="shared" si="6"/>
        <v>0.19955279232111692</v>
      </c>
      <c r="R15" s="680">
        <f t="shared" si="7"/>
        <v>1.3892194193241314E-2</v>
      </c>
      <c r="S15" s="680">
        <f t="shared" si="8"/>
        <v>6.7775265746469929E-2</v>
      </c>
      <c r="T15" s="681">
        <f t="shared" si="9"/>
        <v>0</v>
      </c>
      <c r="V15" s="167"/>
    </row>
    <row r="16" spans="1:33" s="77" customFormat="1">
      <c r="K16" s="39"/>
    </row>
    <row r="17" spans="8:12" s="77" customFormat="1" ht="15.75">
      <c r="H17" s="145"/>
      <c r="K17" s="208">
        <f>+(K5-K4)/K4</f>
        <v>0.48351648351648352</v>
      </c>
    </row>
    <row r="18" spans="8:12" s="77" customFormat="1">
      <c r="K18" s="208">
        <f t="shared" ref="K18:K24" si="11">+(K6-K5)/K5</f>
        <v>0.54363143631436317</v>
      </c>
    </row>
    <row r="19" spans="8:12" s="77" customFormat="1">
      <c r="K19" s="208">
        <f t="shared" si="11"/>
        <v>0.2847612359550562</v>
      </c>
    </row>
    <row r="20" spans="8:12" s="77" customFormat="1">
      <c r="K20" s="208">
        <f t="shared" si="11"/>
        <v>0.33761501320943793</v>
      </c>
      <c r="L20" s="23"/>
    </row>
    <row r="21" spans="8:12" s="77" customFormat="1">
      <c r="K21" s="208">
        <f t="shared" si="11"/>
        <v>0.18885786283457059</v>
      </c>
      <c r="L21" s="23"/>
    </row>
    <row r="22" spans="8:12" s="77" customFormat="1">
      <c r="K22" s="208">
        <f t="shared" si="11"/>
        <v>0.29451191567369384</v>
      </c>
      <c r="L22" s="23"/>
    </row>
    <row r="23" spans="8:12" s="77" customFormat="1">
      <c r="K23" s="208">
        <f t="shared" si="11"/>
        <v>0.18104173120325706</v>
      </c>
      <c r="L23" s="23"/>
    </row>
    <row r="24" spans="8:12" s="77" customFormat="1">
      <c r="K24" s="208">
        <f t="shared" si="11"/>
        <v>7.2954136690647486E-2</v>
      </c>
      <c r="L24" s="23"/>
    </row>
    <row r="25" spans="8:12" s="77" customFormat="1">
      <c r="K25" s="208">
        <f>+(K13-K12)/K12</f>
        <v>8.3708748035620742E-2</v>
      </c>
      <c r="L25" s="23"/>
    </row>
    <row r="26" spans="8:12" s="77" customFormat="1">
      <c r="K26" s="208"/>
      <c r="L26" s="23"/>
    </row>
    <row r="27" spans="8:12" s="77" customFormat="1">
      <c r="K27" s="208">
        <f>AVERAGE(K17:K26)</f>
        <v>0.27451095149257004</v>
      </c>
      <c r="L27" s="23"/>
    </row>
    <row r="28" spans="8:12" s="77" customFormat="1">
      <c r="K28" s="208"/>
      <c r="L28" s="23"/>
    </row>
    <row r="29" spans="8:12" s="77" customFormat="1">
      <c r="K29" s="23"/>
      <c r="L29" s="23"/>
    </row>
    <row r="30" spans="8:12" s="77" customFormat="1">
      <c r="K30" s="23"/>
      <c r="L30" s="23"/>
    </row>
    <row r="31" spans="8:12" s="77" customFormat="1">
      <c r="K31" s="23"/>
      <c r="L31" s="23"/>
    </row>
    <row r="32" spans="8:12" s="77" customFormat="1">
      <c r="K32" s="23"/>
      <c r="L32" s="23"/>
    </row>
    <row r="33" spans="3:32" s="77" customFormat="1">
      <c r="K33" s="23"/>
      <c r="L33" s="23"/>
    </row>
    <row r="34" spans="3:32" s="77" customFormat="1">
      <c r="K34" s="23"/>
      <c r="L34" s="23"/>
    </row>
    <row r="35" spans="3:32" s="77" customFormat="1">
      <c r="K35" s="23"/>
      <c r="L35" s="23"/>
    </row>
    <row r="36" spans="3:32" s="77" customFormat="1">
      <c r="V36" s="39"/>
      <c r="W36" s="39"/>
      <c r="X36" s="39"/>
      <c r="Y36" s="39"/>
      <c r="Z36" s="39"/>
      <c r="AA36" s="39"/>
      <c r="AB36" s="39"/>
      <c r="AC36" s="39"/>
      <c r="AD36" s="39"/>
      <c r="AE36" s="39"/>
      <c r="AF36" s="39"/>
    </row>
    <row r="37" spans="3:32" s="77" customFormat="1">
      <c r="V37" s="39"/>
      <c r="W37" s="39"/>
      <c r="X37" s="39"/>
      <c r="Y37" s="39"/>
      <c r="Z37" s="39"/>
      <c r="AA37" s="39"/>
      <c r="AB37" s="39"/>
      <c r="AC37" s="39"/>
      <c r="AD37" s="39"/>
      <c r="AE37" s="39"/>
      <c r="AF37" s="39"/>
    </row>
    <row r="38" spans="3:32" s="77" customFormat="1" ht="15.75">
      <c r="C38" s="135"/>
      <c r="V38" s="39"/>
      <c r="W38" s="39"/>
      <c r="X38" s="39"/>
      <c r="Y38" s="39"/>
      <c r="Z38" s="39"/>
      <c r="AA38" s="39"/>
      <c r="AB38" s="39"/>
      <c r="AC38" s="39"/>
      <c r="AD38" s="39"/>
      <c r="AE38" s="39"/>
      <c r="AF38" s="39"/>
    </row>
    <row r="39" spans="3:32" s="77" customFormat="1">
      <c r="V39" s="39"/>
      <c r="W39" s="39"/>
      <c r="X39" s="39"/>
      <c r="Y39" s="39"/>
      <c r="Z39" s="39"/>
      <c r="AA39" s="39"/>
      <c r="AB39" s="39"/>
      <c r="AC39" s="39"/>
      <c r="AD39" s="39"/>
      <c r="AE39" s="39"/>
      <c r="AF39" s="39"/>
    </row>
    <row r="40" spans="3:32" s="77" customFormat="1">
      <c r="V40" s="39"/>
      <c r="W40" s="39"/>
      <c r="X40" s="39"/>
      <c r="Y40" s="39"/>
      <c r="Z40" s="39"/>
      <c r="AA40" s="39"/>
      <c r="AB40" s="39"/>
      <c r="AC40" s="39"/>
      <c r="AD40" s="39"/>
      <c r="AE40" s="39"/>
      <c r="AF40" s="39"/>
    </row>
    <row r="41" spans="3:32" s="77" customFormat="1">
      <c r="V41" s="39"/>
      <c r="W41" s="39"/>
      <c r="X41" s="39"/>
      <c r="Y41" s="39"/>
      <c r="Z41" s="39"/>
      <c r="AA41" s="39"/>
      <c r="AB41" s="39"/>
      <c r="AC41" s="39"/>
      <c r="AD41" s="39"/>
      <c r="AE41" s="39"/>
      <c r="AF41" s="39"/>
    </row>
    <row r="42" spans="3:32" s="77" customFormat="1">
      <c r="V42" s="39"/>
      <c r="W42" s="39"/>
      <c r="X42" s="39"/>
      <c r="Y42" s="39"/>
      <c r="Z42" s="39"/>
      <c r="AA42" s="39"/>
      <c r="AB42" s="39"/>
      <c r="AC42" s="39"/>
      <c r="AD42" s="39"/>
      <c r="AE42" s="39"/>
      <c r="AF42" s="39"/>
    </row>
    <row r="43" spans="3:32" s="77" customFormat="1" ht="46.5" customHeight="1">
      <c r="V43" s="39"/>
      <c r="W43" s="39"/>
      <c r="X43" s="39"/>
      <c r="Y43" s="39"/>
      <c r="Z43" s="39"/>
      <c r="AA43" s="39"/>
      <c r="AB43" s="39"/>
      <c r="AC43" s="39"/>
      <c r="AD43" s="39"/>
      <c r="AE43" s="39"/>
      <c r="AF43" s="39"/>
    </row>
    <row r="44" spans="3:32" s="77" customFormat="1" ht="54.75" customHeight="1">
      <c r="V44" s="39"/>
      <c r="W44" s="39"/>
      <c r="X44" s="39"/>
      <c r="Y44" s="39"/>
      <c r="Z44" s="39"/>
      <c r="AA44" s="39"/>
      <c r="AB44" s="39"/>
      <c r="AC44" s="39"/>
      <c r="AD44" s="39"/>
      <c r="AE44" s="39"/>
      <c r="AF44" s="39"/>
    </row>
    <row r="45" spans="3:32" s="77" customFormat="1">
      <c r="V45" s="39"/>
      <c r="W45" s="39"/>
      <c r="X45" s="39"/>
      <c r="Y45" s="39"/>
      <c r="Z45" s="39"/>
      <c r="AA45" s="39"/>
      <c r="AB45" s="39"/>
      <c r="AC45" s="39"/>
      <c r="AD45" s="39"/>
      <c r="AE45" s="39"/>
      <c r="AF45" s="39"/>
    </row>
    <row r="46" spans="3:32" s="77" customFormat="1">
      <c r="V46" s="39"/>
      <c r="W46" s="39"/>
      <c r="X46" s="39"/>
      <c r="Y46" s="39"/>
      <c r="Z46" s="39"/>
      <c r="AA46" s="39"/>
      <c r="AB46" s="39"/>
      <c r="AC46" s="39"/>
      <c r="AD46" s="39"/>
      <c r="AE46" s="39"/>
      <c r="AF46" s="39"/>
    </row>
  </sheetData>
  <mergeCells count="2">
    <mergeCell ref="A1:T1"/>
    <mergeCell ref="A2:T2"/>
  </mergeCells>
  <printOptions horizontalCentered="1"/>
  <pageMargins left="0.39370078740157483" right="0.39370078740157483" top="0.23622047244094491" bottom="0.23622047244094491" header="0.31496062992125984" footer="0.31496062992125984"/>
  <pageSetup scale="58" orientation="landscape" r:id="rId1"/>
  <drawing r:id="rId2"/>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9">
    <tabColor rgb="FF66FF33"/>
    <pageSetUpPr fitToPage="1"/>
  </sheetPr>
  <dimension ref="A1:Q48"/>
  <sheetViews>
    <sheetView showGridLines="0" view="pageBreakPreview" zoomScale="70" zoomScaleNormal="100" zoomScaleSheetLayoutView="70" workbookViewId="0">
      <pane xSplit="1" ySplit="3" topLeftCell="C4" activePane="bottomRight" state="frozen"/>
      <selection activeCell="M22" sqref="M22"/>
      <selection pane="topRight" activeCell="M22" sqref="M22"/>
      <selection pane="bottomLeft" activeCell="M22" sqref="M22"/>
      <selection pane="bottomRight" activeCell="T26" sqref="T26"/>
    </sheetView>
  </sheetViews>
  <sheetFormatPr baseColWidth="10" defaultColWidth="11.42578125" defaultRowHeight="15"/>
  <cols>
    <col min="1" max="1" width="27.28515625" style="39" customWidth="1"/>
    <col min="2" max="2" width="9.42578125" style="39" hidden="1" customWidth="1"/>
    <col min="3" max="3" width="10" style="39" customWidth="1"/>
    <col min="4" max="4" width="9" style="39" customWidth="1"/>
    <col min="5" max="5" width="10.42578125" style="39" customWidth="1"/>
    <col min="6" max="7" width="10.5703125" style="39" customWidth="1"/>
    <col min="8" max="8" width="10" style="39" customWidth="1"/>
    <col min="9" max="9" width="11.140625" style="39" customWidth="1"/>
    <col min="10" max="10" width="11.5703125" style="39" customWidth="1"/>
    <col min="11" max="11" width="13.85546875" style="39" customWidth="1"/>
    <col min="12" max="12" width="14" style="39" customWidth="1"/>
    <col min="13" max="13" width="15.42578125" style="39" customWidth="1"/>
    <col min="14" max="14" width="13.28515625" style="39" customWidth="1"/>
    <col min="15" max="15" width="15" style="39" customWidth="1"/>
    <col min="16" max="16" width="11.42578125" style="39"/>
    <col min="17" max="17" width="3.85546875" style="39" customWidth="1"/>
    <col min="18" max="16384" width="11.42578125" style="39"/>
  </cols>
  <sheetData>
    <row r="1" spans="1:17" s="77" customFormat="1" ht="78.75" customHeight="1">
      <c r="A1" s="2182"/>
      <c r="B1" s="2182"/>
      <c r="C1" s="2182"/>
      <c r="D1" s="2182"/>
      <c r="E1" s="2182"/>
      <c r="F1" s="2182"/>
      <c r="G1" s="2182"/>
      <c r="H1" s="2182"/>
      <c r="I1" s="2182"/>
      <c r="J1" s="2182"/>
      <c r="K1" s="2182"/>
      <c r="L1" s="2182"/>
      <c r="M1" s="2182"/>
      <c r="N1" s="2182"/>
      <c r="O1" s="2182"/>
      <c r="P1" s="2182"/>
    </row>
    <row r="2" spans="1:17" s="77" customFormat="1" ht="7.5" customHeight="1">
      <c r="A2" s="1385"/>
      <c r="B2" s="1386"/>
      <c r="C2" s="1386"/>
      <c r="D2" s="1386"/>
      <c r="E2" s="1386"/>
      <c r="F2" s="1386"/>
      <c r="G2" s="1386"/>
      <c r="H2" s="1386"/>
      <c r="I2" s="1386"/>
      <c r="J2" s="1386"/>
      <c r="K2" s="1386"/>
      <c r="L2" s="1386"/>
      <c r="M2" s="1777"/>
      <c r="N2" s="1777"/>
    </row>
    <row r="3" spans="1:17" s="996" customFormat="1" ht="33.75" customHeight="1">
      <c r="A3" s="591" t="s">
        <v>304</v>
      </c>
      <c r="B3" s="594" t="s">
        <v>253</v>
      </c>
      <c r="C3" s="1668" t="s">
        <v>252</v>
      </c>
      <c r="D3" s="1668" t="s">
        <v>251</v>
      </c>
      <c r="E3" s="1668" t="s">
        <v>173</v>
      </c>
      <c r="F3" s="1668" t="s">
        <v>222</v>
      </c>
      <c r="G3" s="1668" t="s">
        <v>223</v>
      </c>
      <c r="H3" s="1668" t="s">
        <v>192</v>
      </c>
      <c r="I3" s="1668" t="s">
        <v>224</v>
      </c>
      <c r="J3" s="1668" t="s">
        <v>482</v>
      </c>
      <c r="K3" s="1668" t="s">
        <v>561</v>
      </c>
      <c r="L3" s="1668" t="s">
        <v>569</v>
      </c>
      <c r="M3" s="1668" t="s">
        <v>1006</v>
      </c>
      <c r="N3" s="1742" t="s">
        <v>140</v>
      </c>
      <c r="O3" s="595" t="s">
        <v>303</v>
      </c>
    </row>
    <row r="4" spans="1:17" s="77" customFormat="1" ht="18.75" customHeight="1">
      <c r="A4" s="1591" t="s">
        <v>138</v>
      </c>
      <c r="B4" s="638">
        <v>2643</v>
      </c>
      <c r="C4" s="644">
        <v>3722</v>
      </c>
      <c r="D4" s="638">
        <v>5459</v>
      </c>
      <c r="E4" s="638">
        <v>4339</v>
      </c>
      <c r="F4" s="638">
        <v>4630</v>
      </c>
      <c r="G4" s="638">
        <v>5594</v>
      </c>
      <c r="H4" s="638">
        <v>5468</v>
      </c>
      <c r="I4" s="638">
        <v>6340</v>
      </c>
      <c r="J4" s="638">
        <v>7066</v>
      </c>
      <c r="K4" s="638">
        <v>7848</v>
      </c>
      <c r="L4" s="638">
        <v>8452</v>
      </c>
      <c r="M4" s="281">
        <v>8602</v>
      </c>
      <c r="N4" s="1595">
        <f t="shared" ref="N4:N35" si="0">+M4+L4+K4+J4+I4+H4+G4+F4+E4+D4+C4</f>
        <v>67520</v>
      </c>
      <c r="O4" s="639">
        <f>+N4/$N$36</f>
        <v>0.33476122481358084</v>
      </c>
      <c r="P4" s="173"/>
    </row>
    <row r="5" spans="1:17" s="77" customFormat="1" ht="18.75" customHeight="1">
      <c r="A5" s="1592" t="s">
        <v>277</v>
      </c>
      <c r="B5" s="281">
        <v>1</v>
      </c>
      <c r="C5" s="645">
        <v>1</v>
      </c>
      <c r="D5" s="281">
        <v>11</v>
      </c>
      <c r="E5" s="281">
        <v>831</v>
      </c>
      <c r="F5" s="281">
        <v>1946</v>
      </c>
      <c r="G5" s="281">
        <v>3132</v>
      </c>
      <c r="H5" s="281">
        <v>3724</v>
      </c>
      <c r="I5" s="281">
        <v>4758</v>
      </c>
      <c r="J5" s="281">
        <v>5812</v>
      </c>
      <c r="K5" s="281">
        <v>6563</v>
      </c>
      <c r="L5" s="281">
        <v>6779</v>
      </c>
      <c r="M5" s="281">
        <v>7298</v>
      </c>
      <c r="N5" s="1596">
        <f t="shared" si="0"/>
        <v>40855</v>
      </c>
      <c r="O5" s="636">
        <f>+N5/$N$36</f>
        <v>0.20255731397747104</v>
      </c>
    </row>
    <row r="6" spans="1:17" s="77" customFormat="1" ht="18.75" customHeight="1">
      <c r="A6" s="1592" t="s">
        <v>455</v>
      </c>
      <c r="B6" s="281">
        <v>1</v>
      </c>
      <c r="C6" s="645">
        <v>2</v>
      </c>
      <c r="D6" s="281">
        <v>10</v>
      </c>
      <c r="E6" s="281">
        <v>636</v>
      </c>
      <c r="F6" s="281">
        <v>1044</v>
      </c>
      <c r="G6" s="281">
        <v>1446</v>
      </c>
      <c r="H6" s="281">
        <v>2079</v>
      </c>
      <c r="I6" s="281">
        <v>2640</v>
      </c>
      <c r="J6" s="281">
        <v>3181</v>
      </c>
      <c r="K6" s="281">
        <v>3142</v>
      </c>
      <c r="L6" s="281">
        <v>3337</v>
      </c>
      <c r="M6" s="281">
        <v>3495</v>
      </c>
      <c r="N6" s="1596">
        <f t="shared" si="0"/>
        <v>21012</v>
      </c>
      <c r="O6" s="636">
        <f t="shared" ref="O6:O35" si="1">+N6/$N$36</f>
        <v>0.10417658257972394</v>
      </c>
    </row>
    <row r="7" spans="1:17" s="77" customFormat="1" ht="18.75" customHeight="1">
      <c r="A7" s="1592" t="s">
        <v>293</v>
      </c>
      <c r="B7" s="281">
        <v>0</v>
      </c>
      <c r="C7" s="645">
        <v>1</v>
      </c>
      <c r="D7" s="281">
        <v>9</v>
      </c>
      <c r="E7" s="281">
        <v>512</v>
      </c>
      <c r="F7" s="281">
        <v>667</v>
      </c>
      <c r="G7" s="281">
        <v>854</v>
      </c>
      <c r="H7" s="281">
        <v>1224</v>
      </c>
      <c r="I7" s="281">
        <v>1579</v>
      </c>
      <c r="J7" s="281">
        <v>1879</v>
      </c>
      <c r="K7" s="281">
        <v>1757</v>
      </c>
      <c r="L7" s="281">
        <v>1808</v>
      </c>
      <c r="M7" s="281">
        <v>1897</v>
      </c>
      <c r="N7" s="1596">
        <f t="shared" si="0"/>
        <v>12187</v>
      </c>
      <c r="O7" s="636">
        <f t="shared" si="1"/>
        <v>6.0422616214501033E-2</v>
      </c>
      <c r="Q7" s="996"/>
    </row>
    <row r="8" spans="1:17" s="77" customFormat="1" ht="18.75" customHeight="1">
      <c r="A8" s="1592" t="s">
        <v>139</v>
      </c>
      <c r="B8" s="281">
        <v>1</v>
      </c>
      <c r="C8" s="645">
        <v>2</v>
      </c>
      <c r="D8" s="281">
        <v>12</v>
      </c>
      <c r="E8" s="281">
        <v>891</v>
      </c>
      <c r="F8" s="281">
        <v>611</v>
      </c>
      <c r="G8" s="281">
        <v>342</v>
      </c>
      <c r="H8" s="281">
        <v>732</v>
      </c>
      <c r="I8" s="281">
        <v>1119</v>
      </c>
      <c r="J8" s="281">
        <v>1422</v>
      </c>
      <c r="K8" s="281">
        <v>1168</v>
      </c>
      <c r="L8" s="281">
        <v>1470</v>
      </c>
      <c r="M8" s="281">
        <v>1377</v>
      </c>
      <c r="N8" s="1596">
        <f t="shared" si="0"/>
        <v>9146</v>
      </c>
      <c r="O8" s="636">
        <f t="shared" si="1"/>
        <v>4.5345470410915439E-2</v>
      </c>
    </row>
    <row r="9" spans="1:17" s="77" customFormat="1" ht="18.75" customHeight="1">
      <c r="A9" s="1592" t="s">
        <v>285</v>
      </c>
      <c r="B9" s="281">
        <v>0</v>
      </c>
      <c r="C9" s="645">
        <v>0</v>
      </c>
      <c r="D9" s="281">
        <v>4</v>
      </c>
      <c r="E9" s="281">
        <v>278</v>
      </c>
      <c r="F9" s="281">
        <v>496</v>
      </c>
      <c r="G9" s="281">
        <v>725</v>
      </c>
      <c r="H9" s="281">
        <v>943</v>
      </c>
      <c r="I9" s="281">
        <v>992</v>
      </c>
      <c r="J9" s="281">
        <v>1013</v>
      </c>
      <c r="K9" s="281">
        <v>1085</v>
      </c>
      <c r="L9" s="281">
        <v>1043</v>
      </c>
      <c r="M9" s="281">
        <v>1103</v>
      </c>
      <c r="N9" s="1596">
        <f t="shared" si="0"/>
        <v>7682</v>
      </c>
      <c r="O9" s="636">
        <f t="shared" si="1"/>
        <v>3.8087022052990638E-2</v>
      </c>
    </row>
    <row r="10" spans="1:17" s="77" customFormat="1" ht="18.75" customHeight="1">
      <c r="A10" s="1592" t="s">
        <v>282</v>
      </c>
      <c r="B10" s="281">
        <v>1</v>
      </c>
      <c r="C10" s="645">
        <v>1</v>
      </c>
      <c r="D10" s="281">
        <v>9</v>
      </c>
      <c r="E10" s="281">
        <v>234</v>
      </c>
      <c r="F10" s="281">
        <v>426</v>
      </c>
      <c r="G10" s="281">
        <v>422</v>
      </c>
      <c r="H10" s="281">
        <v>441</v>
      </c>
      <c r="I10" s="281">
        <v>639</v>
      </c>
      <c r="J10" s="281">
        <v>812</v>
      </c>
      <c r="K10" s="281">
        <v>865</v>
      </c>
      <c r="L10" s="281">
        <v>1003</v>
      </c>
      <c r="M10" s="281">
        <v>984</v>
      </c>
      <c r="N10" s="1596">
        <f t="shared" si="0"/>
        <v>5836</v>
      </c>
      <c r="O10" s="636">
        <f t="shared" si="1"/>
        <v>2.8934634301126447E-2</v>
      </c>
    </row>
    <row r="11" spans="1:17" s="77" customFormat="1" ht="18.75" customHeight="1">
      <c r="A11" s="1592" t="s">
        <v>279</v>
      </c>
      <c r="B11" s="281">
        <v>0</v>
      </c>
      <c r="C11" s="645">
        <v>0</v>
      </c>
      <c r="D11" s="281">
        <v>3</v>
      </c>
      <c r="E11" s="281">
        <v>175</v>
      </c>
      <c r="F11" s="281">
        <v>369</v>
      </c>
      <c r="G11" s="281">
        <v>516</v>
      </c>
      <c r="H11" s="281">
        <v>478</v>
      </c>
      <c r="I11" s="281">
        <v>801</v>
      </c>
      <c r="J11" s="281">
        <v>641</v>
      </c>
      <c r="K11" s="281">
        <v>779</v>
      </c>
      <c r="L11" s="281">
        <v>932</v>
      </c>
      <c r="M11" s="281">
        <v>939</v>
      </c>
      <c r="N11" s="1596">
        <f t="shared" si="0"/>
        <v>5633</v>
      </c>
      <c r="O11" s="636">
        <f t="shared" si="1"/>
        <v>2.7928169125813106E-2</v>
      </c>
    </row>
    <row r="12" spans="1:17" s="77" customFormat="1" ht="18.75" customHeight="1">
      <c r="A12" s="1592" t="s">
        <v>292</v>
      </c>
      <c r="B12" s="281">
        <v>0</v>
      </c>
      <c r="C12" s="645">
        <v>0</v>
      </c>
      <c r="D12" s="281">
        <v>1</v>
      </c>
      <c r="E12" s="281">
        <v>124</v>
      </c>
      <c r="F12" s="281">
        <v>218</v>
      </c>
      <c r="G12" s="281">
        <v>320</v>
      </c>
      <c r="H12" s="281">
        <v>324</v>
      </c>
      <c r="I12" s="281">
        <v>467</v>
      </c>
      <c r="J12" s="281">
        <v>655</v>
      </c>
      <c r="K12" s="281">
        <v>716</v>
      </c>
      <c r="L12" s="281">
        <v>816</v>
      </c>
      <c r="M12" s="281">
        <v>792</v>
      </c>
      <c r="N12" s="1596">
        <f t="shared" si="0"/>
        <v>4433</v>
      </c>
      <c r="O12" s="636">
        <f t="shared" si="1"/>
        <v>2.1978621291448515E-2</v>
      </c>
    </row>
    <row r="13" spans="1:17" s="77" customFormat="1" ht="18.75" customHeight="1">
      <c r="A13" s="1593" t="s">
        <v>275</v>
      </c>
      <c r="B13" s="593">
        <v>0</v>
      </c>
      <c r="C13" s="626">
        <v>0</v>
      </c>
      <c r="D13" s="593">
        <v>0</v>
      </c>
      <c r="E13" s="593">
        <v>36</v>
      </c>
      <c r="F13" s="593">
        <v>54</v>
      </c>
      <c r="G13" s="593">
        <v>149</v>
      </c>
      <c r="H13" s="593">
        <v>215</v>
      </c>
      <c r="I13" s="593">
        <v>280</v>
      </c>
      <c r="J13" s="281">
        <v>360</v>
      </c>
      <c r="K13" s="281">
        <v>447</v>
      </c>
      <c r="L13" s="281">
        <v>616</v>
      </c>
      <c r="M13" s="281">
        <v>641</v>
      </c>
      <c r="N13" s="1596">
        <f t="shared" si="0"/>
        <v>2798</v>
      </c>
      <c r="O13" s="636">
        <f t="shared" si="1"/>
        <v>1.3872362367126766E-2</v>
      </c>
    </row>
    <row r="14" spans="1:17" s="77" customFormat="1" ht="18.75" customHeight="1">
      <c r="A14" s="1592" t="s">
        <v>296</v>
      </c>
      <c r="B14" s="281">
        <v>0</v>
      </c>
      <c r="C14" s="645">
        <v>0</v>
      </c>
      <c r="D14" s="281">
        <v>1</v>
      </c>
      <c r="E14" s="281">
        <v>23</v>
      </c>
      <c r="F14" s="281">
        <v>38</v>
      </c>
      <c r="G14" s="281">
        <v>65</v>
      </c>
      <c r="H14" s="281">
        <v>123</v>
      </c>
      <c r="I14" s="281">
        <v>268</v>
      </c>
      <c r="J14" s="281">
        <v>441</v>
      </c>
      <c r="K14" s="281">
        <v>608</v>
      </c>
      <c r="L14" s="281">
        <v>672</v>
      </c>
      <c r="M14" s="281">
        <v>594</v>
      </c>
      <c r="N14" s="1596">
        <f t="shared" si="0"/>
        <v>2833</v>
      </c>
      <c r="O14" s="636">
        <f t="shared" si="1"/>
        <v>1.4045890845629065E-2</v>
      </c>
    </row>
    <row r="15" spans="1:17" s="77" customFormat="1" ht="18.75" customHeight="1">
      <c r="A15" s="1592" t="s">
        <v>298</v>
      </c>
      <c r="B15" s="281">
        <v>0</v>
      </c>
      <c r="C15" s="645">
        <v>0</v>
      </c>
      <c r="D15" s="281">
        <v>2</v>
      </c>
      <c r="E15" s="281">
        <v>81</v>
      </c>
      <c r="F15" s="281">
        <v>108</v>
      </c>
      <c r="G15" s="281">
        <v>152</v>
      </c>
      <c r="H15" s="281">
        <v>189</v>
      </c>
      <c r="I15" s="281">
        <v>337</v>
      </c>
      <c r="J15" s="281">
        <v>416</v>
      </c>
      <c r="K15" s="281">
        <v>423</v>
      </c>
      <c r="L15" s="281">
        <v>467</v>
      </c>
      <c r="M15" s="281">
        <v>547</v>
      </c>
      <c r="N15" s="1596">
        <f t="shared" si="0"/>
        <v>2722</v>
      </c>
      <c r="O15" s="636">
        <f t="shared" si="1"/>
        <v>1.349555767095034E-2</v>
      </c>
    </row>
    <row r="16" spans="1:17" s="77" customFormat="1" ht="18.75" customHeight="1">
      <c r="A16" s="1592" t="s">
        <v>290</v>
      </c>
      <c r="B16" s="281">
        <v>0</v>
      </c>
      <c r="C16" s="645">
        <v>0</v>
      </c>
      <c r="D16" s="281">
        <v>5</v>
      </c>
      <c r="E16" s="281">
        <v>63</v>
      </c>
      <c r="F16" s="281">
        <v>48</v>
      </c>
      <c r="G16" s="281">
        <v>187</v>
      </c>
      <c r="H16" s="281">
        <v>303</v>
      </c>
      <c r="I16" s="281">
        <v>303</v>
      </c>
      <c r="J16" s="281">
        <v>397</v>
      </c>
      <c r="K16" s="281">
        <v>370</v>
      </c>
      <c r="L16" s="281">
        <v>402</v>
      </c>
      <c r="M16" s="281">
        <v>358</v>
      </c>
      <c r="N16" s="1596">
        <f t="shared" si="0"/>
        <v>2436</v>
      </c>
      <c r="O16" s="636">
        <f t="shared" si="1"/>
        <v>1.2077582103760115E-2</v>
      </c>
    </row>
    <row r="17" spans="1:17" s="77" customFormat="1" ht="18.75" customHeight="1">
      <c r="A17" s="1592" t="s">
        <v>286</v>
      </c>
      <c r="B17" s="281">
        <v>0</v>
      </c>
      <c r="C17" s="645">
        <v>0</v>
      </c>
      <c r="D17" s="281">
        <v>1</v>
      </c>
      <c r="E17" s="281">
        <v>22</v>
      </c>
      <c r="F17" s="281">
        <v>30</v>
      </c>
      <c r="G17" s="281">
        <v>44</v>
      </c>
      <c r="H17" s="281">
        <v>82</v>
      </c>
      <c r="I17" s="281">
        <v>177</v>
      </c>
      <c r="J17" s="281">
        <v>260</v>
      </c>
      <c r="K17" s="281">
        <v>282</v>
      </c>
      <c r="L17" s="281">
        <v>342</v>
      </c>
      <c r="M17" s="281">
        <v>342</v>
      </c>
      <c r="N17" s="1596">
        <f t="shared" si="0"/>
        <v>1582</v>
      </c>
      <c r="O17" s="636">
        <f t="shared" si="1"/>
        <v>7.843487228303983E-3</v>
      </c>
    </row>
    <row r="18" spans="1:17" s="77" customFormat="1" ht="18.75" customHeight="1">
      <c r="A18" s="1592" t="s">
        <v>288</v>
      </c>
      <c r="B18" s="281">
        <v>0</v>
      </c>
      <c r="C18" s="645">
        <v>0</v>
      </c>
      <c r="D18" s="281">
        <v>0</v>
      </c>
      <c r="E18" s="281">
        <v>8</v>
      </c>
      <c r="F18" s="281">
        <v>9</v>
      </c>
      <c r="G18" s="281">
        <v>22</v>
      </c>
      <c r="H18" s="281">
        <v>66</v>
      </c>
      <c r="I18" s="281">
        <v>121</v>
      </c>
      <c r="J18" s="281">
        <v>133</v>
      </c>
      <c r="K18" s="281">
        <v>223</v>
      </c>
      <c r="L18" s="281">
        <v>266</v>
      </c>
      <c r="M18" s="281">
        <v>277</v>
      </c>
      <c r="N18" s="1596">
        <f t="shared" si="0"/>
        <v>1125</v>
      </c>
      <c r="O18" s="636">
        <f t="shared" si="1"/>
        <v>5.5777010947168013E-3</v>
      </c>
    </row>
    <row r="19" spans="1:17" s="77" customFormat="1" ht="18.75" customHeight="1">
      <c r="A19" s="1592" t="s">
        <v>289</v>
      </c>
      <c r="B19" s="281">
        <v>0</v>
      </c>
      <c r="C19" s="645">
        <v>1</v>
      </c>
      <c r="D19" s="281">
        <v>0</v>
      </c>
      <c r="E19" s="281">
        <v>11</v>
      </c>
      <c r="F19" s="281">
        <v>6</v>
      </c>
      <c r="G19" s="281">
        <v>15</v>
      </c>
      <c r="H19" s="281">
        <v>47</v>
      </c>
      <c r="I19" s="281">
        <v>54</v>
      </c>
      <c r="J19" s="281">
        <v>66</v>
      </c>
      <c r="K19" s="281">
        <v>77</v>
      </c>
      <c r="L19" s="281">
        <v>175</v>
      </c>
      <c r="M19" s="281">
        <v>255</v>
      </c>
      <c r="N19" s="1596">
        <f t="shared" si="0"/>
        <v>707</v>
      </c>
      <c r="O19" s="636">
        <f t="shared" si="1"/>
        <v>3.5052752657464699E-3</v>
      </c>
    </row>
    <row r="20" spans="1:17" s="77" customFormat="1" ht="18.75" customHeight="1">
      <c r="A20" s="1592" t="s">
        <v>291</v>
      </c>
      <c r="B20" s="281">
        <v>0</v>
      </c>
      <c r="C20" s="645">
        <v>0</v>
      </c>
      <c r="D20" s="281">
        <v>0</v>
      </c>
      <c r="E20" s="281">
        <v>13</v>
      </c>
      <c r="F20" s="281">
        <v>38</v>
      </c>
      <c r="G20" s="281">
        <v>131</v>
      </c>
      <c r="H20" s="281">
        <v>173</v>
      </c>
      <c r="I20" s="281">
        <v>155</v>
      </c>
      <c r="J20" s="281">
        <v>229</v>
      </c>
      <c r="K20" s="281">
        <v>180</v>
      </c>
      <c r="L20" s="281">
        <v>232</v>
      </c>
      <c r="M20" s="281">
        <v>243</v>
      </c>
      <c r="N20" s="1596">
        <f t="shared" si="0"/>
        <v>1394</v>
      </c>
      <c r="O20" s="636">
        <f t="shared" si="1"/>
        <v>6.9113914009201966E-3</v>
      </c>
    </row>
    <row r="21" spans="1:17" s="77" customFormat="1" ht="18.75" customHeight="1">
      <c r="A21" s="1592" t="s">
        <v>278</v>
      </c>
      <c r="B21" s="281">
        <v>0</v>
      </c>
      <c r="C21" s="645">
        <v>0</v>
      </c>
      <c r="D21" s="281">
        <v>1</v>
      </c>
      <c r="E21" s="281">
        <v>21</v>
      </c>
      <c r="F21" s="281">
        <v>26</v>
      </c>
      <c r="G21" s="281">
        <v>71</v>
      </c>
      <c r="H21" s="281">
        <v>90</v>
      </c>
      <c r="I21" s="281">
        <v>191</v>
      </c>
      <c r="J21" s="281">
        <v>177</v>
      </c>
      <c r="K21" s="281">
        <v>230</v>
      </c>
      <c r="L21" s="281">
        <v>227</v>
      </c>
      <c r="M21" s="281">
        <v>241</v>
      </c>
      <c r="N21" s="1596">
        <f t="shared" si="0"/>
        <v>1275</v>
      </c>
      <c r="O21" s="636">
        <f t="shared" si="1"/>
        <v>6.3213945740123751E-3</v>
      </c>
    </row>
    <row r="22" spans="1:17" s="77" customFormat="1" ht="18.75" customHeight="1">
      <c r="A22" s="1592" t="s">
        <v>280</v>
      </c>
      <c r="B22" s="281">
        <v>0</v>
      </c>
      <c r="C22" s="645">
        <v>0</v>
      </c>
      <c r="D22" s="281">
        <v>3</v>
      </c>
      <c r="E22" s="281">
        <v>39</v>
      </c>
      <c r="F22" s="281">
        <v>21</v>
      </c>
      <c r="G22" s="281">
        <v>84</v>
      </c>
      <c r="H22" s="281">
        <v>112</v>
      </c>
      <c r="I22" s="281">
        <v>191</v>
      </c>
      <c r="J22" s="281">
        <v>233</v>
      </c>
      <c r="K22" s="281">
        <v>201</v>
      </c>
      <c r="L22" s="281">
        <v>241</v>
      </c>
      <c r="M22" s="281">
        <v>228</v>
      </c>
      <c r="N22" s="1596">
        <f t="shared" si="0"/>
        <v>1353</v>
      </c>
      <c r="O22" s="636">
        <f t="shared" si="1"/>
        <v>6.7081151832460734E-3</v>
      </c>
    </row>
    <row r="23" spans="1:17" s="77" customFormat="1" ht="18.75" customHeight="1">
      <c r="A23" s="1592" t="s">
        <v>295</v>
      </c>
      <c r="B23" s="281">
        <v>0</v>
      </c>
      <c r="C23" s="645">
        <v>0</v>
      </c>
      <c r="D23" s="281">
        <v>0</v>
      </c>
      <c r="E23" s="281">
        <v>67</v>
      </c>
      <c r="F23" s="281">
        <v>40</v>
      </c>
      <c r="G23" s="281">
        <v>69</v>
      </c>
      <c r="H23" s="281">
        <v>67</v>
      </c>
      <c r="I23" s="281">
        <v>110</v>
      </c>
      <c r="J23" s="281">
        <v>161</v>
      </c>
      <c r="K23" s="281">
        <v>200</v>
      </c>
      <c r="L23" s="281">
        <v>223</v>
      </c>
      <c r="M23" s="281">
        <v>210</v>
      </c>
      <c r="N23" s="1596">
        <f t="shared" si="0"/>
        <v>1147</v>
      </c>
      <c r="O23" s="636">
        <f t="shared" si="1"/>
        <v>5.6867761383468194E-3</v>
      </c>
    </row>
    <row r="24" spans="1:17" s="77" customFormat="1" ht="18.75" customHeight="1">
      <c r="A24" s="1592" t="s">
        <v>302</v>
      </c>
      <c r="B24" s="281">
        <v>0</v>
      </c>
      <c r="C24" s="645">
        <v>0</v>
      </c>
      <c r="D24" s="281">
        <v>2</v>
      </c>
      <c r="E24" s="281">
        <v>29</v>
      </c>
      <c r="F24" s="281">
        <v>19</v>
      </c>
      <c r="G24" s="281">
        <v>63</v>
      </c>
      <c r="H24" s="281">
        <v>110</v>
      </c>
      <c r="I24" s="281">
        <v>126</v>
      </c>
      <c r="J24" s="281">
        <v>156</v>
      </c>
      <c r="K24" s="281">
        <v>132</v>
      </c>
      <c r="L24" s="281">
        <v>173</v>
      </c>
      <c r="M24" s="281">
        <v>197</v>
      </c>
      <c r="N24" s="1596">
        <f t="shared" si="0"/>
        <v>1007</v>
      </c>
      <c r="O24" s="636">
        <f t="shared" si="1"/>
        <v>4.9926622243376172E-3</v>
      </c>
    </row>
    <row r="25" spans="1:17" s="77" customFormat="1" ht="18.75" customHeight="1">
      <c r="A25" s="1592" t="s">
        <v>284</v>
      </c>
      <c r="B25" s="281">
        <v>0</v>
      </c>
      <c r="C25" s="645">
        <v>0</v>
      </c>
      <c r="D25" s="281">
        <v>0</v>
      </c>
      <c r="E25" s="281">
        <v>2</v>
      </c>
      <c r="F25" s="281">
        <v>9</v>
      </c>
      <c r="G25" s="281">
        <v>19</v>
      </c>
      <c r="H25" s="281">
        <v>33</v>
      </c>
      <c r="I25" s="281">
        <v>83</v>
      </c>
      <c r="J25" s="281">
        <v>128</v>
      </c>
      <c r="K25" s="281">
        <v>180</v>
      </c>
      <c r="L25" s="281">
        <v>177</v>
      </c>
      <c r="M25" s="281">
        <v>165</v>
      </c>
      <c r="N25" s="1596">
        <f t="shared" si="0"/>
        <v>796</v>
      </c>
      <c r="O25" s="636">
        <f t="shared" si="1"/>
        <v>3.9465333967951769E-3</v>
      </c>
    </row>
    <row r="26" spans="1:17" s="77" customFormat="1" ht="18.75" customHeight="1">
      <c r="A26" s="1592" t="s">
        <v>283</v>
      </c>
      <c r="B26" s="281">
        <v>0</v>
      </c>
      <c r="C26" s="645">
        <v>0</v>
      </c>
      <c r="D26" s="281">
        <v>0</v>
      </c>
      <c r="E26" s="281">
        <v>17</v>
      </c>
      <c r="F26" s="281">
        <v>12</v>
      </c>
      <c r="G26" s="281">
        <v>6</v>
      </c>
      <c r="H26" s="281">
        <v>33</v>
      </c>
      <c r="I26" s="281">
        <v>106</v>
      </c>
      <c r="J26" s="281">
        <v>152</v>
      </c>
      <c r="K26" s="281">
        <v>150</v>
      </c>
      <c r="L26" s="281">
        <v>127</v>
      </c>
      <c r="M26" s="281">
        <v>161</v>
      </c>
      <c r="N26" s="1596">
        <f t="shared" si="0"/>
        <v>764</v>
      </c>
      <c r="O26" s="636">
        <f t="shared" si="1"/>
        <v>3.787878787878788E-3</v>
      </c>
    </row>
    <row r="27" spans="1:17" s="77" customFormat="1" ht="18.75" customHeight="1">
      <c r="A27" s="1592" t="s">
        <v>276</v>
      </c>
      <c r="B27" s="281">
        <v>0</v>
      </c>
      <c r="C27" s="645">
        <v>0</v>
      </c>
      <c r="D27" s="281">
        <v>1</v>
      </c>
      <c r="E27" s="281">
        <v>18</v>
      </c>
      <c r="F27" s="281">
        <v>26</v>
      </c>
      <c r="G27" s="281">
        <v>63</v>
      </c>
      <c r="H27" s="281">
        <v>84</v>
      </c>
      <c r="I27" s="281">
        <v>122</v>
      </c>
      <c r="J27" s="281">
        <v>134</v>
      </c>
      <c r="K27" s="281">
        <v>149</v>
      </c>
      <c r="L27" s="281">
        <v>131</v>
      </c>
      <c r="M27" s="281">
        <v>160</v>
      </c>
      <c r="N27" s="1596">
        <f t="shared" si="0"/>
        <v>888</v>
      </c>
      <c r="O27" s="636">
        <f t="shared" si="1"/>
        <v>4.4026653974297957E-3</v>
      </c>
    </row>
    <row r="28" spans="1:17" s="77" customFormat="1" ht="18.75" customHeight="1">
      <c r="A28" s="1592" t="s">
        <v>294</v>
      </c>
      <c r="B28" s="281">
        <v>0</v>
      </c>
      <c r="C28" s="645">
        <v>0</v>
      </c>
      <c r="D28" s="281">
        <v>0</v>
      </c>
      <c r="E28" s="281">
        <v>3</v>
      </c>
      <c r="F28" s="281">
        <v>2</v>
      </c>
      <c r="G28" s="281">
        <v>13</v>
      </c>
      <c r="H28" s="281">
        <v>29</v>
      </c>
      <c r="I28" s="281">
        <v>36</v>
      </c>
      <c r="J28" s="281">
        <v>51</v>
      </c>
      <c r="K28" s="281">
        <v>44</v>
      </c>
      <c r="L28" s="281">
        <v>73</v>
      </c>
      <c r="M28" s="281">
        <v>159</v>
      </c>
      <c r="N28" s="1596">
        <f t="shared" si="0"/>
        <v>410</v>
      </c>
      <c r="O28" s="636">
        <f t="shared" si="1"/>
        <v>2.0327621767412345E-3</v>
      </c>
    </row>
    <row r="29" spans="1:17" s="77" customFormat="1" ht="18.75" customHeight="1">
      <c r="A29" s="1592" t="s">
        <v>300</v>
      </c>
      <c r="B29" s="281">
        <v>0</v>
      </c>
      <c r="C29" s="645">
        <v>0</v>
      </c>
      <c r="D29" s="281">
        <v>0</v>
      </c>
      <c r="E29" s="281">
        <v>32</v>
      </c>
      <c r="F29" s="281">
        <v>44</v>
      </c>
      <c r="G29" s="281">
        <v>91</v>
      </c>
      <c r="H29" s="281">
        <v>158</v>
      </c>
      <c r="I29" s="281">
        <v>245</v>
      </c>
      <c r="J29" s="281">
        <v>293</v>
      </c>
      <c r="K29" s="281">
        <v>348</v>
      </c>
      <c r="L29" s="281">
        <v>309</v>
      </c>
      <c r="M29" s="281">
        <v>137</v>
      </c>
      <c r="N29" s="1596">
        <f t="shared" si="0"/>
        <v>1657</v>
      </c>
      <c r="O29" s="636">
        <f t="shared" si="1"/>
        <v>8.2153339679517691E-3</v>
      </c>
      <c r="Q29" s="996"/>
    </row>
    <row r="30" spans="1:17" s="77" customFormat="1" ht="18.75" customHeight="1">
      <c r="A30" s="1592" t="s">
        <v>299</v>
      </c>
      <c r="B30" s="281">
        <v>0</v>
      </c>
      <c r="C30" s="645">
        <v>0</v>
      </c>
      <c r="D30" s="281">
        <v>0</v>
      </c>
      <c r="E30" s="281">
        <v>3</v>
      </c>
      <c r="F30" s="281">
        <v>1</v>
      </c>
      <c r="G30" s="281">
        <v>38</v>
      </c>
      <c r="H30" s="281">
        <v>52</v>
      </c>
      <c r="I30" s="281">
        <v>89</v>
      </c>
      <c r="J30" s="281">
        <v>103</v>
      </c>
      <c r="K30" s="281">
        <v>157</v>
      </c>
      <c r="L30" s="281">
        <v>134</v>
      </c>
      <c r="M30" s="281">
        <v>128</v>
      </c>
      <c r="N30" s="1596">
        <f t="shared" si="0"/>
        <v>705</v>
      </c>
      <c r="O30" s="636">
        <f t="shared" si="1"/>
        <v>3.4953593526891955E-3</v>
      </c>
    </row>
    <row r="31" spans="1:17" s="77" customFormat="1" ht="18.75" customHeight="1">
      <c r="A31" s="1592" t="s">
        <v>416</v>
      </c>
      <c r="B31" s="281">
        <v>0</v>
      </c>
      <c r="C31" s="645">
        <v>0</v>
      </c>
      <c r="D31" s="281">
        <v>0</v>
      </c>
      <c r="E31" s="281">
        <v>0</v>
      </c>
      <c r="F31" s="281">
        <v>8</v>
      </c>
      <c r="G31" s="281">
        <v>12</v>
      </c>
      <c r="H31" s="281">
        <v>12</v>
      </c>
      <c r="I31" s="281">
        <v>47</v>
      </c>
      <c r="J31" s="281">
        <v>85</v>
      </c>
      <c r="K31" s="281">
        <v>84</v>
      </c>
      <c r="L31" s="281">
        <v>104</v>
      </c>
      <c r="M31" s="281">
        <v>111</v>
      </c>
      <c r="N31" s="1596">
        <f t="shared" si="0"/>
        <v>463</v>
      </c>
      <c r="O31" s="636">
        <f t="shared" si="1"/>
        <v>2.2955338727590037E-3</v>
      </c>
    </row>
    <row r="32" spans="1:17" s="77" customFormat="1" ht="18.75" customHeight="1">
      <c r="A32" s="1592" t="s">
        <v>301</v>
      </c>
      <c r="B32" s="281">
        <v>0</v>
      </c>
      <c r="C32" s="645">
        <v>0</v>
      </c>
      <c r="D32" s="281">
        <v>0</v>
      </c>
      <c r="E32" s="281">
        <v>2</v>
      </c>
      <c r="F32" s="281">
        <v>4</v>
      </c>
      <c r="G32" s="281">
        <v>8</v>
      </c>
      <c r="H32" s="281">
        <v>9</v>
      </c>
      <c r="I32" s="281">
        <v>24</v>
      </c>
      <c r="J32" s="281">
        <v>50</v>
      </c>
      <c r="K32" s="281">
        <v>53</v>
      </c>
      <c r="L32" s="281">
        <v>93</v>
      </c>
      <c r="M32" s="281">
        <v>73</v>
      </c>
      <c r="N32" s="1596">
        <f t="shared" si="0"/>
        <v>316</v>
      </c>
      <c r="O32" s="636">
        <f t="shared" si="1"/>
        <v>1.5667142630493415E-3</v>
      </c>
    </row>
    <row r="33" spans="1:17" s="77" customFormat="1" ht="18.75" customHeight="1">
      <c r="A33" s="1592" t="s">
        <v>297</v>
      </c>
      <c r="B33" s="281">
        <v>0</v>
      </c>
      <c r="C33" s="645">
        <v>0</v>
      </c>
      <c r="D33" s="281">
        <v>0</v>
      </c>
      <c r="E33" s="281">
        <v>13</v>
      </c>
      <c r="F33" s="281">
        <v>15</v>
      </c>
      <c r="G33" s="281">
        <v>14</v>
      </c>
      <c r="H33" s="281">
        <v>12</v>
      </c>
      <c r="I33" s="281">
        <v>29</v>
      </c>
      <c r="J33" s="281">
        <v>40</v>
      </c>
      <c r="K33" s="281">
        <v>35</v>
      </c>
      <c r="L33" s="281">
        <v>54</v>
      </c>
      <c r="M33" s="281">
        <v>60</v>
      </c>
      <c r="N33" s="1596">
        <f t="shared" si="0"/>
        <v>272</v>
      </c>
      <c r="O33" s="636">
        <f t="shared" si="1"/>
        <v>1.3485641757893067E-3</v>
      </c>
    </row>
    <row r="34" spans="1:17" s="996" customFormat="1" ht="18.75" customHeight="1">
      <c r="A34" s="1592" t="s">
        <v>287</v>
      </c>
      <c r="B34" s="281">
        <v>0</v>
      </c>
      <c r="C34" s="645">
        <v>1</v>
      </c>
      <c r="D34" s="281">
        <v>1</v>
      </c>
      <c r="E34" s="281">
        <v>17</v>
      </c>
      <c r="F34" s="281">
        <v>11</v>
      </c>
      <c r="G34" s="281">
        <v>16</v>
      </c>
      <c r="H34" s="281">
        <v>43</v>
      </c>
      <c r="I34" s="281">
        <v>166</v>
      </c>
      <c r="J34" s="281">
        <v>141</v>
      </c>
      <c r="K34" s="281">
        <v>139</v>
      </c>
      <c r="L34" s="281">
        <v>152</v>
      </c>
      <c r="M34" s="281">
        <v>43</v>
      </c>
      <c r="N34" s="1596">
        <f t="shared" si="0"/>
        <v>730</v>
      </c>
      <c r="O34" s="636">
        <f t="shared" si="1"/>
        <v>3.6193082659051246E-3</v>
      </c>
      <c r="Q34" s="77"/>
    </row>
    <row r="35" spans="1:17" s="996" customFormat="1" ht="15.75">
      <c r="A35" s="1592" t="s">
        <v>281</v>
      </c>
      <c r="B35" s="281">
        <v>0</v>
      </c>
      <c r="C35" s="645">
        <v>0</v>
      </c>
      <c r="D35" s="281">
        <v>0</v>
      </c>
      <c r="E35" s="281">
        <v>4</v>
      </c>
      <c r="F35" s="281">
        <v>1</v>
      </c>
      <c r="G35" s="281">
        <v>0</v>
      </c>
      <c r="H35" s="281">
        <v>1</v>
      </c>
      <c r="I35" s="281">
        <v>2</v>
      </c>
      <c r="J35" s="281">
        <v>1</v>
      </c>
      <c r="K35" s="281">
        <v>0</v>
      </c>
      <c r="L35" s="281">
        <v>2</v>
      </c>
      <c r="M35" s="281">
        <v>1</v>
      </c>
      <c r="N35" s="1667">
        <f t="shared" si="0"/>
        <v>12</v>
      </c>
      <c r="O35" s="636">
        <f t="shared" si="1"/>
        <v>5.9495478343645881E-5</v>
      </c>
      <c r="Q35" s="77"/>
    </row>
    <row r="36" spans="1:17" s="77" customFormat="1" ht="15.75">
      <c r="A36" s="597" t="s">
        <v>23</v>
      </c>
      <c r="B36" s="596">
        <f>SUM(B1:B3)</f>
        <v>0</v>
      </c>
      <c r="C36" s="1879">
        <f t="shared" ref="C36:O36" si="2">SUM(C4:C35)</f>
        <v>3731</v>
      </c>
      <c r="D36" s="596">
        <f t="shared" si="2"/>
        <v>5535</v>
      </c>
      <c r="E36" s="596">
        <f t="shared" si="2"/>
        <v>8544</v>
      </c>
      <c r="F36" s="596">
        <f t="shared" si="2"/>
        <v>10977</v>
      </c>
      <c r="G36" s="596">
        <f t="shared" si="2"/>
        <v>14683</v>
      </c>
      <c r="H36" s="596">
        <f t="shared" si="2"/>
        <v>17456</v>
      </c>
      <c r="I36" s="596">
        <f t="shared" si="2"/>
        <v>22597</v>
      </c>
      <c r="J36" s="596">
        <f t="shared" si="2"/>
        <v>26688</v>
      </c>
      <c r="K36" s="596">
        <f t="shared" si="2"/>
        <v>28635</v>
      </c>
      <c r="L36" s="596">
        <f t="shared" si="2"/>
        <v>31032</v>
      </c>
      <c r="M36" s="1880">
        <f t="shared" si="2"/>
        <v>31818</v>
      </c>
      <c r="N36" s="1878">
        <f t="shared" si="2"/>
        <v>201696</v>
      </c>
      <c r="O36" s="1594">
        <f t="shared" si="2"/>
        <v>1</v>
      </c>
    </row>
    <row r="37" spans="1:17" s="77" customFormat="1">
      <c r="P37" s="996"/>
    </row>
    <row r="38" spans="1:17" s="77" customFormat="1" ht="21" customHeight="1"/>
    <row r="39" spans="1:17" s="77" customFormat="1"/>
    <row r="40" spans="1:17" s="77" customFormat="1"/>
    <row r="41" spans="1:17" s="77" customFormat="1" ht="21" customHeight="1"/>
    <row r="42" spans="1:17" s="77" customFormat="1"/>
    <row r="43" spans="1:17" s="77" customFormat="1"/>
    <row r="44" spans="1:17" s="77" customFormat="1" ht="21" customHeight="1"/>
    <row r="45" spans="1:17" s="77" customFormat="1" ht="31.5" customHeight="1"/>
    <row r="46" spans="1:17" s="77" customFormat="1"/>
    <row r="47" spans="1:17" ht="21" customHeight="1">
      <c r="P47" s="77"/>
    </row>
    <row r="48" spans="1:17">
      <c r="P48" s="77"/>
    </row>
  </sheetData>
  <mergeCells count="1">
    <mergeCell ref="A1:P1"/>
  </mergeCells>
  <printOptions horizontalCentered="1"/>
  <pageMargins left="0.39370078740157483" right="0.39370078740157483" top="0.23622047244094491" bottom="0.23622047244094491" header="0.31496062992125984" footer="0.31496062992125984"/>
  <pageSetup scale="49" orientation="landscape" r:id="rId1"/>
  <rowBreaks count="1" manualBreakCount="1">
    <brk id="17" max="16383" man="1"/>
  </rowBreaks>
  <drawing r:id="rId2"/>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0">
    <tabColor rgb="FF66FF33"/>
    <pageSetUpPr fitToPage="1"/>
  </sheetPr>
  <dimension ref="A1:L27"/>
  <sheetViews>
    <sheetView showGridLines="0" view="pageBreakPreview" zoomScale="70" zoomScaleNormal="100" zoomScaleSheetLayoutView="70" workbookViewId="0">
      <selection activeCell="M10" sqref="M10:M22"/>
    </sheetView>
  </sheetViews>
  <sheetFormatPr baseColWidth="10" defaultColWidth="11.42578125" defaultRowHeight="15"/>
  <cols>
    <col min="1" max="1" width="16.42578125" style="39" customWidth="1"/>
    <col min="2" max="2" width="12.7109375" style="39" customWidth="1"/>
    <col min="3" max="3" width="13.140625" style="39" customWidth="1"/>
    <col min="4" max="4" width="13.85546875" style="39" customWidth="1"/>
    <col min="5" max="5" width="11.5703125" style="39" customWidth="1"/>
    <col min="6" max="6" width="13.85546875" style="39" customWidth="1"/>
    <col min="7" max="7" width="14" style="39" customWidth="1"/>
    <col min="8" max="8" width="16.7109375" style="39" customWidth="1"/>
    <col min="9" max="9" width="20.28515625" style="39" customWidth="1"/>
    <col min="10" max="10" width="21.42578125" style="39" customWidth="1"/>
    <col min="11" max="11" width="16.7109375" style="39" customWidth="1"/>
    <col min="12" max="12" width="18.42578125" style="39" customWidth="1"/>
    <col min="13" max="16384" width="11.42578125" style="39"/>
  </cols>
  <sheetData>
    <row r="1" spans="1:12" s="77" customFormat="1" ht="69" customHeight="1">
      <c r="A1" s="2183"/>
      <c r="B1" s="2183"/>
      <c r="C1" s="2183"/>
      <c r="D1" s="2183"/>
      <c r="E1" s="2183"/>
      <c r="F1" s="2183"/>
      <c r="G1" s="2183"/>
      <c r="H1" s="2183"/>
      <c r="I1" s="2183"/>
      <c r="J1" s="2183"/>
      <c r="K1" s="2183"/>
      <c r="L1" s="2183"/>
    </row>
    <row r="2" spans="1:12" s="77" customFormat="1" ht="12" customHeight="1">
      <c r="A2" s="134"/>
      <c r="B2" s="134"/>
      <c r="C2" s="134"/>
      <c r="D2" s="134"/>
      <c r="E2" s="134"/>
      <c r="F2" s="134"/>
      <c r="G2" s="134"/>
      <c r="H2" s="134"/>
      <c r="I2" s="134"/>
      <c r="J2" s="134"/>
      <c r="K2" s="134"/>
      <c r="L2" s="134"/>
    </row>
    <row r="3" spans="1:12" s="134" customFormat="1" ht="34.5" customHeight="1">
      <c r="A3" s="671" t="s">
        <v>0</v>
      </c>
      <c r="B3" s="669" t="s">
        <v>310</v>
      </c>
      <c r="C3" s="669" t="s">
        <v>309</v>
      </c>
      <c r="D3" s="669" t="s">
        <v>308</v>
      </c>
      <c r="E3" s="669" t="s">
        <v>140</v>
      </c>
      <c r="F3" s="669" t="s">
        <v>307</v>
      </c>
      <c r="G3" s="669" t="s">
        <v>306</v>
      </c>
      <c r="H3" s="670" t="s">
        <v>305</v>
      </c>
    </row>
    <row r="4" spans="1:12" s="77" customFormat="1" ht="15.75">
      <c r="A4" s="672">
        <v>2005</v>
      </c>
      <c r="B4" s="630">
        <v>215</v>
      </c>
      <c r="C4" s="630">
        <v>3135</v>
      </c>
      <c r="D4" s="630">
        <v>381</v>
      </c>
      <c r="E4" s="667">
        <f t="shared" ref="E4:E10" si="0">SUM(B4:D4)</f>
        <v>3731</v>
      </c>
      <c r="F4" s="668">
        <f t="shared" ref="F4:F15" si="1">B4/E4</f>
        <v>5.7625301527740549E-2</v>
      </c>
      <c r="G4" s="668">
        <f t="shared" ref="G4:G15" si="2">C4/E4</f>
        <v>0.84025730367193785</v>
      </c>
      <c r="H4" s="673">
        <f t="shared" ref="H4:H15" si="3">D4/E4</f>
        <v>0.10211739480032163</v>
      </c>
    </row>
    <row r="5" spans="1:12" s="77" customFormat="1" ht="15.75">
      <c r="A5" s="672" t="s">
        <v>251</v>
      </c>
      <c r="B5" s="630">
        <v>530</v>
      </c>
      <c r="C5" s="630">
        <v>4514</v>
      </c>
      <c r="D5" s="630">
        <v>491</v>
      </c>
      <c r="E5" s="667">
        <f t="shared" si="0"/>
        <v>5535</v>
      </c>
      <c r="F5" s="668">
        <f t="shared" si="1"/>
        <v>9.5754290876242099E-2</v>
      </c>
      <c r="G5" s="668">
        <f t="shared" si="2"/>
        <v>0.8155374887082204</v>
      </c>
      <c r="H5" s="673">
        <f t="shared" si="3"/>
        <v>8.8708220415537484E-2</v>
      </c>
    </row>
    <row r="6" spans="1:12" s="77" customFormat="1" ht="15.75">
      <c r="A6" s="672" t="s">
        <v>173</v>
      </c>
      <c r="B6" s="630">
        <v>973</v>
      </c>
      <c r="C6" s="630">
        <v>7357</v>
      </c>
      <c r="D6" s="630">
        <v>214</v>
      </c>
      <c r="E6" s="667">
        <f t="shared" si="0"/>
        <v>8544</v>
      </c>
      <c r="F6" s="668">
        <f t="shared" si="1"/>
        <v>0.11388108614232209</v>
      </c>
      <c r="G6" s="668">
        <f t="shared" si="2"/>
        <v>0.86107209737827717</v>
      </c>
      <c r="H6" s="673">
        <f t="shared" si="3"/>
        <v>2.5046816479400748E-2</v>
      </c>
    </row>
    <row r="7" spans="1:12" s="77" customFormat="1" ht="15.75">
      <c r="A7" s="672" t="s">
        <v>222</v>
      </c>
      <c r="B7" s="630">
        <v>1313</v>
      </c>
      <c r="C7" s="630">
        <v>9407</v>
      </c>
      <c r="D7" s="630">
        <v>257</v>
      </c>
      <c r="E7" s="667">
        <f t="shared" si="0"/>
        <v>10977</v>
      </c>
      <c r="F7" s="668">
        <f t="shared" si="1"/>
        <v>0.11961373781543226</v>
      </c>
      <c r="G7" s="668">
        <f t="shared" si="2"/>
        <v>0.85697367222374055</v>
      </c>
      <c r="H7" s="673">
        <f t="shared" si="3"/>
        <v>2.3412589960827183E-2</v>
      </c>
    </row>
    <row r="8" spans="1:12" s="77" customFormat="1" ht="15.75">
      <c r="A8" s="672" t="s">
        <v>223</v>
      </c>
      <c r="B8" s="630">
        <v>1953</v>
      </c>
      <c r="C8" s="630">
        <v>12523</v>
      </c>
      <c r="D8" s="630">
        <v>207</v>
      </c>
      <c r="E8" s="667">
        <f t="shared" si="0"/>
        <v>14683</v>
      </c>
      <c r="F8" s="668">
        <f t="shared" si="1"/>
        <v>0.1330109650616359</v>
      </c>
      <c r="G8" s="668">
        <f t="shared" si="2"/>
        <v>0.85289109854934275</v>
      </c>
      <c r="H8" s="673">
        <f t="shared" si="3"/>
        <v>1.4097936389021317E-2</v>
      </c>
    </row>
    <row r="9" spans="1:12" s="77" customFormat="1" ht="15.75">
      <c r="A9" s="672" t="s">
        <v>192</v>
      </c>
      <c r="B9" s="630">
        <v>2519</v>
      </c>
      <c r="C9" s="630">
        <v>14493</v>
      </c>
      <c r="D9" s="630">
        <v>444</v>
      </c>
      <c r="E9" s="667">
        <f t="shared" si="0"/>
        <v>17456</v>
      </c>
      <c r="F9" s="668">
        <f t="shared" si="1"/>
        <v>0.1443056828597617</v>
      </c>
      <c r="G9" s="668">
        <f t="shared" si="2"/>
        <v>0.8302589367552704</v>
      </c>
      <c r="H9" s="673">
        <f t="shared" si="3"/>
        <v>2.5435380384967919E-2</v>
      </c>
    </row>
    <row r="10" spans="1:12" s="77" customFormat="1" ht="15.75">
      <c r="A10" s="672" t="s">
        <v>224</v>
      </c>
      <c r="B10" s="630">
        <v>3191</v>
      </c>
      <c r="C10" s="630">
        <v>18636</v>
      </c>
      <c r="D10" s="630">
        <v>770</v>
      </c>
      <c r="E10" s="667">
        <f t="shared" si="0"/>
        <v>22597</v>
      </c>
      <c r="F10" s="668">
        <f t="shared" si="1"/>
        <v>0.14121343541178033</v>
      </c>
      <c r="G10" s="668">
        <f t="shared" si="2"/>
        <v>0.82471124485551184</v>
      </c>
      <c r="H10" s="673">
        <f t="shared" si="3"/>
        <v>3.407531973270788E-2</v>
      </c>
    </row>
    <row r="11" spans="1:12" s="77" customFormat="1" ht="15.75">
      <c r="A11" s="672" t="s">
        <v>482</v>
      </c>
      <c r="B11" s="630">
        <v>3646</v>
      </c>
      <c r="C11" s="630">
        <v>23042</v>
      </c>
      <c r="D11" s="630">
        <v>0</v>
      </c>
      <c r="E11" s="667">
        <f>SUM(B11:D11)</f>
        <v>26688</v>
      </c>
      <c r="F11" s="668">
        <f>B11/E11</f>
        <v>0.13661570743405277</v>
      </c>
      <c r="G11" s="668">
        <f>C11/E11</f>
        <v>0.86338429256594729</v>
      </c>
      <c r="H11" s="673">
        <f>D11/E11</f>
        <v>0</v>
      </c>
    </row>
    <row r="12" spans="1:12" s="77" customFormat="1" ht="15.75">
      <c r="A12" s="672" t="s">
        <v>561</v>
      </c>
      <c r="B12" s="630">
        <v>4605</v>
      </c>
      <c r="C12" s="630">
        <v>24027</v>
      </c>
      <c r="D12" s="630">
        <v>3</v>
      </c>
      <c r="E12" s="667">
        <f>SUM(B12:D12)</f>
        <v>28635</v>
      </c>
      <c r="F12" s="668">
        <f>B12/E12</f>
        <v>0.16081718177056051</v>
      </c>
      <c r="G12" s="668">
        <f>C12/E12</f>
        <v>0.83907805133577784</v>
      </c>
      <c r="H12" s="673">
        <f>D12/E12</f>
        <v>1.0476689366160294E-4</v>
      </c>
    </row>
    <row r="13" spans="1:12" s="77" customFormat="1" ht="15.75">
      <c r="A13" s="672" t="s">
        <v>569</v>
      </c>
      <c r="B13" s="630">
        <v>4791</v>
      </c>
      <c r="C13" s="630">
        <v>26240</v>
      </c>
      <c r="D13" s="630">
        <v>1</v>
      </c>
      <c r="E13" s="667">
        <f>SUM(B13:D13)</f>
        <v>31032</v>
      </c>
      <c r="F13" s="668">
        <f>B13/E13</f>
        <v>0.15438901778808972</v>
      </c>
      <c r="G13" s="668">
        <f>C13/E13</f>
        <v>0.84557875741170407</v>
      </c>
      <c r="H13" s="673">
        <f>D13/E13</f>
        <v>3.2224800206238723E-5</v>
      </c>
    </row>
    <row r="14" spans="1:12" s="77" customFormat="1" ht="15.75">
      <c r="A14" s="672" t="s">
        <v>1012</v>
      </c>
      <c r="B14" s="630">
        <f>4654-360</f>
        <v>4294</v>
      </c>
      <c r="C14" s="630">
        <f>29891-2371</f>
        <v>27520</v>
      </c>
      <c r="D14" s="630">
        <v>4</v>
      </c>
      <c r="E14" s="667">
        <f>SUM(B14:D14)</f>
        <v>31818</v>
      </c>
      <c r="F14" s="668">
        <f>B14/E14</f>
        <v>0.13495505688603934</v>
      </c>
      <c r="G14" s="668">
        <f>C14/E14</f>
        <v>0.86491922810987487</v>
      </c>
      <c r="H14" s="673">
        <f>D14/E14</f>
        <v>1.2571500408573762E-4</v>
      </c>
    </row>
    <row r="15" spans="1:12" s="77" customFormat="1" ht="15.75">
      <c r="A15" s="619" t="s">
        <v>23</v>
      </c>
      <c r="B15" s="674">
        <f>SUM(B4:B14)</f>
        <v>28030</v>
      </c>
      <c r="C15" s="674">
        <f>SUM(C4:C14)</f>
        <v>170894</v>
      </c>
      <c r="D15" s="674">
        <f>SUM(D4:D14)</f>
        <v>2772</v>
      </c>
      <c r="E15" s="674">
        <f>SUM(E4:E14)</f>
        <v>201696</v>
      </c>
      <c r="F15" s="675">
        <f t="shared" si="1"/>
        <v>0.13897152149769951</v>
      </c>
      <c r="G15" s="675">
        <f t="shared" si="2"/>
        <v>0.84728502300491826</v>
      </c>
      <c r="H15" s="676">
        <f t="shared" si="3"/>
        <v>1.37434554973822E-2</v>
      </c>
    </row>
    <row r="16" spans="1:12" s="77" customFormat="1">
      <c r="A16" s="142"/>
      <c r="B16" s="141"/>
      <c r="C16" s="141"/>
      <c r="D16" s="141"/>
      <c r="L16" s="39"/>
    </row>
    <row r="17" spans="1:12" s="77" customFormat="1">
      <c r="A17" s="142"/>
      <c r="B17" s="141"/>
      <c r="C17" s="141"/>
      <c r="D17" s="141"/>
      <c r="L17" s="39"/>
    </row>
    <row r="18" spans="1:12" s="77" customFormat="1">
      <c r="A18" s="142"/>
      <c r="B18" s="141"/>
      <c r="C18" s="141"/>
      <c r="D18" s="141"/>
    </row>
    <row r="19" spans="1:12" s="77" customFormat="1">
      <c r="A19" s="142"/>
      <c r="B19" s="141"/>
      <c r="C19" s="141"/>
      <c r="D19" s="141"/>
    </row>
    <row r="20" spans="1:12" s="77" customFormat="1"/>
    <row r="21" spans="1:12" s="77" customFormat="1"/>
    <row r="22" spans="1:12" s="77" customFormat="1"/>
    <row r="23" spans="1:12" s="77" customFormat="1"/>
    <row r="24" spans="1:12" s="77" customFormat="1"/>
    <row r="25" spans="1:12" s="77" customFormat="1"/>
    <row r="26" spans="1:12">
      <c r="A26" s="77"/>
      <c r="B26" s="77"/>
      <c r="C26" s="77"/>
      <c r="D26" s="77"/>
      <c r="E26" s="77"/>
      <c r="F26" s="77"/>
      <c r="G26" s="77"/>
      <c r="H26" s="77"/>
    </row>
    <row r="27" spans="1:12">
      <c r="L27" s="140"/>
    </row>
  </sheetData>
  <mergeCells count="1">
    <mergeCell ref="A1:L1"/>
  </mergeCells>
  <printOptions horizontalCentered="1"/>
  <pageMargins left="0.39370078740157483" right="0.39370078740157483" top="0.23622047244094491" bottom="0.23622047244094491" header="0.31496062992125984" footer="0.31496062992125984"/>
  <pageSetup scale="69" orientation="landscape" r:id="rId1"/>
  <drawing r:id="rId2"/>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1">
    <tabColor rgb="FF66FF33"/>
    <pageSetUpPr fitToPage="1"/>
  </sheetPr>
  <dimension ref="A1:M27"/>
  <sheetViews>
    <sheetView showGridLines="0" view="pageBreakPreview" zoomScale="70" zoomScaleNormal="100" zoomScaleSheetLayoutView="70" workbookViewId="0">
      <selection activeCell="M32" sqref="M32"/>
    </sheetView>
  </sheetViews>
  <sheetFormatPr baseColWidth="10" defaultColWidth="11.42578125" defaultRowHeight="15"/>
  <cols>
    <col min="1" max="1" width="15.7109375" style="39" customWidth="1"/>
    <col min="2" max="2" width="12.28515625" style="39" customWidth="1"/>
    <col min="3" max="3" width="14.42578125" style="39" customWidth="1"/>
    <col min="4" max="4" width="14.42578125" style="39" hidden="1" customWidth="1"/>
    <col min="5" max="5" width="12.7109375" style="39" customWidth="1"/>
    <col min="6" max="6" width="14.5703125" style="39" customWidth="1"/>
    <col min="7" max="7" width="13.7109375" style="39" customWidth="1"/>
    <col min="8" max="8" width="20.28515625" style="39" customWidth="1"/>
    <col min="9" max="9" width="18.85546875" style="39" customWidth="1"/>
    <col min="10" max="10" width="21" style="39" customWidth="1"/>
    <col min="11" max="11" width="16.28515625" style="39" customWidth="1"/>
    <col min="12" max="12" width="18.85546875" style="39" customWidth="1"/>
    <col min="13" max="13" width="40.42578125" style="39" customWidth="1"/>
    <col min="14" max="16384" width="11.42578125" style="39"/>
  </cols>
  <sheetData>
    <row r="1" spans="1:13" s="77" customFormat="1" ht="70.5" customHeight="1">
      <c r="A1" s="2183"/>
      <c r="B1" s="2183"/>
      <c r="C1" s="2183"/>
      <c r="D1" s="2183"/>
      <c r="E1" s="2183"/>
      <c r="F1" s="2183"/>
      <c r="G1" s="2183"/>
      <c r="H1" s="2183"/>
      <c r="I1" s="2183"/>
      <c r="J1" s="2183"/>
      <c r="K1" s="2183"/>
      <c r="L1" s="2183"/>
    </row>
    <row r="2" spans="1:13" s="38" customFormat="1" ht="15.75" customHeight="1">
      <c r="A2" s="620"/>
      <c r="B2" s="176"/>
      <c r="C2" s="176"/>
      <c r="D2" s="176"/>
      <c r="E2" s="176"/>
      <c r="F2" s="176"/>
      <c r="G2" s="176"/>
      <c r="H2" s="176"/>
      <c r="I2" s="176"/>
      <c r="J2" s="176"/>
      <c r="K2" s="176"/>
      <c r="L2" s="176"/>
    </row>
    <row r="3" spans="1:13" s="77" customFormat="1" ht="31.5">
      <c r="A3" s="590" t="s">
        <v>0</v>
      </c>
      <c r="B3" s="601" t="s">
        <v>314</v>
      </c>
      <c r="C3" s="601" t="s">
        <v>313</v>
      </c>
      <c r="D3" s="601" t="s">
        <v>400</v>
      </c>
      <c r="E3" s="618" t="s">
        <v>140</v>
      </c>
      <c r="F3" s="601" t="s">
        <v>312</v>
      </c>
      <c r="G3" s="602" t="s">
        <v>311</v>
      </c>
    </row>
    <row r="4" spans="1:13" s="77" customFormat="1" ht="15.75">
      <c r="A4" s="603">
        <v>2005</v>
      </c>
      <c r="B4" s="1112">
        <v>90</v>
      </c>
      <c r="C4" s="1112">
        <v>3641</v>
      </c>
      <c r="D4" s="1112"/>
      <c r="E4" s="1272">
        <f t="shared" ref="E4:E10" si="0">SUM(B4:C4)</f>
        <v>3731</v>
      </c>
      <c r="F4" s="1274">
        <f t="shared" ref="F4:F11" si="1">B4/E4</f>
        <v>2.4122219244170465E-2</v>
      </c>
      <c r="G4" s="1275">
        <f t="shared" ref="G4:G11" si="2">C4/E4</f>
        <v>0.97587778075582954</v>
      </c>
    </row>
    <row r="5" spans="1:13" s="77" customFormat="1" ht="15.75">
      <c r="A5" s="603" t="s">
        <v>251</v>
      </c>
      <c r="B5" s="1112">
        <v>253</v>
      </c>
      <c r="C5" s="1112">
        <v>5282</v>
      </c>
      <c r="D5" s="1112"/>
      <c r="E5" s="1272">
        <f t="shared" si="0"/>
        <v>5535</v>
      </c>
      <c r="F5" s="1274">
        <f t="shared" si="1"/>
        <v>4.5709123757904244E-2</v>
      </c>
      <c r="G5" s="1275">
        <f t="shared" si="2"/>
        <v>0.95429087624209574</v>
      </c>
    </row>
    <row r="6" spans="1:13" s="77" customFormat="1" ht="15.75">
      <c r="A6" s="603" t="s">
        <v>173</v>
      </c>
      <c r="B6" s="1112">
        <v>445</v>
      </c>
      <c r="C6" s="1112">
        <v>8099</v>
      </c>
      <c r="D6" s="1112"/>
      <c r="E6" s="1272">
        <f t="shared" si="0"/>
        <v>8544</v>
      </c>
      <c r="F6" s="1274">
        <f t="shared" si="1"/>
        <v>5.2083333333333336E-2</v>
      </c>
      <c r="G6" s="1275">
        <f t="shared" si="2"/>
        <v>0.94791666666666663</v>
      </c>
    </row>
    <row r="7" spans="1:13" s="77" customFormat="1" ht="15.75">
      <c r="A7" s="603" t="s">
        <v>222</v>
      </c>
      <c r="B7" s="1112">
        <v>660</v>
      </c>
      <c r="C7" s="1112">
        <v>10317</v>
      </c>
      <c r="D7" s="1112"/>
      <c r="E7" s="1272">
        <f t="shared" si="0"/>
        <v>10977</v>
      </c>
      <c r="F7" s="1274">
        <f t="shared" si="1"/>
        <v>6.0125717409128178E-2</v>
      </c>
      <c r="G7" s="1275">
        <f t="shared" si="2"/>
        <v>0.9398742825908718</v>
      </c>
    </row>
    <row r="8" spans="1:13" s="77" customFormat="1" ht="15.75">
      <c r="A8" s="603" t="s">
        <v>223</v>
      </c>
      <c r="B8" s="1112">
        <v>986</v>
      </c>
      <c r="C8" s="1112">
        <v>13697</v>
      </c>
      <c r="D8" s="1112"/>
      <c r="E8" s="1272">
        <f t="shared" si="0"/>
        <v>14683</v>
      </c>
      <c r="F8" s="1274">
        <f t="shared" si="1"/>
        <v>6.7152489273309274E-2</v>
      </c>
      <c r="G8" s="1275">
        <f t="shared" si="2"/>
        <v>0.9328475107266907</v>
      </c>
    </row>
    <row r="9" spans="1:13" s="77" customFormat="1" ht="15.75">
      <c r="A9" s="603" t="s">
        <v>192</v>
      </c>
      <c r="B9" s="1112">
        <v>1477</v>
      </c>
      <c r="C9" s="1112">
        <v>15979</v>
      </c>
      <c r="D9" s="1112"/>
      <c r="E9" s="1272">
        <f t="shared" si="0"/>
        <v>17456</v>
      </c>
      <c r="F9" s="1274">
        <f t="shared" si="1"/>
        <v>8.4612740604949582E-2</v>
      </c>
      <c r="G9" s="1275">
        <f t="shared" si="2"/>
        <v>0.91538725939505039</v>
      </c>
      <c r="M9" s="39"/>
    </row>
    <row r="10" spans="1:13" s="77" customFormat="1" ht="15.75">
      <c r="A10" s="603">
        <v>2011</v>
      </c>
      <c r="B10" s="1112">
        <v>2094</v>
      </c>
      <c r="C10" s="1112">
        <v>20503</v>
      </c>
      <c r="D10" s="1112"/>
      <c r="E10" s="1272">
        <f t="shared" si="0"/>
        <v>22597</v>
      </c>
      <c r="F10" s="1274">
        <f t="shared" si="1"/>
        <v>9.2667168208169226E-2</v>
      </c>
      <c r="G10" s="1275">
        <f t="shared" si="2"/>
        <v>0.90733283179183077</v>
      </c>
      <c r="M10" s="39"/>
    </row>
    <row r="11" spans="1:13" s="77" customFormat="1" ht="15.75">
      <c r="A11" s="603" t="s">
        <v>482</v>
      </c>
      <c r="B11" s="1112">
        <v>3858</v>
      </c>
      <c r="C11" s="1112">
        <v>22830</v>
      </c>
      <c r="D11" s="1112"/>
      <c r="E11" s="1272">
        <f>SUM(B11:D11)</f>
        <v>26688</v>
      </c>
      <c r="F11" s="1274">
        <f t="shared" si="1"/>
        <v>0.1445593525179856</v>
      </c>
      <c r="G11" s="1275">
        <f t="shared" si="2"/>
        <v>0.85544064748201443</v>
      </c>
      <c r="M11" s="159"/>
    </row>
    <row r="12" spans="1:13" s="77" customFormat="1" ht="15.75">
      <c r="A12" s="603" t="s">
        <v>561</v>
      </c>
      <c r="B12" s="1112">
        <v>4451</v>
      </c>
      <c r="C12" s="1112">
        <v>24184</v>
      </c>
      <c r="D12" s="1112"/>
      <c r="E12" s="1272">
        <f>SUM(B12:D12)</f>
        <v>28635</v>
      </c>
      <c r="F12" s="1274">
        <f>B12/E12</f>
        <v>0.15543914789593155</v>
      </c>
      <c r="G12" s="1275">
        <f>C12/E12</f>
        <v>0.84456085210406839</v>
      </c>
      <c r="M12" s="159"/>
    </row>
    <row r="13" spans="1:13" s="77" customFormat="1" ht="15.75">
      <c r="A13" s="603" t="s">
        <v>569</v>
      </c>
      <c r="B13" s="1112">
        <v>5112</v>
      </c>
      <c r="C13" s="1112">
        <v>25920</v>
      </c>
      <c r="D13" s="1112"/>
      <c r="E13" s="1272">
        <f>SUM(B13:D13)</f>
        <v>31032</v>
      </c>
      <c r="F13" s="1274">
        <f>B13/E13</f>
        <v>0.16473317865429235</v>
      </c>
      <c r="G13" s="1275">
        <f>C13/E13</f>
        <v>0.83526682134570762</v>
      </c>
      <c r="M13" s="159"/>
    </row>
    <row r="14" spans="1:13" s="77" customFormat="1" ht="15.75">
      <c r="A14" s="603" t="s">
        <v>1006</v>
      </c>
      <c r="B14" s="1112">
        <f>5387-393</f>
        <v>4994</v>
      </c>
      <c r="C14" s="1112">
        <f>29160-2338+2</f>
        <v>26824</v>
      </c>
      <c r="D14" s="1112"/>
      <c r="E14" s="1272">
        <f>SUM(B14:D14)</f>
        <v>31818</v>
      </c>
      <c r="F14" s="1274">
        <f>B14/E14</f>
        <v>0.15695518260104344</v>
      </c>
      <c r="G14" s="1275">
        <f>C14/E14</f>
        <v>0.84304481739895654</v>
      </c>
      <c r="M14" s="39"/>
    </row>
    <row r="15" spans="1:13" s="77" customFormat="1" ht="15.75">
      <c r="A15" s="598" t="s">
        <v>23</v>
      </c>
      <c r="B15" s="604">
        <f>SUM(B4:B14)</f>
        <v>24420</v>
      </c>
      <c r="C15" s="604">
        <f>SUM(C4:C14)</f>
        <v>177276</v>
      </c>
      <c r="D15" s="604">
        <f>SUM(D4:D14)</f>
        <v>0</v>
      </c>
      <c r="E15" s="1273">
        <f>SUM(E4:E14)</f>
        <v>201696</v>
      </c>
      <c r="F15" s="1276">
        <f>B15/E15</f>
        <v>0.12107329842931937</v>
      </c>
      <c r="G15" s="1277">
        <f>C15/E15</f>
        <v>0.87892670157068065</v>
      </c>
      <c r="L15" s="39"/>
    </row>
    <row r="16" spans="1:13" s="77" customFormat="1">
      <c r="K16" s="39"/>
      <c r="L16" s="39"/>
    </row>
    <row r="17" spans="1:12" s="77" customFormat="1">
      <c r="K17" s="39"/>
      <c r="L17" s="39"/>
    </row>
    <row r="18" spans="1:12" s="77" customFormat="1"/>
    <row r="19" spans="1:12" s="77" customFormat="1"/>
    <row r="20" spans="1:12" s="77" customFormat="1"/>
    <row r="21" spans="1:12" s="77" customFormat="1"/>
    <row r="22" spans="1:12" s="77" customFormat="1"/>
    <row r="23" spans="1:12" s="77" customFormat="1"/>
    <row r="24" spans="1:12" s="77" customFormat="1"/>
    <row r="25" spans="1:12" s="77" customFormat="1"/>
    <row r="26" spans="1:12">
      <c r="A26" s="77"/>
      <c r="B26" s="77"/>
      <c r="C26" s="77"/>
      <c r="D26" s="77"/>
      <c r="E26" s="77"/>
      <c r="F26" s="77"/>
      <c r="G26" s="77"/>
    </row>
    <row r="27" spans="1:12">
      <c r="K27" s="140"/>
    </row>
  </sheetData>
  <mergeCells count="1">
    <mergeCell ref="A1:L1"/>
  </mergeCells>
  <printOptions horizontalCentered="1"/>
  <pageMargins left="0.39370078740157483" right="0.39370078740157483" top="0.23622047244094491" bottom="0.23622047244094491" header="0.31496062992125984" footer="0.31496062992125984"/>
  <pageSetup scale="73"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tabColor theme="9" tint="-0.499984740745262"/>
    <pageSetUpPr fitToPage="1"/>
  </sheetPr>
  <dimension ref="A1:T25"/>
  <sheetViews>
    <sheetView showGridLines="0" view="pageBreakPreview" zoomScale="55" zoomScaleNormal="85" zoomScaleSheetLayoutView="55" workbookViewId="0">
      <selection activeCell="P46" sqref="P46"/>
    </sheetView>
  </sheetViews>
  <sheetFormatPr baseColWidth="10" defaultColWidth="11.42578125" defaultRowHeight="11.25" customHeight="1"/>
  <cols>
    <col min="1" max="1" width="22.5703125" style="74" customWidth="1"/>
    <col min="2" max="2" width="22" style="74" customWidth="1"/>
    <col min="3" max="3" width="22.140625" style="74" customWidth="1"/>
    <col min="4" max="4" width="21.7109375" style="74" customWidth="1"/>
    <col min="5" max="5" width="20" style="74" customWidth="1"/>
    <col min="6" max="7" width="11.42578125" style="74"/>
    <col min="8" max="8" width="12.5703125" style="74" bestFit="1" customWidth="1"/>
    <col min="9" max="9" width="13.5703125" style="74" bestFit="1" customWidth="1"/>
    <col min="10" max="10" width="12" style="74" customWidth="1"/>
    <col min="11" max="11" width="13.85546875" style="74" customWidth="1"/>
    <col min="12" max="12" width="15.140625" style="74" customWidth="1"/>
    <col min="13" max="13" width="19.140625" style="74" customWidth="1"/>
    <col min="14" max="14" width="24.28515625" style="74" customWidth="1"/>
    <col min="15" max="18" width="11.42578125" style="74"/>
    <col min="19" max="19" width="10" style="74" customWidth="1"/>
    <col min="20" max="16384" width="11.42578125" style="74"/>
  </cols>
  <sheetData>
    <row r="1" spans="1:20" ht="105" customHeight="1">
      <c r="A1" s="2019"/>
      <c r="B1" s="2019"/>
      <c r="C1" s="2019"/>
      <c r="D1" s="2019"/>
      <c r="E1" s="2019"/>
      <c r="F1" s="2019"/>
      <c r="G1" s="2019"/>
      <c r="H1" s="2019"/>
      <c r="I1" s="2019"/>
      <c r="J1" s="2019"/>
      <c r="K1" s="2019"/>
      <c r="L1" s="2019"/>
      <c r="M1" s="2019"/>
      <c r="N1" s="2019"/>
    </row>
    <row r="2" spans="1:20" s="70" customFormat="1" ht="2.25" customHeight="1">
      <c r="A2" s="75"/>
      <c r="B2" s="75"/>
      <c r="C2" s="75"/>
      <c r="D2" s="75"/>
      <c r="E2" s="75"/>
    </row>
    <row r="3" spans="1:20" s="70" customFormat="1" ht="42" customHeight="1">
      <c r="A3" s="300" t="s">
        <v>47</v>
      </c>
      <c r="B3" s="998" t="s">
        <v>163</v>
      </c>
      <c r="C3" s="999" t="s">
        <v>164</v>
      </c>
      <c r="D3" s="1000" t="s">
        <v>165</v>
      </c>
      <c r="E3" s="75"/>
      <c r="F3" s="71"/>
      <c r="J3" s="248"/>
      <c r="M3" s="161"/>
    </row>
    <row r="4" spans="1:20" s="70" customFormat="1" ht="19.5" customHeight="1">
      <c r="A4" s="301" t="s">
        <v>483</v>
      </c>
      <c r="B4" s="1371">
        <v>12759.99</v>
      </c>
      <c r="C4" s="1372">
        <v>15836.19</v>
      </c>
      <c r="D4" s="1373">
        <v>14748.51</v>
      </c>
      <c r="E4" s="75"/>
      <c r="F4" s="71"/>
      <c r="O4" s="181"/>
      <c r="P4" s="181"/>
      <c r="Q4" s="181"/>
      <c r="R4" s="181"/>
      <c r="S4" s="256"/>
      <c r="T4" s="256"/>
    </row>
    <row r="5" spans="1:20" s="70" customFormat="1" ht="21.75" customHeight="1">
      <c r="A5" s="301" t="s">
        <v>420</v>
      </c>
      <c r="B5" s="1374">
        <v>13453</v>
      </c>
      <c r="C5" s="1375">
        <v>14653.84</v>
      </c>
      <c r="D5" s="1376">
        <v>15155.74</v>
      </c>
      <c r="E5" s="75"/>
      <c r="F5" s="71"/>
      <c r="O5" s="181"/>
      <c r="P5" s="181"/>
      <c r="Q5" s="181"/>
      <c r="R5" s="181"/>
      <c r="S5" s="256"/>
      <c r="T5" s="256"/>
    </row>
    <row r="6" spans="1:20" s="70" customFormat="1" ht="20.25" customHeight="1">
      <c r="A6" s="301" t="s">
        <v>421</v>
      </c>
      <c r="B6" s="1374">
        <v>13943.45</v>
      </c>
      <c r="C6" s="1375">
        <v>16719.03</v>
      </c>
      <c r="D6" s="1376">
        <v>15971.57</v>
      </c>
      <c r="E6" s="75"/>
      <c r="F6" s="71"/>
      <c r="O6" s="181"/>
      <c r="P6" s="181"/>
      <c r="Q6" s="181"/>
      <c r="R6" s="181"/>
      <c r="S6" s="256"/>
      <c r="T6" s="256"/>
    </row>
    <row r="7" spans="1:20" s="70" customFormat="1" ht="18" customHeight="1">
      <c r="A7" s="301" t="s">
        <v>422</v>
      </c>
      <c r="B7" s="1374">
        <v>15132</v>
      </c>
      <c r="C7" s="1375">
        <v>17464</v>
      </c>
      <c r="D7" s="1376">
        <v>17399</v>
      </c>
      <c r="E7" s="75"/>
      <c r="F7" s="71"/>
      <c r="G7" s="71"/>
      <c r="H7" s="71"/>
      <c r="I7" s="71"/>
      <c r="J7" s="71"/>
      <c r="K7" s="71"/>
      <c r="N7" s="181"/>
      <c r="O7" s="181"/>
      <c r="P7" s="181"/>
      <c r="Q7" s="181"/>
      <c r="R7" s="181"/>
      <c r="S7" s="256"/>
      <c r="T7" s="256"/>
    </row>
    <row r="8" spans="1:20" ht="18.75" customHeight="1">
      <c r="A8" s="301" t="s">
        <v>484</v>
      </c>
      <c r="B8" s="1374">
        <v>15533</v>
      </c>
      <c r="C8" s="1375">
        <v>18675</v>
      </c>
      <c r="D8" s="1376">
        <v>17851</v>
      </c>
      <c r="E8" s="75"/>
      <c r="F8" s="75"/>
      <c r="G8" s="71"/>
      <c r="H8" s="71"/>
      <c r="I8" s="71"/>
      <c r="K8" s="70"/>
      <c r="L8" s="70"/>
      <c r="M8" s="70"/>
      <c r="N8" s="181"/>
      <c r="O8" s="181"/>
      <c r="P8" s="181"/>
      <c r="Q8" s="181"/>
      <c r="R8" s="181"/>
      <c r="S8" s="256"/>
      <c r="T8" s="256"/>
    </row>
    <row r="9" spans="1:20" ht="18.75">
      <c r="A9" s="301" t="s">
        <v>541</v>
      </c>
      <c r="B9" s="1374">
        <v>16191</v>
      </c>
      <c r="C9" s="1375">
        <v>19327</v>
      </c>
      <c r="D9" s="1376">
        <v>20747</v>
      </c>
      <c r="E9" s="75"/>
      <c r="F9" s="75"/>
      <c r="G9" s="71"/>
      <c r="H9" s="71"/>
      <c r="I9" s="71"/>
      <c r="K9" s="70"/>
      <c r="L9" s="70"/>
      <c r="M9" s="70"/>
      <c r="N9" s="181"/>
      <c r="O9" s="181"/>
      <c r="P9" s="181"/>
      <c r="Q9" s="181"/>
      <c r="R9" s="181"/>
      <c r="S9" s="257"/>
    </row>
    <row r="10" spans="1:20" ht="18.75">
      <c r="A10" s="1298" t="s">
        <v>574</v>
      </c>
      <c r="B10" s="1377">
        <v>16415</v>
      </c>
      <c r="C10" s="1378">
        <v>20545</v>
      </c>
      <c r="D10" s="1379">
        <v>22507</v>
      </c>
      <c r="E10" s="75"/>
      <c r="F10" s="75"/>
      <c r="G10" s="71"/>
      <c r="H10" s="71"/>
      <c r="I10" s="71"/>
      <c r="K10" s="70"/>
      <c r="L10" s="70"/>
      <c r="M10" s="70"/>
      <c r="N10" s="181"/>
      <c r="O10" s="181"/>
      <c r="P10" s="181"/>
      <c r="Q10" s="181"/>
      <c r="R10" s="181"/>
      <c r="S10" s="257"/>
    </row>
    <row r="11" spans="1:20" ht="18.75">
      <c r="A11" s="1299" t="s">
        <v>1002</v>
      </c>
      <c r="B11" s="1657">
        <v>17262</v>
      </c>
      <c r="C11" s="1658">
        <v>22010</v>
      </c>
      <c r="D11" s="1659">
        <v>24425</v>
      </c>
      <c r="E11" s="75"/>
      <c r="F11" s="75"/>
      <c r="G11" s="75"/>
      <c r="H11" s="75"/>
      <c r="I11" s="75"/>
      <c r="J11" s="75"/>
      <c r="N11" s="181"/>
      <c r="O11" s="181"/>
      <c r="P11" s="181"/>
      <c r="Q11" s="181"/>
      <c r="R11" s="181"/>
    </row>
    <row r="12" spans="1:20" ht="11.25" customHeight="1">
      <c r="A12" s="258"/>
      <c r="B12" s="72"/>
      <c r="C12" s="75"/>
      <c r="D12" s="75"/>
      <c r="E12" s="75"/>
      <c r="F12" s="75"/>
      <c r="G12" s="75"/>
      <c r="H12" s="75"/>
      <c r="I12" s="75"/>
      <c r="J12" s="75"/>
      <c r="N12" s="181"/>
      <c r="O12" s="181"/>
      <c r="P12" s="181"/>
      <c r="Q12" s="181"/>
      <c r="R12" s="181"/>
    </row>
    <row r="13" spans="1:20" ht="11.25" customHeight="1">
      <c r="B13" s="72"/>
      <c r="C13" s="75"/>
      <c r="D13" s="75"/>
      <c r="E13" s="75"/>
      <c r="F13" s="75"/>
      <c r="G13" s="75"/>
      <c r="H13" s="75"/>
      <c r="I13" s="75"/>
      <c r="J13" s="75"/>
      <c r="N13" s="181"/>
      <c r="O13" s="181"/>
      <c r="P13" s="181"/>
      <c r="Q13" s="181"/>
      <c r="R13" s="181"/>
    </row>
    <row r="14" spans="1:20" ht="11.25" customHeight="1">
      <c r="B14" s="72"/>
      <c r="C14" s="75"/>
      <c r="D14" s="75"/>
      <c r="E14" s="75"/>
      <c r="F14" s="75"/>
      <c r="G14" s="75"/>
      <c r="H14" s="75"/>
      <c r="I14" s="75"/>
      <c r="J14" s="75"/>
      <c r="N14" s="181"/>
      <c r="O14" s="181"/>
      <c r="P14" s="181"/>
      <c r="Q14" s="181"/>
      <c r="R14" s="181"/>
    </row>
    <row r="15" spans="1:20" ht="11.25" customHeight="1">
      <c r="B15" s="72"/>
      <c r="C15" s="75"/>
      <c r="D15" s="75"/>
      <c r="E15" s="75"/>
      <c r="F15" s="75"/>
      <c r="G15" s="75"/>
      <c r="H15" s="75"/>
      <c r="I15" s="75"/>
      <c r="J15" s="75"/>
      <c r="N15" s="181"/>
      <c r="O15" s="181"/>
      <c r="P15" s="181"/>
      <c r="Q15" s="181"/>
      <c r="R15" s="181"/>
    </row>
    <row r="16" spans="1:20" ht="11.25" customHeight="1">
      <c r="N16" s="181"/>
      <c r="O16" s="181"/>
      <c r="P16" s="181"/>
      <c r="Q16" s="181"/>
      <c r="R16" s="181"/>
    </row>
    <row r="17" spans="14:18" ht="11.25" customHeight="1">
      <c r="N17" s="181"/>
      <c r="O17" s="181"/>
      <c r="P17" s="181"/>
      <c r="Q17" s="181"/>
      <c r="R17" s="181"/>
    </row>
    <row r="18" spans="14:18" ht="11.25" customHeight="1">
      <c r="N18" s="181"/>
      <c r="O18" s="181"/>
      <c r="P18" s="181"/>
      <c r="Q18" s="181"/>
      <c r="R18" s="181"/>
    </row>
    <row r="19" spans="14:18" ht="11.25" customHeight="1">
      <c r="N19" s="181"/>
      <c r="O19" s="181"/>
      <c r="P19" s="181"/>
      <c r="Q19" s="181"/>
      <c r="R19" s="181"/>
    </row>
    <row r="20" spans="14:18" ht="11.25" customHeight="1">
      <c r="N20" s="181"/>
      <c r="O20" s="181"/>
      <c r="P20" s="181"/>
      <c r="Q20" s="181"/>
      <c r="R20" s="181"/>
    </row>
    <row r="21" spans="14:18" ht="11.25" customHeight="1">
      <c r="N21" s="181"/>
      <c r="O21" s="181"/>
      <c r="P21" s="181"/>
      <c r="Q21" s="181"/>
      <c r="R21" s="181"/>
    </row>
    <row r="22" spans="14:18" ht="11.25" customHeight="1">
      <c r="N22" s="181"/>
      <c r="O22" s="181"/>
      <c r="P22" s="181"/>
      <c r="Q22" s="181"/>
      <c r="R22" s="181"/>
    </row>
    <row r="23" spans="14:18" ht="11.25" customHeight="1">
      <c r="N23" s="181"/>
      <c r="O23" s="181"/>
      <c r="P23" s="181"/>
      <c r="Q23" s="181"/>
      <c r="R23" s="181"/>
    </row>
    <row r="24" spans="14:18" ht="11.25" customHeight="1">
      <c r="N24" s="181"/>
      <c r="O24" s="181"/>
      <c r="P24" s="181"/>
      <c r="Q24" s="181"/>
      <c r="R24" s="181"/>
    </row>
    <row r="25" spans="14:18" ht="11.25" customHeight="1">
      <c r="N25" s="181"/>
      <c r="O25" s="181"/>
      <c r="P25" s="181"/>
      <c r="Q25" s="181"/>
      <c r="R25" s="181"/>
    </row>
  </sheetData>
  <mergeCells count="1">
    <mergeCell ref="A1:N1"/>
  </mergeCells>
  <printOptions horizontalCentered="1" verticalCentered="1"/>
  <pageMargins left="0.4" right="0.4" top="0.25" bottom="0.25" header="0.31496062992126" footer="0.31496062992126"/>
  <pageSetup scale="54" orientation="landscape" r:id="rId1"/>
  <drawing r:id="rId2"/>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2">
    <tabColor rgb="FF66FF33"/>
    <pageSetUpPr fitToPage="1"/>
  </sheetPr>
  <dimension ref="A1:K50"/>
  <sheetViews>
    <sheetView showGridLines="0" view="pageBreakPreview" zoomScale="70" zoomScaleNormal="100" zoomScaleSheetLayoutView="70" workbookViewId="0">
      <selection activeCell="A3" sqref="A3"/>
    </sheetView>
  </sheetViews>
  <sheetFormatPr baseColWidth="10" defaultColWidth="11.42578125" defaultRowHeight="15"/>
  <cols>
    <col min="1" max="1" width="16.28515625" style="39" customWidth="1"/>
    <col min="2" max="2" width="17.140625" style="39" customWidth="1"/>
    <col min="3" max="3" width="15.5703125" style="39" customWidth="1"/>
    <col min="4" max="4" width="13.85546875" style="39" customWidth="1"/>
    <col min="5" max="5" width="15" style="39" customWidth="1"/>
    <col min="6" max="6" width="14.28515625" style="39" customWidth="1"/>
    <col min="7" max="7" width="23.7109375" style="39" customWidth="1"/>
    <col min="8" max="8" width="21.85546875" style="39" customWidth="1"/>
    <col min="9" max="9" width="17.42578125" style="39" customWidth="1"/>
    <col min="10" max="10" width="19.28515625" style="39" customWidth="1"/>
    <col min="11" max="11" width="14.42578125" style="39" customWidth="1"/>
    <col min="12" max="12" width="9.42578125" style="39" customWidth="1"/>
    <col min="13" max="16384" width="11.42578125" style="39"/>
  </cols>
  <sheetData>
    <row r="1" spans="1:11" s="77" customFormat="1" ht="69" customHeight="1">
      <c r="A1" s="2071"/>
      <c r="B1" s="2071"/>
      <c r="C1" s="2071"/>
      <c r="D1" s="2071"/>
      <c r="E1" s="2071"/>
      <c r="F1" s="2071"/>
      <c r="G1" s="2071"/>
      <c r="H1" s="2071"/>
      <c r="I1" s="2071"/>
      <c r="J1" s="2071"/>
    </row>
    <row r="2" spans="1:11" s="38" customFormat="1" ht="6.75" customHeight="1">
      <c r="A2" s="134"/>
      <c r="B2" s="134"/>
      <c r="C2" s="134"/>
      <c r="D2" s="134"/>
      <c r="E2" s="134"/>
      <c r="F2" s="134"/>
      <c r="G2" s="134"/>
      <c r="H2" s="134"/>
      <c r="I2" s="134"/>
      <c r="J2" s="134"/>
    </row>
    <row r="3" spans="1:11" s="134" customFormat="1" ht="21" customHeight="1">
      <c r="A3" s="591" t="s">
        <v>250</v>
      </c>
      <c r="B3" s="488" t="s">
        <v>49</v>
      </c>
      <c r="C3" s="488" t="s">
        <v>48</v>
      </c>
      <c r="D3" s="591" t="s">
        <v>137</v>
      </c>
      <c r="E3" s="488" t="s">
        <v>220</v>
      </c>
      <c r="F3" s="489" t="s">
        <v>219</v>
      </c>
      <c r="K3" s="154"/>
    </row>
    <row r="4" spans="1:11" s="77" customFormat="1" ht="15.75">
      <c r="A4" s="522">
        <v>2005</v>
      </c>
      <c r="B4" s="281">
        <v>484</v>
      </c>
      <c r="C4" s="281">
        <v>3247</v>
      </c>
      <c r="D4" s="1278">
        <f t="shared" ref="D4:D10" si="0">B4+C4</f>
        <v>3731</v>
      </c>
      <c r="E4" s="278">
        <f t="shared" ref="E4:E10" si="1">B4/D4</f>
        <v>0.12972393460198339</v>
      </c>
      <c r="F4" s="481">
        <f t="shared" ref="F4:F10" si="2">C4/D4</f>
        <v>0.87027606539801661</v>
      </c>
    </row>
    <row r="5" spans="1:11" s="77" customFormat="1" ht="15.75">
      <c r="A5" s="522">
        <v>2006</v>
      </c>
      <c r="B5" s="281">
        <v>960</v>
      </c>
      <c r="C5" s="281">
        <v>4575</v>
      </c>
      <c r="D5" s="1278">
        <f t="shared" si="0"/>
        <v>5535</v>
      </c>
      <c r="E5" s="278">
        <f t="shared" si="1"/>
        <v>0.17344173441734417</v>
      </c>
      <c r="F5" s="481">
        <f t="shared" si="2"/>
        <v>0.82655826558265577</v>
      </c>
    </row>
    <row r="6" spans="1:11" s="77" customFormat="1" ht="15.75">
      <c r="A6" s="522">
        <v>2007</v>
      </c>
      <c r="B6" s="281">
        <v>1468</v>
      </c>
      <c r="C6" s="281">
        <v>7076</v>
      </c>
      <c r="D6" s="1278">
        <f t="shared" si="0"/>
        <v>8544</v>
      </c>
      <c r="E6" s="278">
        <f t="shared" si="1"/>
        <v>0.17181647940074907</v>
      </c>
      <c r="F6" s="481">
        <f t="shared" si="2"/>
        <v>0.82818352059925093</v>
      </c>
    </row>
    <row r="7" spans="1:11" s="77" customFormat="1" ht="15.75">
      <c r="A7" s="522">
        <v>2008</v>
      </c>
      <c r="B7" s="281">
        <v>2080</v>
      </c>
      <c r="C7" s="281">
        <v>8897</v>
      </c>
      <c r="D7" s="1278">
        <f t="shared" si="0"/>
        <v>10977</v>
      </c>
      <c r="E7" s="278">
        <f t="shared" si="1"/>
        <v>0.18948710941058577</v>
      </c>
      <c r="F7" s="481">
        <f t="shared" si="2"/>
        <v>0.81051289058941423</v>
      </c>
    </row>
    <row r="8" spans="1:11" s="77" customFormat="1" ht="15.75">
      <c r="A8" s="522">
        <v>2009</v>
      </c>
      <c r="B8" s="281">
        <v>3076</v>
      </c>
      <c r="C8" s="281">
        <v>11607</v>
      </c>
      <c r="D8" s="1278">
        <f t="shared" si="0"/>
        <v>14683</v>
      </c>
      <c r="E8" s="278">
        <f t="shared" si="1"/>
        <v>0.20949397262139891</v>
      </c>
      <c r="F8" s="481">
        <f t="shared" si="2"/>
        <v>0.79050602737860109</v>
      </c>
    </row>
    <row r="9" spans="1:11" s="77" customFormat="1" ht="15.75">
      <c r="A9" s="522">
        <v>2010</v>
      </c>
      <c r="B9" s="281">
        <v>3940</v>
      </c>
      <c r="C9" s="281">
        <v>13516</v>
      </c>
      <c r="D9" s="1278">
        <f t="shared" si="0"/>
        <v>17456</v>
      </c>
      <c r="E9" s="278">
        <f t="shared" si="1"/>
        <v>0.22571035747021082</v>
      </c>
      <c r="F9" s="481">
        <f t="shared" si="2"/>
        <v>0.77428964252978916</v>
      </c>
    </row>
    <row r="10" spans="1:11" s="77" customFormat="1" ht="15.75">
      <c r="A10" s="522">
        <v>2011</v>
      </c>
      <c r="B10" s="281">
        <v>5648</v>
      </c>
      <c r="C10" s="281">
        <v>16949</v>
      </c>
      <c r="D10" s="1278">
        <f t="shared" si="0"/>
        <v>22597</v>
      </c>
      <c r="E10" s="278">
        <f t="shared" si="1"/>
        <v>0.24994468292251185</v>
      </c>
      <c r="F10" s="481">
        <f t="shared" si="2"/>
        <v>0.75005531707748818</v>
      </c>
      <c r="K10" s="23"/>
    </row>
    <row r="11" spans="1:11" s="77" customFormat="1" ht="15.75">
      <c r="A11" s="522">
        <v>2012</v>
      </c>
      <c r="B11" s="281">
        <v>7023</v>
      </c>
      <c r="C11" s="281">
        <v>19665</v>
      </c>
      <c r="D11" s="1278">
        <f>B11+C11</f>
        <v>26688</v>
      </c>
      <c r="E11" s="278">
        <f>B11/D11</f>
        <v>0.26315197841726617</v>
      </c>
      <c r="F11" s="481">
        <f>C11/D11</f>
        <v>0.73684802158273377</v>
      </c>
      <c r="K11" s="23"/>
    </row>
    <row r="12" spans="1:11" s="77" customFormat="1" ht="15.75">
      <c r="A12" s="522">
        <v>2013</v>
      </c>
      <c r="B12" s="281">
        <v>7836</v>
      </c>
      <c r="C12" s="281">
        <v>20799</v>
      </c>
      <c r="D12" s="1278">
        <f>B12+C12</f>
        <v>28635</v>
      </c>
      <c r="E12" s="278">
        <f>B12/D12</f>
        <v>0.27365112624410687</v>
      </c>
      <c r="F12" s="481">
        <f>C12/D12</f>
        <v>0.72634887375589319</v>
      </c>
      <c r="K12" s="23"/>
    </row>
    <row r="13" spans="1:11" s="77" customFormat="1" ht="15.75">
      <c r="A13" s="522">
        <v>2014</v>
      </c>
      <c r="B13" s="281">
        <v>8866</v>
      </c>
      <c r="C13" s="281">
        <v>22166</v>
      </c>
      <c r="D13" s="1278">
        <f>B13+C13</f>
        <v>31032</v>
      </c>
      <c r="E13" s="278">
        <f>B13/D13</f>
        <v>0.28570507862851252</v>
      </c>
      <c r="F13" s="481">
        <f>C13/D13</f>
        <v>0.71429492137148753</v>
      </c>
      <c r="K13" s="23"/>
    </row>
    <row r="14" spans="1:11" s="77" customFormat="1" ht="15.75">
      <c r="A14" s="522" t="s">
        <v>1006</v>
      </c>
      <c r="B14" s="281">
        <f>10120-846+2</f>
        <v>9276</v>
      </c>
      <c r="C14" s="281">
        <f>24421-1881+2</f>
        <v>22542</v>
      </c>
      <c r="D14" s="1278">
        <f>B14+C14</f>
        <v>31818</v>
      </c>
      <c r="E14" s="278">
        <f>B14/D14</f>
        <v>0.29153309447482556</v>
      </c>
      <c r="F14" s="481">
        <f>C14/D14</f>
        <v>0.70846690552517444</v>
      </c>
      <c r="K14" s="23"/>
    </row>
    <row r="15" spans="1:11" s="77" customFormat="1" ht="15.75">
      <c r="A15" s="591" t="s">
        <v>23</v>
      </c>
      <c r="B15" s="490">
        <f>SUM(B4:B14)</f>
        <v>50657</v>
      </c>
      <c r="C15" s="490">
        <f>SUM(C4:C14)</f>
        <v>151039</v>
      </c>
      <c r="D15" s="1279">
        <f>SUM(D4:D14)</f>
        <v>201696</v>
      </c>
      <c r="E15" s="607">
        <f>AVERAGE(E4:E10)</f>
        <v>0.19280261012068342</v>
      </c>
      <c r="F15" s="608">
        <f>AVERAGE(F4:F10)</f>
        <v>0.80719738987931655</v>
      </c>
      <c r="K15" s="39"/>
    </row>
    <row r="16" spans="1:11" s="77" customFormat="1" ht="15.75">
      <c r="H16" s="145"/>
      <c r="K16" s="39"/>
    </row>
    <row r="17" spans="11:11" s="77" customFormat="1">
      <c r="K17" s="23"/>
    </row>
    <row r="18" spans="11:11" s="77" customFormat="1">
      <c r="K18" s="23"/>
    </row>
    <row r="19" spans="11:11" s="77" customFormat="1">
      <c r="K19" s="23"/>
    </row>
    <row r="20" spans="11:11" s="77" customFormat="1">
      <c r="K20" s="23"/>
    </row>
    <row r="21" spans="11:11" s="77" customFormat="1">
      <c r="K21" s="23"/>
    </row>
    <row r="22" spans="11:11" s="77" customFormat="1">
      <c r="K22" s="23"/>
    </row>
    <row r="23" spans="11:11" s="77" customFormat="1">
      <c r="K23" s="23"/>
    </row>
    <row r="24" spans="11:11" s="77" customFormat="1">
      <c r="K24" s="23"/>
    </row>
    <row r="25" spans="11:11" s="77" customFormat="1">
      <c r="K25" s="23"/>
    </row>
    <row r="26" spans="11:11" s="77" customFormat="1">
      <c r="K26" s="23"/>
    </row>
    <row r="27" spans="11:11" s="77" customFormat="1">
      <c r="K27" s="23"/>
    </row>
    <row r="28" spans="11:11" s="77" customFormat="1">
      <c r="K28" s="23"/>
    </row>
    <row r="29" spans="11:11" s="77" customFormat="1">
      <c r="K29" s="23"/>
    </row>
    <row r="30" spans="11:11" s="77" customFormat="1">
      <c r="K30" s="23"/>
    </row>
    <row r="31" spans="11:11" s="77" customFormat="1">
      <c r="K31" s="23"/>
    </row>
    <row r="32" spans="11:11" s="77" customFormat="1">
      <c r="K32" s="23"/>
    </row>
    <row r="33" spans="3:11" s="77" customFormat="1">
      <c r="K33" s="23"/>
    </row>
    <row r="34" spans="3:11" s="77" customFormat="1">
      <c r="K34" s="23"/>
    </row>
    <row r="35" spans="3:11" s="77" customFormat="1"/>
    <row r="36" spans="3:11" s="77" customFormat="1"/>
    <row r="37" spans="3:11" s="77" customFormat="1"/>
    <row r="38" spans="3:11" s="77" customFormat="1" ht="15.75">
      <c r="C38" s="135"/>
    </row>
    <row r="39" spans="3:11" s="77" customFormat="1"/>
    <row r="40" spans="3:11" s="77" customFormat="1"/>
    <row r="41" spans="3:11" s="77" customFormat="1"/>
    <row r="42" spans="3:11" s="77" customFormat="1"/>
    <row r="43" spans="3:11" s="77" customFormat="1"/>
    <row r="44" spans="3:11" s="77" customFormat="1"/>
    <row r="45" spans="3:11" s="77" customFormat="1"/>
    <row r="46" spans="3:11" s="77" customFormat="1"/>
    <row r="47" spans="3:11" s="77" customFormat="1"/>
    <row r="48" spans="3:11" s="77" customFormat="1"/>
    <row r="49" spans="1:6" s="77" customFormat="1"/>
    <row r="50" spans="1:6">
      <c r="A50" s="77"/>
      <c r="B50" s="77"/>
      <c r="C50" s="77"/>
      <c r="D50" s="77"/>
      <c r="E50" s="77"/>
      <c r="F50" s="77"/>
    </row>
  </sheetData>
  <mergeCells count="1">
    <mergeCell ref="A1:J1"/>
  </mergeCells>
  <printOptions horizontalCentered="1"/>
  <pageMargins left="0.39370078740157483" right="0.39370078740157483" top="0.23622047244094491" bottom="0.23622047244094491" header="0.31496062992125984" footer="0.31496062992125984"/>
  <pageSetup scale="75" orientation="landscape" r:id="rId1"/>
  <drawing r:id="rId2"/>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3">
    <tabColor rgb="FF66FF33"/>
  </sheetPr>
  <dimension ref="A1:N26"/>
  <sheetViews>
    <sheetView showGridLines="0" view="pageBreakPreview" zoomScale="73" zoomScaleNormal="100" zoomScaleSheetLayoutView="73" workbookViewId="0">
      <selection activeCell="P37" sqref="P37"/>
    </sheetView>
  </sheetViews>
  <sheetFormatPr baseColWidth="10" defaultColWidth="11.42578125" defaultRowHeight="15"/>
  <cols>
    <col min="1" max="1" width="15.5703125" style="39" customWidth="1"/>
    <col min="2" max="2" width="10.7109375" style="39" customWidth="1"/>
    <col min="3" max="6" width="11" style="39" customWidth="1"/>
    <col min="7" max="7" width="13.5703125" style="39" customWidth="1"/>
    <col min="8" max="8" width="13.28515625" style="39" customWidth="1"/>
    <col min="9" max="9" width="17.5703125" style="39" customWidth="1"/>
    <col min="10" max="10" width="16.28515625" style="39" customWidth="1"/>
    <col min="11" max="11" width="16" style="39" customWidth="1"/>
    <col min="12" max="12" width="16.42578125" style="39" customWidth="1"/>
    <col min="13" max="13" width="16.28515625" style="39" customWidth="1"/>
    <col min="14" max="14" width="16.42578125" style="39" customWidth="1"/>
    <col min="15" max="16384" width="11.42578125" style="39"/>
  </cols>
  <sheetData>
    <row r="1" spans="1:14" s="77" customFormat="1" ht="60.75" customHeight="1">
      <c r="A1" s="2071"/>
      <c r="B1" s="2071"/>
      <c r="C1" s="2071"/>
      <c r="D1" s="2071"/>
      <c r="E1" s="2071"/>
      <c r="F1" s="2071"/>
      <c r="G1" s="2071"/>
      <c r="H1" s="2071"/>
      <c r="I1" s="2071"/>
      <c r="J1" s="2071"/>
      <c r="K1" s="2071"/>
      <c r="L1" s="2071"/>
      <c r="M1" s="2071"/>
      <c r="N1" s="2071"/>
    </row>
    <row r="2" spans="1:14" s="77" customFormat="1" ht="6" customHeight="1">
      <c r="A2" s="780"/>
      <c r="B2" s="773"/>
      <c r="C2" s="773"/>
      <c r="D2" s="773"/>
      <c r="E2" s="773"/>
      <c r="F2" s="773"/>
      <c r="G2" s="773"/>
      <c r="H2" s="773"/>
      <c r="I2" s="773"/>
      <c r="J2" s="773"/>
      <c r="K2" s="773"/>
      <c r="L2" s="773"/>
      <c r="M2" s="773"/>
      <c r="N2" s="781"/>
    </row>
    <row r="3" spans="1:14" s="134" customFormat="1" ht="61.5" customHeight="1">
      <c r="A3" s="590" t="s">
        <v>0</v>
      </c>
      <c r="B3" s="601" t="s">
        <v>335</v>
      </c>
      <c r="C3" s="601" t="s">
        <v>334</v>
      </c>
      <c r="D3" s="601" t="s">
        <v>333</v>
      </c>
      <c r="E3" s="601" t="s">
        <v>332</v>
      </c>
      <c r="F3" s="601" t="s">
        <v>331</v>
      </c>
      <c r="G3" s="601" t="s">
        <v>735</v>
      </c>
      <c r="H3" s="618" t="s">
        <v>140</v>
      </c>
      <c r="I3" s="601" t="s">
        <v>329</v>
      </c>
      <c r="J3" s="601" t="s">
        <v>432</v>
      </c>
      <c r="K3" s="601" t="s">
        <v>433</v>
      </c>
      <c r="L3" s="601" t="s">
        <v>328</v>
      </c>
      <c r="M3" s="601" t="s">
        <v>327</v>
      </c>
      <c r="N3" s="602" t="s">
        <v>326</v>
      </c>
    </row>
    <row r="4" spans="1:14" s="77" customFormat="1" ht="15.75">
      <c r="A4" s="603">
        <v>2005</v>
      </c>
      <c r="B4" s="650">
        <v>145</v>
      </c>
      <c r="C4" s="650">
        <v>345</v>
      </c>
      <c r="D4" s="650">
        <v>1445</v>
      </c>
      <c r="E4" s="650">
        <v>1013</v>
      </c>
      <c r="F4" s="650">
        <v>511</v>
      </c>
      <c r="G4" s="650">
        <f>275-3</f>
        <v>272</v>
      </c>
      <c r="H4" s="1066">
        <f t="shared" ref="H4:H10" si="0">SUM(B4:G4)</f>
        <v>3731</v>
      </c>
      <c r="I4" s="662">
        <f t="shared" ref="I4:I15" si="1">B4/H4</f>
        <v>3.8863575448941305E-2</v>
      </c>
      <c r="J4" s="662">
        <f t="shared" ref="J4:J15" si="2">C4/H4</f>
        <v>9.2468507102653447E-2</v>
      </c>
      <c r="K4" s="662">
        <f t="shared" ref="K4:K15" si="3">D4/H4</f>
        <v>0.3872956311980702</v>
      </c>
      <c r="L4" s="662">
        <f t="shared" ref="L4:L15" si="4">E4/H4</f>
        <v>0.27150897882605202</v>
      </c>
      <c r="M4" s="662">
        <f t="shared" ref="M4:M15" si="5">F4/H4</f>
        <v>0.13696060037523453</v>
      </c>
      <c r="N4" s="666">
        <f t="shared" ref="N4:N15" si="6">G4/H4</f>
        <v>7.2902707049048512E-2</v>
      </c>
    </row>
    <row r="5" spans="1:14" s="77" customFormat="1" ht="15.75">
      <c r="A5" s="603" t="s">
        <v>251</v>
      </c>
      <c r="B5" s="650">
        <v>37</v>
      </c>
      <c r="C5" s="650">
        <v>740</v>
      </c>
      <c r="D5" s="650">
        <v>2043</v>
      </c>
      <c r="E5" s="650">
        <v>1536</v>
      </c>
      <c r="F5" s="650">
        <v>808</v>
      </c>
      <c r="G5" s="650">
        <v>371</v>
      </c>
      <c r="H5" s="1066">
        <f t="shared" si="0"/>
        <v>5535</v>
      </c>
      <c r="I5" s="662">
        <f t="shared" si="1"/>
        <v>6.6847335140018064E-3</v>
      </c>
      <c r="J5" s="662">
        <f t="shared" si="2"/>
        <v>0.13369467028003612</v>
      </c>
      <c r="K5" s="662">
        <f t="shared" si="3"/>
        <v>0.36910569105691055</v>
      </c>
      <c r="L5" s="662">
        <f t="shared" si="4"/>
        <v>0.27750677506775068</v>
      </c>
      <c r="M5" s="662">
        <f t="shared" si="5"/>
        <v>0.14598012646793135</v>
      </c>
      <c r="N5" s="666">
        <f t="shared" si="6"/>
        <v>6.7028003613369469E-2</v>
      </c>
    </row>
    <row r="6" spans="1:14" s="77" customFormat="1" ht="15.75">
      <c r="A6" s="603" t="s">
        <v>173</v>
      </c>
      <c r="B6" s="650">
        <v>9</v>
      </c>
      <c r="C6" s="650">
        <v>1413</v>
      </c>
      <c r="D6" s="650">
        <v>3274</v>
      </c>
      <c r="E6" s="650">
        <v>2149</v>
      </c>
      <c r="F6" s="650">
        <v>1123</v>
      </c>
      <c r="G6" s="650">
        <f>571+5</f>
        <v>576</v>
      </c>
      <c r="H6" s="1066">
        <f t="shared" si="0"/>
        <v>8544</v>
      </c>
      <c r="I6" s="662">
        <f t="shared" si="1"/>
        <v>1.0533707865168539E-3</v>
      </c>
      <c r="J6" s="662">
        <f t="shared" si="2"/>
        <v>0.16537921348314608</v>
      </c>
      <c r="K6" s="662">
        <f t="shared" si="3"/>
        <v>0.38319288389513106</v>
      </c>
      <c r="L6" s="662">
        <f t="shared" si="4"/>
        <v>0.25152153558052437</v>
      </c>
      <c r="M6" s="662">
        <f t="shared" si="5"/>
        <v>0.13143726591760299</v>
      </c>
      <c r="N6" s="666">
        <f t="shared" si="6"/>
        <v>6.741573033707865E-2</v>
      </c>
    </row>
    <row r="7" spans="1:14" s="77" customFormat="1" ht="15.75">
      <c r="A7" s="603" t="s">
        <v>222</v>
      </c>
      <c r="B7" s="650">
        <v>7</v>
      </c>
      <c r="C7" s="650">
        <v>1031</v>
      </c>
      <c r="D7" s="650">
        <v>4066</v>
      </c>
      <c r="E7" s="650">
        <v>3112</v>
      </c>
      <c r="F7" s="650">
        <v>1708</v>
      </c>
      <c r="G7" s="650">
        <v>1053</v>
      </c>
      <c r="H7" s="1066">
        <f t="shared" si="0"/>
        <v>10977</v>
      </c>
      <c r="I7" s="662">
        <f t="shared" si="1"/>
        <v>6.3769700282408678E-4</v>
      </c>
      <c r="J7" s="662">
        <f t="shared" si="2"/>
        <v>9.3923658558804773E-2</v>
      </c>
      <c r="K7" s="662">
        <f t="shared" si="3"/>
        <v>0.37041085906896237</v>
      </c>
      <c r="L7" s="662">
        <f t="shared" si="4"/>
        <v>0.28350186754122253</v>
      </c>
      <c r="M7" s="662">
        <f t="shared" si="5"/>
        <v>0.15559806868907716</v>
      </c>
      <c r="N7" s="666">
        <f t="shared" si="6"/>
        <v>9.5927849139109039E-2</v>
      </c>
    </row>
    <row r="8" spans="1:14" s="77" customFormat="1" ht="15.75">
      <c r="A8" s="603" t="s">
        <v>223</v>
      </c>
      <c r="B8" s="650">
        <v>2</v>
      </c>
      <c r="C8" s="650">
        <v>2024</v>
      </c>
      <c r="D8" s="650">
        <v>5530</v>
      </c>
      <c r="E8" s="650">
        <v>3839</v>
      </c>
      <c r="F8" s="650">
        <v>2108</v>
      </c>
      <c r="G8" s="650">
        <v>1180</v>
      </c>
      <c r="H8" s="1066">
        <f t="shared" si="0"/>
        <v>14683</v>
      </c>
      <c r="I8" s="662">
        <f t="shared" si="1"/>
        <v>1.3621194578764559E-4</v>
      </c>
      <c r="J8" s="662">
        <f t="shared" si="2"/>
        <v>0.13784648913709732</v>
      </c>
      <c r="K8" s="662">
        <f t="shared" si="3"/>
        <v>0.37662603010284001</v>
      </c>
      <c r="L8" s="662">
        <f t="shared" si="4"/>
        <v>0.26145882993938568</v>
      </c>
      <c r="M8" s="662">
        <f t="shared" si="5"/>
        <v>0.14356739086017845</v>
      </c>
      <c r="N8" s="666">
        <f t="shared" si="6"/>
        <v>8.0365048014710894E-2</v>
      </c>
    </row>
    <row r="9" spans="1:14" s="77" customFormat="1" ht="15.75">
      <c r="A9" s="603" t="s">
        <v>192</v>
      </c>
      <c r="B9" s="650">
        <v>0</v>
      </c>
      <c r="C9" s="650">
        <v>3154</v>
      </c>
      <c r="D9" s="650">
        <v>6350</v>
      </c>
      <c r="E9" s="650">
        <v>4256</v>
      </c>
      <c r="F9" s="650">
        <v>2407</v>
      </c>
      <c r="G9" s="650">
        <v>1289</v>
      </c>
      <c r="H9" s="1066">
        <f t="shared" si="0"/>
        <v>17456</v>
      </c>
      <c r="I9" s="662">
        <f t="shared" si="1"/>
        <v>0</v>
      </c>
      <c r="J9" s="662">
        <f t="shared" si="2"/>
        <v>0.18068285976168652</v>
      </c>
      <c r="K9" s="662">
        <f t="shared" si="3"/>
        <v>0.3637717690192484</v>
      </c>
      <c r="L9" s="662">
        <f t="shared" si="4"/>
        <v>0.24381301558203483</v>
      </c>
      <c r="M9" s="662">
        <f t="shared" si="5"/>
        <v>0.13788955087076077</v>
      </c>
      <c r="N9" s="666">
        <f t="shared" si="6"/>
        <v>7.3842804766269476E-2</v>
      </c>
    </row>
    <row r="10" spans="1:14" s="77" customFormat="1" ht="15.75">
      <c r="A10" s="603">
        <v>2011</v>
      </c>
      <c r="B10" s="650">
        <v>6</v>
      </c>
      <c r="C10" s="650">
        <v>4931</v>
      </c>
      <c r="D10" s="650">
        <v>7715</v>
      </c>
      <c r="E10" s="650">
        <v>5319</v>
      </c>
      <c r="F10" s="650">
        <v>3017</v>
      </c>
      <c r="G10" s="650">
        <v>1609</v>
      </c>
      <c r="H10" s="1066">
        <f t="shared" si="0"/>
        <v>22597</v>
      </c>
      <c r="I10" s="662">
        <f t="shared" si="1"/>
        <v>2.6552197194317829E-4</v>
      </c>
      <c r="J10" s="662">
        <f t="shared" si="2"/>
        <v>0.21821480727530204</v>
      </c>
      <c r="K10" s="662">
        <f t="shared" si="3"/>
        <v>0.34141700225693677</v>
      </c>
      <c r="L10" s="662">
        <f t="shared" si="4"/>
        <v>0.23538522812762755</v>
      </c>
      <c r="M10" s="662">
        <f t="shared" si="5"/>
        <v>0.13351329822542815</v>
      </c>
      <c r="N10" s="666">
        <f t="shared" si="6"/>
        <v>7.1204142142762314E-2</v>
      </c>
    </row>
    <row r="11" spans="1:14" s="77" customFormat="1" ht="15.75">
      <c r="A11" s="603" t="s">
        <v>482</v>
      </c>
      <c r="B11" s="650">
        <v>18</v>
      </c>
      <c r="C11" s="650">
        <v>6875</v>
      </c>
      <c r="D11" s="650">
        <v>8611</v>
      </c>
      <c r="E11" s="650">
        <v>5883</v>
      </c>
      <c r="F11" s="650">
        <v>3457</v>
      </c>
      <c r="G11" s="650">
        <v>1844</v>
      </c>
      <c r="H11" s="1066">
        <f>SUM(B11:G11)</f>
        <v>26688</v>
      </c>
      <c r="I11" s="662">
        <f>B11/H11</f>
        <v>6.7446043165467629E-4</v>
      </c>
      <c r="J11" s="662">
        <f>C11/H11</f>
        <v>0.25760641486810554</v>
      </c>
      <c r="K11" s="662">
        <f>D11/H11</f>
        <v>0.32265437649880097</v>
      </c>
      <c r="L11" s="662">
        <f>E11/H11</f>
        <v>0.22043615107913669</v>
      </c>
      <c r="M11" s="662">
        <f>F11/H11</f>
        <v>0.12953387290167867</v>
      </c>
      <c r="N11" s="666">
        <f>G11/H11</f>
        <v>6.9094724220623502E-2</v>
      </c>
    </row>
    <row r="12" spans="1:14" s="77" customFormat="1" ht="15.75">
      <c r="A12" s="603" t="s">
        <v>561</v>
      </c>
      <c r="B12" s="650">
        <v>34</v>
      </c>
      <c r="C12" s="650">
        <v>8429</v>
      </c>
      <c r="D12" s="650">
        <v>8946</v>
      </c>
      <c r="E12" s="650">
        <v>5876</v>
      </c>
      <c r="F12" s="650">
        <v>3510</v>
      </c>
      <c r="G12" s="650">
        <v>1840</v>
      </c>
      <c r="H12" s="1066">
        <f>SUM(B12:G12)</f>
        <v>28635</v>
      </c>
      <c r="I12" s="662">
        <f>B12/H12</f>
        <v>1.1873581281648332E-3</v>
      </c>
      <c r="J12" s="662">
        <f>C12/H12</f>
        <v>0.29436004889121703</v>
      </c>
      <c r="K12" s="662">
        <f>D12/H12</f>
        <v>0.31241487689889996</v>
      </c>
      <c r="L12" s="662">
        <f>E12/H12</f>
        <v>0.20520342238519296</v>
      </c>
      <c r="M12" s="662">
        <f>F12/H12</f>
        <v>0.12257726558407543</v>
      </c>
      <c r="N12" s="666">
        <f>G12/H12</f>
        <v>6.4257028112449793E-2</v>
      </c>
    </row>
    <row r="13" spans="1:14" s="77" customFormat="1" ht="15.75">
      <c r="A13" s="603" t="s">
        <v>569</v>
      </c>
      <c r="B13" s="650">
        <v>80</v>
      </c>
      <c r="C13" s="650">
        <v>9624</v>
      </c>
      <c r="D13" s="650">
        <v>8806</v>
      </c>
      <c r="E13" s="650">
        <v>6269</v>
      </c>
      <c r="F13" s="650">
        <v>3876</v>
      </c>
      <c r="G13" s="650">
        <v>2377</v>
      </c>
      <c r="H13" s="1066">
        <f>SUM(B13:G13)</f>
        <v>31032</v>
      </c>
      <c r="I13" s="662">
        <f>B13/H13</f>
        <v>2.5779840164990978E-3</v>
      </c>
      <c r="J13" s="662">
        <f>C13/H13</f>
        <v>0.31013147718484146</v>
      </c>
      <c r="K13" s="662">
        <f>D13/H13</f>
        <v>0.28377159061613816</v>
      </c>
      <c r="L13" s="662">
        <f>E13/H13</f>
        <v>0.20201727249291054</v>
      </c>
      <c r="M13" s="662">
        <f>F13/H13</f>
        <v>0.12490332559938129</v>
      </c>
      <c r="N13" s="666">
        <f>G13/H13</f>
        <v>7.6598350090229445E-2</v>
      </c>
    </row>
    <row r="14" spans="1:14" s="77" customFormat="1" ht="15.75">
      <c r="A14" s="603" t="s">
        <v>1007</v>
      </c>
      <c r="B14" s="650">
        <f>165-30</f>
        <v>135</v>
      </c>
      <c r="C14" s="650">
        <f>12020-1000</f>
        <v>11020</v>
      </c>
      <c r="D14" s="650">
        <f>10376-819</f>
        <v>9557</v>
      </c>
      <c r="E14" s="650">
        <f>6571-466</f>
        <v>6105</v>
      </c>
      <c r="F14" s="650">
        <f>3782-297</f>
        <v>3485</v>
      </c>
      <c r="G14" s="650">
        <f>1635-119</f>
        <v>1516</v>
      </c>
      <c r="H14" s="1066">
        <f>SUM(B14:G14)</f>
        <v>31818</v>
      </c>
      <c r="I14" s="662">
        <f>B14/H14</f>
        <v>4.2428813878936447E-3</v>
      </c>
      <c r="J14" s="662">
        <f>C14/H14</f>
        <v>0.34634483625620716</v>
      </c>
      <c r="K14" s="662">
        <f>D14/H14</f>
        <v>0.30036457351184864</v>
      </c>
      <c r="L14" s="662">
        <f>E14/H14</f>
        <v>0.19187252498585705</v>
      </c>
      <c r="M14" s="662">
        <f>F14/H14</f>
        <v>0.10952919730969891</v>
      </c>
      <c r="N14" s="666">
        <f>G14/H14</f>
        <v>4.7645986548494564E-2</v>
      </c>
    </row>
    <row r="15" spans="1:14" s="77" customFormat="1" ht="15.75">
      <c r="A15" s="598" t="s">
        <v>23</v>
      </c>
      <c r="B15" s="663">
        <f>SUM(B4:B14)</f>
        <v>473</v>
      </c>
      <c r="C15" s="663">
        <f t="shared" ref="C15:H15" si="7">SUM(C4:C14)</f>
        <v>49586</v>
      </c>
      <c r="D15" s="663">
        <f t="shared" si="7"/>
        <v>66343</v>
      </c>
      <c r="E15" s="663">
        <f t="shared" si="7"/>
        <v>45357</v>
      </c>
      <c r="F15" s="663">
        <f t="shared" si="7"/>
        <v>26010</v>
      </c>
      <c r="G15" s="663">
        <f t="shared" si="7"/>
        <v>13927</v>
      </c>
      <c r="H15" s="1067">
        <f t="shared" si="7"/>
        <v>201696</v>
      </c>
      <c r="I15" s="664">
        <f t="shared" si="1"/>
        <v>2.3451134380453754E-3</v>
      </c>
      <c r="J15" s="664">
        <f t="shared" si="2"/>
        <v>0.24584523242900205</v>
      </c>
      <c r="K15" s="664">
        <f t="shared" si="3"/>
        <v>0.32892570997937493</v>
      </c>
      <c r="L15" s="664">
        <f t="shared" si="4"/>
        <v>0.22487803426939554</v>
      </c>
      <c r="M15" s="664">
        <f t="shared" si="5"/>
        <v>0.12895644930985245</v>
      </c>
      <c r="N15" s="665">
        <f t="shared" si="6"/>
        <v>6.9049460574329688E-2</v>
      </c>
    </row>
    <row r="16" spans="1:14" s="77" customFormat="1" ht="15.75">
      <c r="A16" s="2184" t="s">
        <v>721</v>
      </c>
      <c r="B16" s="2185"/>
      <c r="C16" s="2185"/>
      <c r="D16" s="2185"/>
      <c r="E16" s="2185"/>
      <c r="F16" s="2185"/>
    </row>
    <row r="17" spans="10:10" s="77" customFormat="1">
      <c r="J17" s="213"/>
    </row>
    <row r="18" spans="10:10" s="77" customFormat="1"/>
    <row r="19" spans="10:10" s="77" customFormat="1"/>
    <row r="20" spans="10:10" s="77" customFormat="1"/>
    <row r="21" spans="10:10" s="77" customFormat="1"/>
    <row r="22" spans="10:10" s="77" customFormat="1"/>
    <row r="23" spans="10:10" s="77" customFormat="1"/>
    <row r="24" spans="10:10" s="77" customFormat="1"/>
    <row r="25" spans="10:10" s="77" customFormat="1"/>
    <row r="26" spans="10:10" s="77" customFormat="1"/>
  </sheetData>
  <mergeCells count="2">
    <mergeCell ref="A1:N1"/>
    <mergeCell ref="A16:F16"/>
  </mergeCells>
  <printOptions horizontalCentered="1"/>
  <pageMargins left="0.39370078740157483" right="0.39370078740157483" top="0.23622047244094491" bottom="0.23622047244094491" header="0.31496062992125984" footer="0.31496062992125984"/>
  <pageSetup scale="60" orientation="landscape" r:id="rId1"/>
  <drawing r:id="rId2"/>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4">
    <tabColor rgb="FF66FF33"/>
    <pageSetUpPr fitToPage="1"/>
  </sheetPr>
  <dimension ref="A1:M26"/>
  <sheetViews>
    <sheetView showGridLines="0" view="pageBreakPreview" zoomScale="70" zoomScaleNormal="100" zoomScaleSheetLayoutView="70" workbookViewId="0">
      <selection activeCell="A3" sqref="A3"/>
    </sheetView>
  </sheetViews>
  <sheetFormatPr baseColWidth="10" defaultColWidth="11.42578125" defaultRowHeight="15"/>
  <cols>
    <col min="1" max="1" width="15.42578125" style="39" customWidth="1"/>
    <col min="2" max="2" width="12.140625" style="39" customWidth="1"/>
    <col min="3" max="3" width="11.7109375" style="39" customWidth="1"/>
    <col min="4" max="4" width="11.42578125" style="39" customWidth="1"/>
    <col min="5" max="5" width="12" style="39" customWidth="1"/>
    <col min="6" max="6" width="14.85546875" style="39" customWidth="1"/>
    <col min="7" max="7" width="12.140625" style="39" customWidth="1"/>
    <col min="8" max="8" width="13.7109375" style="39" customWidth="1"/>
    <col min="9" max="9" width="14.7109375" style="39" customWidth="1"/>
    <col min="10" max="10" width="15" style="39" customWidth="1"/>
    <col min="11" max="11" width="14.42578125" style="39" customWidth="1"/>
    <col min="12" max="12" width="16.7109375" style="39" customWidth="1"/>
    <col min="13" max="13" width="13.42578125" style="39" customWidth="1"/>
    <col min="14" max="14" width="3.5703125" style="39" customWidth="1"/>
    <col min="15" max="16384" width="11.42578125" style="39"/>
  </cols>
  <sheetData>
    <row r="1" spans="1:13" s="77" customFormat="1" ht="67.5" customHeight="1">
      <c r="A1" s="2071"/>
      <c r="B1" s="2071"/>
      <c r="C1" s="2071"/>
      <c r="D1" s="2071"/>
      <c r="E1" s="2071"/>
      <c r="F1" s="2071"/>
      <c r="G1" s="2071"/>
      <c r="H1" s="2071"/>
      <c r="I1" s="2071"/>
      <c r="J1" s="2071"/>
      <c r="K1" s="2071"/>
      <c r="L1" s="2071"/>
      <c r="M1" s="2071"/>
    </row>
    <row r="2" spans="1:13" s="77" customFormat="1" ht="3.75" customHeight="1">
      <c r="A2" s="134"/>
      <c r="B2" s="134"/>
      <c r="C2" s="134"/>
      <c r="D2" s="134"/>
      <c r="E2" s="134"/>
      <c r="F2" s="134"/>
      <c r="G2" s="134"/>
      <c r="H2" s="134"/>
      <c r="I2" s="134"/>
      <c r="J2" s="134"/>
      <c r="K2" s="134"/>
      <c r="L2" s="134"/>
      <c r="M2" s="134"/>
    </row>
    <row r="3" spans="1:13" s="134" customFormat="1" ht="31.5">
      <c r="A3" s="591" t="s">
        <v>0</v>
      </c>
      <c r="B3" s="594" t="s">
        <v>353</v>
      </c>
      <c r="C3" s="594" t="s">
        <v>352</v>
      </c>
      <c r="D3" s="594" t="s">
        <v>351</v>
      </c>
      <c r="E3" s="594" t="s">
        <v>350</v>
      </c>
      <c r="F3" s="594" t="s">
        <v>244</v>
      </c>
      <c r="G3" s="592" t="s">
        <v>140</v>
      </c>
      <c r="H3" s="594" t="s">
        <v>349</v>
      </c>
      <c r="I3" s="594" t="s">
        <v>348</v>
      </c>
      <c r="J3" s="594" t="s">
        <v>347</v>
      </c>
      <c r="K3" s="594" t="s">
        <v>346</v>
      </c>
      <c r="L3" s="595" t="s">
        <v>305</v>
      </c>
    </row>
    <row r="4" spans="1:13" s="77" customFormat="1" ht="15.75">
      <c r="A4" s="468">
        <v>2005</v>
      </c>
      <c r="B4" s="611">
        <v>15</v>
      </c>
      <c r="C4" s="611">
        <v>174</v>
      </c>
      <c r="D4" s="611">
        <v>220</v>
      </c>
      <c r="E4" s="611">
        <v>27</v>
      </c>
      <c r="F4" s="611">
        <v>3295</v>
      </c>
      <c r="G4" s="616">
        <f t="shared" ref="G4:G10" si="0">SUM(B4:F4)</f>
        <v>3731</v>
      </c>
      <c r="H4" s="569">
        <f t="shared" ref="H4:H15" si="1">B4/G4</f>
        <v>4.0203698740284106E-3</v>
      </c>
      <c r="I4" s="569">
        <f t="shared" ref="I4:I15" si="2">C4/G4</f>
        <v>4.6636290538729565E-2</v>
      </c>
      <c r="J4" s="569">
        <f t="shared" ref="J4:J15" si="3">D4/G4</f>
        <v>5.8965424819083359E-2</v>
      </c>
      <c r="K4" s="569">
        <f t="shared" ref="K4:K15" si="4">E4/G4</f>
        <v>7.2366657732511391E-3</v>
      </c>
      <c r="L4" s="615">
        <f t="shared" ref="L4:L15" si="5">F4/G4</f>
        <v>0.88314124899490754</v>
      </c>
    </row>
    <row r="5" spans="1:13" s="77" customFormat="1" ht="15.75">
      <c r="A5" s="468" t="s">
        <v>251</v>
      </c>
      <c r="B5" s="611">
        <v>25</v>
      </c>
      <c r="C5" s="611">
        <v>306</v>
      </c>
      <c r="D5" s="611">
        <v>376</v>
      </c>
      <c r="E5" s="611">
        <v>49</v>
      </c>
      <c r="F5" s="611">
        <v>4779</v>
      </c>
      <c r="G5" s="616">
        <f t="shared" si="0"/>
        <v>5535</v>
      </c>
      <c r="H5" s="569">
        <f t="shared" si="1"/>
        <v>4.5167118337850042E-3</v>
      </c>
      <c r="I5" s="569">
        <f t="shared" si="2"/>
        <v>5.5284552845528454E-2</v>
      </c>
      <c r="J5" s="569">
        <f t="shared" si="3"/>
        <v>6.793134598012647E-2</v>
      </c>
      <c r="K5" s="569">
        <f t="shared" si="4"/>
        <v>8.8527551942186086E-3</v>
      </c>
      <c r="L5" s="615">
        <f t="shared" si="5"/>
        <v>0.86341463414634145</v>
      </c>
    </row>
    <row r="6" spans="1:13" s="77" customFormat="1" ht="15.75">
      <c r="A6" s="468" t="s">
        <v>173</v>
      </c>
      <c r="B6" s="611">
        <v>155</v>
      </c>
      <c r="C6" s="611">
        <v>823</v>
      </c>
      <c r="D6" s="611">
        <v>951</v>
      </c>
      <c r="E6" s="611">
        <v>190</v>
      </c>
      <c r="F6" s="611">
        <v>6425</v>
      </c>
      <c r="G6" s="616">
        <f t="shared" si="0"/>
        <v>8544</v>
      </c>
      <c r="H6" s="569">
        <f t="shared" si="1"/>
        <v>1.8141385767790261E-2</v>
      </c>
      <c r="I6" s="569">
        <f t="shared" si="2"/>
        <v>9.6324906367041205E-2</v>
      </c>
      <c r="J6" s="569">
        <f t="shared" si="3"/>
        <v>0.1113061797752809</v>
      </c>
      <c r="K6" s="569">
        <f t="shared" si="4"/>
        <v>2.2237827715355804E-2</v>
      </c>
      <c r="L6" s="615">
        <f t="shared" si="5"/>
        <v>0.75198970037453183</v>
      </c>
    </row>
    <row r="7" spans="1:13" s="77" customFormat="1" ht="15.75">
      <c r="A7" s="468" t="s">
        <v>222</v>
      </c>
      <c r="B7" s="611">
        <v>429</v>
      </c>
      <c r="C7" s="611">
        <v>3165</v>
      </c>
      <c r="D7" s="611">
        <v>4060</v>
      </c>
      <c r="E7" s="611">
        <v>874</v>
      </c>
      <c r="F7" s="611">
        <v>2449</v>
      </c>
      <c r="G7" s="616">
        <f t="shared" si="0"/>
        <v>10977</v>
      </c>
      <c r="H7" s="569">
        <f t="shared" si="1"/>
        <v>3.9081716315933317E-2</v>
      </c>
      <c r="I7" s="569">
        <f t="shared" si="2"/>
        <v>0.2883301448483192</v>
      </c>
      <c r="J7" s="569">
        <f t="shared" si="3"/>
        <v>0.36986426163797032</v>
      </c>
      <c r="K7" s="569">
        <f t="shared" si="4"/>
        <v>7.9621025781178828E-2</v>
      </c>
      <c r="L7" s="615">
        <f t="shared" si="5"/>
        <v>0.22310285141659833</v>
      </c>
    </row>
    <row r="8" spans="1:13" s="77" customFormat="1" ht="15.75">
      <c r="A8" s="468" t="s">
        <v>223</v>
      </c>
      <c r="B8" s="611">
        <v>480</v>
      </c>
      <c r="C8" s="611">
        <v>5693</v>
      </c>
      <c r="D8" s="611">
        <v>7010</v>
      </c>
      <c r="E8" s="611">
        <v>1500</v>
      </c>
      <c r="F8" s="611">
        <v>0</v>
      </c>
      <c r="G8" s="616">
        <f t="shared" si="0"/>
        <v>14683</v>
      </c>
      <c r="H8" s="569">
        <f t="shared" si="1"/>
        <v>3.2690866989034936E-2</v>
      </c>
      <c r="I8" s="569">
        <f t="shared" si="2"/>
        <v>0.38772730368453312</v>
      </c>
      <c r="J8" s="569">
        <f t="shared" si="3"/>
        <v>0.47742286998569777</v>
      </c>
      <c r="K8" s="569">
        <f t="shared" si="4"/>
        <v>0.10215895934073418</v>
      </c>
      <c r="L8" s="615">
        <f t="shared" si="5"/>
        <v>0</v>
      </c>
    </row>
    <row r="9" spans="1:13" s="77" customFormat="1" ht="15.75">
      <c r="A9" s="468" t="s">
        <v>192</v>
      </c>
      <c r="B9" s="611">
        <v>467</v>
      </c>
      <c r="C9" s="611">
        <v>6918</v>
      </c>
      <c r="D9" s="611">
        <v>8285</v>
      </c>
      <c r="E9" s="611">
        <v>1785</v>
      </c>
      <c r="F9" s="611">
        <v>1</v>
      </c>
      <c r="G9" s="616">
        <f t="shared" si="0"/>
        <v>17456</v>
      </c>
      <c r="H9" s="569">
        <f t="shared" si="1"/>
        <v>2.6752978918423466E-2</v>
      </c>
      <c r="I9" s="569">
        <f t="shared" si="2"/>
        <v>0.39631072410632445</v>
      </c>
      <c r="J9" s="569">
        <f t="shared" si="3"/>
        <v>0.47462190650779101</v>
      </c>
      <c r="K9" s="569">
        <f t="shared" si="4"/>
        <v>0.10225710357470211</v>
      </c>
      <c r="L9" s="615">
        <f t="shared" si="5"/>
        <v>5.7286892758936757E-5</v>
      </c>
    </row>
    <row r="10" spans="1:13" s="77" customFormat="1" ht="15.75">
      <c r="A10" s="468">
        <v>2011</v>
      </c>
      <c r="B10" s="611">
        <v>628</v>
      </c>
      <c r="C10" s="611">
        <v>8566</v>
      </c>
      <c r="D10" s="611">
        <v>11097</v>
      </c>
      <c r="E10" s="611">
        <v>2299</v>
      </c>
      <c r="F10" s="611">
        <v>7</v>
      </c>
      <c r="G10" s="616">
        <f t="shared" si="0"/>
        <v>22597</v>
      </c>
      <c r="H10" s="569">
        <f t="shared" si="1"/>
        <v>2.7791299730052663E-2</v>
      </c>
      <c r="I10" s="569">
        <f t="shared" si="2"/>
        <v>0.37907686861087753</v>
      </c>
      <c r="J10" s="569">
        <f t="shared" si="3"/>
        <v>0.49108288710890824</v>
      </c>
      <c r="K10" s="569">
        <f t="shared" si="4"/>
        <v>0.10173916891622782</v>
      </c>
      <c r="L10" s="615">
        <f t="shared" si="5"/>
        <v>3.0977563393370803E-4</v>
      </c>
    </row>
    <row r="11" spans="1:13" s="77" customFormat="1" ht="16.5" customHeight="1">
      <c r="A11" s="468" t="s">
        <v>482</v>
      </c>
      <c r="B11" s="611">
        <v>938</v>
      </c>
      <c r="C11" s="611">
        <v>9676</v>
      </c>
      <c r="D11" s="611">
        <v>13383</v>
      </c>
      <c r="E11" s="611">
        <v>2656</v>
      </c>
      <c r="F11" s="611">
        <v>35</v>
      </c>
      <c r="G11" s="616">
        <f>SUM(B11:F11)</f>
        <v>26688</v>
      </c>
      <c r="H11" s="569">
        <f>B11/G11</f>
        <v>3.5146882494004793E-2</v>
      </c>
      <c r="I11" s="569">
        <f>C11/G11</f>
        <v>0.36255995203836933</v>
      </c>
      <c r="J11" s="569">
        <f>D11/G11</f>
        <v>0.5014613309352518</v>
      </c>
      <c r="K11" s="569">
        <f>E11/G11</f>
        <v>9.9520383693045569E-2</v>
      </c>
      <c r="L11" s="615">
        <f>F11/G11</f>
        <v>1.3114508393285373E-3</v>
      </c>
    </row>
    <row r="12" spans="1:13" s="77" customFormat="1" ht="15.75">
      <c r="A12" s="468" t="s">
        <v>561</v>
      </c>
      <c r="B12" s="611">
        <v>1292</v>
      </c>
      <c r="C12" s="611">
        <v>9365</v>
      </c>
      <c r="D12" s="611">
        <v>15118</v>
      </c>
      <c r="E12" s="611">
        <v>2851</v>
      </c>
      <c r="F12" s="611">
        <v>9</v>
      </c>
      <c r="G12" s="616">
        <f>SUM(B12:F12)</f>
        <v>28635</v>
      </c>
      <c r="H12" s="569">
        <f>B12/G12</f>
        <v>4.5119608870263665E-2</v>
      </c>
      <c r="I12" s="569">
        <f>C12/G12</f>
        <v>0.32704731971363715</v>
      </c>
      <c r="J12" s="569">
        <f>D12/G12</f>
        <v>0.52795529945870434</v>
      </c>
      <c r="K12" s="569">
        <f>E12/G12</f>
        <v>9.9563471276409993E-2</v>
      </c>
      <c r="L12" s="615">
        <f>F12/G12</f>
        <v>3.143006809848088E-4</v>
      </c>
    </row>
    <row r="13" spans="1:13" s="77" customFormat="1" ht="15.75">
      <c r="A13" s="468" t="s">
        <v>569</v>
      </c>
      <c r="B13" s="611">
        <v>817</v>
      </c>
      <c r="C13" s="611">
        <v>10565</v>
      </c>
      <c r="D13" s="611">
        <v>16396</v>
      </c>
      <c r="E13" s="611">
        <v>3252</v>
      </c>
      <c r="F13" s="611">
        <v>2</v>
      </c>
      <c r="G13" s="616">
        <f>SUM(B13:F13)</f>
        <v>31032</v>
      </c>
      <c r="H13" s="569">
        <f>B13/G13</f>
        <v>2.6327661768497036E-2</v>
      </c>
      <c r="I13" s="569">
        <f>C13/G13</f>
        <v>0.34045501417891211</v>
      </c>
      <c r="J13" s="569">
        <f>D13/G13</f>
        <v>0.52835782418149002</v>
      </c>
      <c r="K13" s="569">
        <f>E13/G13</f>
        <v>0.10479505027068832</v>
      </c>
      <c r="L13" s="615">
        <f>F13/G13</f>
        <v>6.4449600412477446E-5</v>
      </c>
    </row>
    <row r="14" spans="1:13" s="77" customFormat="1" ht="15.75">
      <c r="A14" s="468" t="s">
        <v>1007</v>
      </c>
      <c r="B14" s="611">
        <f>1298-154</f>
        <v>1144</v>
      </c>
      <c r="C14" s="611">
        <f>10404-769</f>
        <v>9635</v>
      </c>
      <c r="D14" s="611">
        <f>19290-1533</f>
        <v>17757</v>
      </c>
      <c r="E14" s="611">
        <f>3556-275</f>
        <v>3281</v>
      </c>
      <c r="F14" s="611">
        <v>1</v>
      </c>
      <c r="G14" s="617">
        <f>SUM(B14:F14)</f>
        <v>31818</v>
      </c>
      <c r="H14" s="569">
        <f>B14/G14</f>
        <v>3.5954491168520966E-2</v>
      </c>
      <c r="I14" s="569">
        <f>C14/G14</f>
        <v>0.30281601609152053</v>
      </c>
      <c r="J14" s="569">
        <f>D14/G14</f>
        <v>0.55808033188761075</v>
      </c>
      <c r="K14" s="569">
        <f>E14/G14</f>
        <v>0.1031177321013263</v>
      </c>
      <c r="L14" s="615">
        <f>F14/G14</f>
        <v>3.1428751021434405E-5</v>
      </c>
    </row>
    <row r="15" spans="1:13" s="77" customFormat="1" ht="15.75">
      <c r="A15" s="610" t="s">
        <v>23</v>
      </c>
      <c r="B15" s="612">
        <f t="shared" ref="B15:G15" si="6">SUM(B4:B14)</f>
        <v>6390</v>
      </c>
      <c r="C15" s="612">
        <f t="shared" si="6"/>
        <v>64886</v>
      </c>
      <c r="D15" s="612">
        <f t="shared" si="6"/>
        <v>94653</v>
      </c>
      <c r="E15" s="612">
        <f t="shared" si="6"/>
        <v>18764</v>
      </c>
      <c r="F15" s="612">
        <f t="shared" si="6"/>
        <v>17003</v>
      </c>
      <c r="G15" s="609">
        <f t="shared" si="6"/>
        <v>201696</v>
      </c>
      <c r="H15" s="613">
        <f t="shared" si="1"/>
        <v>3.1681342217991432E-2</v>
      </c>
      <c r="I15" s="613">
        <f t="shared" si="2"/>
        <v>0.32170196731715056</v>
      </c>
      <c r="J15" s="613">
        <f t="shared" si="3"/>
        <v>0.4692854593050928</v>
      </c>
      <c r="K15" s="613">
        <f t="shared" si="4"/>
        <v>9.3031096303347618E-2</v>
      </c>
      <c r="L15" s="614">
        <f t="shared" si="5"/>
        <v>8.4300134856417575E-2</v>
      </c>
    </row>
    <row r="16" spans="1:13" s="77" customFormat="1">
      <c r="A16" s="142"/>
    </row>
    <row r="17" spans="1:12" s="77" customFormat="1">
      <c r="A17" s="142"/>
    </row>
    <row r="18" spans="1:12" s="77" customFormat="1">
      <c r="A18" s="142"/>
      <c r="B18" s="141"/>
      <c r="C18" s="141"/>
      <c r="D18" s="141"/>
      <c r="E18" s="141"/>
      <c r="F18" s="141"/>
    </row>
    <row r="19" spans="1:12" s="77" customFormat="1">
      <c r="A19" s="142"/>
      <c r="B19" s="141"/>
      <c r="C19" s="141"/>
      <c r="D19" s="141"/>
      <c r="E19" s="141"/>
      <c r="F19" s="141"/>
    </row>
    <row r="20" spans="1:12" s="77" customFormat="1"/>
    <row r="21" spans="1:12" s="77" customFormat="1"/>
    <row r="22" spans="1:12" s="77" customFormat="1"/>
    <row r="23" spans="1:12" s="77" customFormat="1"/>
    <row r="24" spans="1:12" s="77" customFormat="1"/>
    <row r="25" spans="1:12" s="77" customFormat="1"/>
    <row r="26" spans="1:12">
      <c r="A26" s="77"/>
      <c r="B26" s="77"/>
      <c r="C26" s="77"/>
      <c r="D26" s="77"/>
      <c r="E26" s="77"/>
      <c r="F26" s="77"/>
      <c r="G26" s="77"/>
      <c r="H26" s="77"/>
      <c r="I26" s="77"/>
      <c r="J26" s="77"/>
      <c r="K26" s="77"/>
      <c r="L26" s="77"/>
    </row>
  </sheetData>
  <mergeCells count="1">
    <mergeCell ref="A1:M1"/>
  </mergeCells>
  <printOptions horizontalCentered="1"/>
  <pageMargins left="0.39370078740157483" right="0.39370078740157483" top="0.23622047244094491" bottom="0.23622047244094491" header="0.31496062992125984" footer="0.31496062992125984"/>
  <pageSetup scale="71" orientation="landscape" r:id="rId1"/>
  <drawing r:id="rId2"/>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5">
    <tabColor rgb="FF66FF33"/>
    <pageSetUpPr fitToPage="1"/>
  </sheetPr>
  <dimension ref="A1:M27"/>
  <sheetViews>
    <sheetView showGridLines="0" view="pageBreakPreview" zoomScale="85" zoomScaleNormal="100" zoomScaleSheetLayoutView="85" workbookViewId="0">
      <selection activeCell="A3" sqref="A3"/>
    </sheetView>
  </sheetViews>
  <sheetFormatPr baseColWidth="10" defaultColWidth="11.42578125" defaultRowHeight="15"/>
  <cols>
    <col min="1" max="1" width="15.42578125" style="39" customWidth="1"/>
    <col min="2" max="3" width="14" style="39" customWidth="1"/>
    <col min="4" max="5" width="12" style="39" customWidth="1"/>
    <col min="6" max="6" width="15" style="39" customWidth="1"/>
    <col min="7" max="7" width="18.42578125" style="39" customWidth="1"/>
    <col min="8" max="8" width="19.28515625" style="39" customWidth="1"/>
    <col min="9" max="9" width="17.5703125" style="39" customWidth="1"/>
    <col min="10" max="10" width="17.140625" style="39" customWidth="1"/>
    <col min="11" max="12" width="18.42578125" style="39" customWidth="1"/>
    <col min="13" max="13" width="36.42578125" style="39" customWidth="1"/>
    <col min="14" max="16384" width="11.42578125" style="39"/>
  </cols>
  <sheetData>
    <row r="1" spans="1:13" s="77" customFormat="1" ht="68.25" customHeight="1">
      <c r="A1" s="2183"/>
      <c r="B1" s="2183"/>
      <c r="C1" s="2183"/>
      <c r="D1" s="2183"/>
      <c r="E1" s="2183"/>
      <c r="F1" s="2183"/>
      <c r="G1" s="2183"/>
      <c r="H1" s="2183"/>
      <c r="I1" s="2183"/>
      <c r="J1" s="2183"/>
      <c r="K1" s="2183"/>
      <c r="L1" s="2183"/>
    </row>
    <row r="2" spans="1:13" s="38" customFormat="1" ht="4.5" customHeight="1">
      <c r="A2" s="620"/>
      <c r="B2" s="176"/>
      <c r="C2" s="176"/>
      <c r="D2" s="176"/>
      <c r="E2" s="176"/>
      <c r="F2" s="176"/>
      <c r="G2" s="176"/>
      <c r="H2" s="176"/>
      <c r="I2" s="176"/>
      <c r="J2" s="176"/>
      <c r="K2" s="176"/>
      <c r="L2" s="176"/>
    </row>
    <row r="3" spans="1:13" s="77" customFormat="1" ht="50.25" customHeight="1">
      <c r="A3" s="618" t="s">
        <v>0</v>
      </c>
      <c r="B3" s="623" t="s">
        <v>314</v>
      </c>
      <c r="C3" s="601" t="s">
        <v>313</v>
      </c>
      <c r="D3" s="618" t="s">
        <v>140</v>
      </c>
      <c r="E3" s="601" t="s">
        <v>312</v>
      </c>
      <c r="F3" s="601" t="s">
        <v>311</v>
      </c>
      <c r="G3" s="623" t="s">
        <v>317</v>
      </c>
      <c r="H3" s="601" t="s">
        <v>316</v>
      </c>
      <c r="I3" s="601" t="s">
        <v>315</v>
      </c>
      <c r="J3" s="601" t="s">
        <v>456</v>
      </c>
      <c r="K3" s="602" t="s">
        <v>457</v>
      </c>
    </row>
    <row r="4" spans="1:13" s="77" customFormat="1" ht="15.75" hidden="1">
      <c r="A4" s="844" t="s">
        <v>252</v>
      </c>
      <c r="B4" s="1206">
        <v>90</v>
      </c>
      <c r="C4" s="1207">
        <v>3640</v>
      </c>
      <c r="D4" s="1881">
        <f t="shared" ref="D4:D14" si="0">SUM(B4:C4)</f>
        <v>3730</v>
      </c>
      <c r="E4" s="1208">
        <f t="shared" ref="E4:E15" si="1">B4/D4</f>
        <v>2.4128686327077747E-2</v>
      </c>
      <c r="F4" s="1208">
        <f t="shared" ref="F4:F15" si="2">C4/D4</f>
        <v>0.97587131367292224</v>
      </c>
      <c r="G4" s="1287"/>
      <c r="H4" s="845"/>
      <c r="I4" s="845"/>
      <c r="J4" s="845"/>
      <c r="K4" s="846"/>
    </row>
    <row r="5" spans="1:13" s="77" customFormat="1" ht="15.75" hidden="1">
      <c r="A5" s="844" t="s">
        <v>251</v>
      </c>
      <c r="B5" s="1206">
        <v>253</v>
      </c>
      <c r="C5" s="1207">
        <v>5282</v>
      </c>
      <c r="D5" s="1881">
        <f t="shared" si="0"/>
        <v>5535</v>
      </c>
      <c r="E5" s="1208">
        <f t="shared" si="1"/>
        <v>4.5709123757904244E-2</v>
      </c>
      <c r="F5" s="1208">
        <f t="shared" si="2"/>
        <v>0.95429087624209574</v>
      </c>
      <c r="G5" s="1287"/>
      <c r="H5" s="845"/>
      <c r="I5" s="845"/>
      <c r="J5" s="845"/>
      <c r="K5" s="846"/>
    </row>
    <row r="6" spans="1:13" s="77" customFormat="1" ht="15.75" hidden="1">
      <c r="A6" s="844" t="s">
        <v>173</v>
      </c>
      <c r="B6" s="1206">
        <v>445</v>
      </c>
      <c r="C6" s="1207">
        <v>8099</v>
      </c>
      <c r="D6" s="1881">
        <f t="shared" si="0"/>
        <v>8544</v>
      </c>
      <c r="E6" s="1208">
        <f t="shared" si="1"/>
        <v>5.2083333333333336E-2</v>
      </c>
      <c r="F6" s="1208">
        <f t="shared" si="2"/>
        <v>0.94791666666666663</v>
      </c>
      <c r="G6" s="1287"/>
      <c r="H6" s="845"/>
      <c r="I6" s="845"/>
      <c r="J6" s="845"/>
      <c r="K6" s="846"/>
    </row>
    <row r="7" spans="1:13" s="77" customFormat="1" ht="15.75">
      <c r="A7" s="624" t="s">
        <v>222</v>
      </c>
      <c r="B7" s="1209">
        <v>660</v>
      </c>
      <c r="C7" s="454">
        <v>10317</v>
      </c>
      <c r="D7" s="1069">
        <f t="shared" si="0"/>
        <v>10977</v>
      </c>
      <c r="E7" s="1210">
        <f t="shared" si="1"/>
        <v>6.0125717409128178E-2</v>
      </c>
      <c r="F7" s="1210">
        <f t="shared" si="2"/>
        <v>0.9398742825908718</v>
      </c>
      <c r="G7" s="1288">
        <f>201642+123254</f>
        <v>324896</v>
      </c>
      <c r="H7" s="1211">
        <v>863333</v>
      </c>
      <c r="I7" s="1212">
        <f t="shared" ref="I7:I13" si="3">SUM(G7:H7)</f>
        <v>1188229</v>
      </c>
      <c r="J7" s="1210">
        <f>B7/G7</f>
        <v>2.0314192849404116E-3</v>
      </c>
      <c r="K7" s="1213">
        <f>C7/H7</f>
        <v>1.1950197664168983E-2</v>
      </c>
    </row>
    <row r="8" spans="1:13" s="77" customFormat="1" ht="15.75">
      <c r="A8" s="624" t="s">
        <v>223</v>
      </c>
      <c r="B8" s="1209">
        <v>986</v>
      </c>
      <c r="C8" s="454">
        <v>13698</v>
      </c>
      <c r="D8" s="1069">
        <f t="shared" si="0"/>
        <v>14684</v>
      </c>
      <c r="E8" s="1210">
        <f t="shared" si="1"/>
        <v>6.7147916099155547E-2</v>
      </c>
      <c r="F8" s="1210">
        <f t="shared" si="2"/>
        <v>0.93285208390084451</v>
      </c>
      <c r="G8" s="1288">
        <v>357975</v>
      </c>
      <c r="H8" s="1211">
        <v>869750</v>
      </c>
      <c r="I8" s="1212">
        <f t="shared" si="3"/>
        <v>1227725</v>
      </c>
      <c r="J8" s="1210">
        <f t="shared" ref="J8:K11" si="4">B8/G8</f>
        <v>2.7543822892660101E-3</v>
      </c>
      <c r="K8" s="1213">
        <f t="shared" si="4"/>
        <v>1.5749353262431733E-2</v>
      </c>
    </row>
    <row r="9" spans="1:13" s="77" customFormat="1" ht="15.75">
      <c r="A9" s="624" t="s">
        <v>192</v>
      </c>
      <c r="B9" s="1209">
        <v>1477</v>
      </c>
      <c r="C9" s="454">
        <v>15979</v>
      </c>
      <c r="D9" s="1069">
        <f t="shared" si="0"/>
        <v>17456</v>
      </c>
      <c r="E9" s="1210">
        <f t="shared" si="1"/>
        <v>8.4612740604949582E-2</v>
      </c>
      <c r="F9" s="1210">
        <f t="shared" si="2"/>
        <v>0.91538725939505039</v>
      </c>
      <c r="G9" s="1288">
        <v>355259</v>
      </c>
      <c r="H9" s="1211">
        <v>943828</v>
      </c>
      <c r="I9" s="1212">
        <f t="shared" si="3"/>
        <v>1299087</v>
      </c>
      <c r="J9" s="1210">
        <f t="shared" si="4"/>
        <v>4.1575301399823794E-3</v>
      </c>
      <c r="K9" s="1213">
        <f t="shared" si="4"/>
        <v>1.6929991481498749E-2</v>
      </c>
      <c r="M9" s="39"/>
    </row>
    <row r="10" spans="1:13" s="77" customFormat="1" ht="15.75">
      <c r="A10" s="624" t="s">
        <v>224</v>
      </c>
      <c r="B10" s="1209">
        <v>2094</v>
      </c>
      <c r="C10" s="454">
        <v>20503</v>
      </c>
      <c r="D10" s="1069">
        <f t="shared" si="0"/>
        <v>22597</v>
      </c>
      <c r="E10" s="1210">
        <f t="shared" si="1"/>
        <v>9.2667168208169226E-2</v>
      </c>
      <c r="F10" s="1210">
        <f t="shared" si="2"/>
        <v>0.90733283179183077</v>
      </c>
      <c r="G10" s="1288">
        <v>369264</v>
      </c>
      <c r="H10" s="1211">
        <v>998527</v>
      </c>
      <c r="I10" s="1212">
        <f t="shared" si="3"/>
        <v>1367791</v>
      </c>
      <c r="J10" s="1210">
        <f t="shared" si="4"/>
        <v>5.6707396334329911E-3</v>
      </c>
      <c r="K10" s="1213">
        <f t="shared" si="4"/>
        <v>2.0533245470578162E-2</v>
      </c>
      <c r="M10" s="39"/>
    </row>
    <row r="11" spans="1:13" s="77" customFormat="1" ht="15.75">
      <c r="A11" s="624" t="s">
        <v>482</v>
      </c>
      <c r="B11" s="1209">
        <v>3858</v>
      </c>
      <c r="C11" s="454">
        <v>22830</v>
      </c>
      <c r="D11" s="1069">
        <f t="shared" si="0"/>
        <v>26688</v>
      </c>
      <c r="E11" s="1210">
        <f t="shared" si="1"/>
        <v>0.1445593525179856</v>
      </c>
      <c r="F11" s="1210">
        <f t="shared" si="2"/>
        <v>0.85544064748201443</v>
      </c>
      <c r="G11" s="1288">
        <f>156354+235330</f>
        <v>391684</v>
      </c>
      <c r="H11" s="1211">
        <v>1035050</v>
      </c>
      <c r="I11" s="1212">
        <f t="shared" si="3"/>
        <v>1426734</v>
      </c>
      <c r="J11" s="1210">
        <f t="shared" si="4"/>
        <v>9.8497768609389202E-3</v>
      </c>
      <c r="K11" s="1213">
        <f t="shared" si="4"/>
        <v>2.2056905463504178E-2</v>
      </c>
      <c r="M11" s="39"/>
    </row>
    <row r="12" spans="1:13" s="77" customFormat="1" ht="18.75" customHeight="1">
      <c r="A12" s="624" t="s">
        <v>561</v>
      </c>
      <c r="B12" s="1209">
        <v>4451</v>
      </c>
      <c r="C12" s="454">
        <v>24184</v>
      </c>
      <c r="D12" s="1069">
        <f t="shared" si="0"/>
        <v>28635</v>
      </c>
      <c r="E12" s="1210">
        <f t="shared" si="1"/>
        <v>0.15543914789593155</v>
      </c>
      <c r="F12" s="1210">
        <f t="shared" si="2"/>
        <v>0.84456085210406839</v>
      </c>
      <c r="G12" s="1288">
        <f>166811+249006</f>
        <v>415817</v>
      </c>
      <c r="H12" s="1211">
        <v>1110841</v>
      </c>
      <c r="I12" s="1212">
        <f t="shared" si="3"/>
        <v>1526658</v>
      </c>
      <c r="J12" s="1210">
        <f t="shared" ref="J12:K14" si="5">B12/G12</f>
        <v>1.0704228061863753E-2</v>
      </c>
      <c r="K12" s="1213">
        <f t="shared" si="5"/>
        <v>2.1770892503967715E-2</v>
      </c>
      <c r="M12" s="39"/>
    </row>
    <row r="13" spans="1:13" s="77" customFormat="1" ht="18" customHeight="1">
      <c r="A13" s="624" t="s">
        <v>569</v>
      </c>
      <c r="B13" s="1209">
        <v>5112</v>
      </c>
      <c r="C13" s="454">
        <v>25920</v>
      </c>
      <c r="D13" s="1069">
        <f t="shared" si="0"/>
        <v>31032</v>
      </c>
      <c r="E13" s="1210">
        <f t="shared" si="1"/>
        <v>0.16473317865429235</v>
      </c>
      <c r="F13" s="1210">
        <f t="shared" si="2"/>
        <v>0.83526682134570762</v>
      </c>
      <c r="G13" s="1288">
        <f>176595+281039</f>
        <v>457634</v>
      </c>
      <c r="H13" s="1211">
        <v>1193568</v>
      </c>
      <c r="I13" s="1212">
        <f t="shared" si="3"/>
        <v>1651202</v>
      </c>
      <c r="J13" s="1210">
        <f t="shared" si="5"/>
        <v>1.1170498695464061E-2</v>
      </c>
      <c r="K13" s="1213">
        <f t="shared" si="5"/>
        <v>2.1716399903482668E-2</v>
      </c>
      <c r="M13" s="159"/>
    </row>
    <row r="14" spans="1:13" s="77" customFormat="1" ht="15" customHeight="1">
      <c r="A14" s="624" t="s">
        <v>1006</v>
      </c>
      <c r="B14" s="1214">
        <f>+'V.4.6. NA.Cant. accid x sector'!B14</f>
        <v>4994</v>
      </c>
      <c r="C14" s="1215">
        <f>+'V.4.6. NA.Cant. accid x sector'!C14</f>
        <v>26824</v>
      </c>
      <c r="D14" s="1070">
        <f t="shared" si="0"/>
        <v>31818</v>
      </c>
      <c r="E14" s="1216">
        <f t="shared" si="1"/>
        <v>0.15695518260104344</v>
      </c>
      <c r="F14" s="1216">
        <f t="shared" si="2"/>
        <v>0.84304481739895654</v>
      </c>
      <c r="G14" s="1486">
        <f>185821+301621</f>
        <v>487442</v>
      </c>
      <c r="H14" s="1487">
        <v>1263247</v>
      </c>
      <c r="I14" s="1217">
        <f>SUM(G14:H14)</f>
        <v>1750689</v>
      </c>
      <c r="J14" s="1216">
        <f t="shared" si="5"/>
        <v>1.0245321494659877E-2</v>
      </c>
      <c r="K14" s="1218">
        <f t="shared" si="5"/>
        <v>2.1234168773011135E-2</v>
      </c>
      <c r="M14" s="39"/>
    </row>
    <row r="15" spans="1:13" s="77" customFormat="1" ht="15.75">
      <c r="A15" s="618" t="s">
        <v>23</v>
      </c>
      <c r="B15" s="625">
        <f>SUM(B4:B14)</f>
        <v>24420</v>
      </c>
      <c r="C15" s="625">
        <f>SUM(C4:C14)</f>
        <v>177276</v>
      </c>
      <c r="D15" s="1070">
        <f>SUM(D7:D14)</f>
        <v>183887</v>
      </c>
      <c r="E15" s="1216">
        <f t="shared" si="1"/>
        <v>0.13279894717951785</v>
      </c>
      <c r="F15" s="1218">
        <f t="shared" si="2"/>
        <v>0.96404857330860805</v>
      </c>
      <c r="G15" s="1199"/>
      <c r="H15" s="1199"/>
      <c r="I15" s="1199"/>
      <c r="J15" s="1199"/>
      <c r="K15" s="1199"/>
      <c r="L15" s="39"/>
    </row>
    <row r="16" spans="1:13" s="77" customFormat="1">
      <c r="B16" s="186"/>
      <c r="C16" s="186"/>
      <c r="D16" s="186"/>
      <c r="K16" s="39"/>
      <c r="L16" s="39"/>
    </row>
    <row r="17" spans="1:12" s="77" customFormat="1">
      <c r="K17" s="39"/>
      <c r="L17" s="39"/>
    </row>
    <row r="18" spans="1:12" s="77" customFormat="1"/>
    <row r="19" spans="1:12" s="77" customFormat="1"/>
    <row r="20" spans="1:12" s="77" customFormat="1"/>
    <row r="21" spans="1:12" s="77" customFormat="1"/>
    <row r="22" spans="1:12" s="77" customFormat="1"/>
    <row r="23" spans="1:12" s="77" customFormat="1"/>
    <row r="24" spans="1:12" s="77" customFormat="1"/>
    <row r="25" spans="1:12" s="77" customFormat="1"/>
    <row r="26" spans="1:12">
      <c r="A26" s="77"/>
      <c r="B26" s="77"/>
      <c r="C26" s="77"/>
      <c r="D26" s="77"/>
      <c r="E26" s="77"/>
      <c r="F26" s="77"/>
    </row>
    <row r="27" spans="1:12">
      <c r="K27" s="140"/>
    </row>
  </sheetData>
  <mergeCells count="1">
    <mergeCell ref="A1:L1"/>
  </mergeCells>
  <printOptions horizontalCentered="1"/>
  <pageMargins left="0.39370078740157483" right="0.39370078740157483" top="0.23622047244094491" bottom="0.23622047244094491" header="0.31496062992125984" footer="0.31496062992125984"/>
  <pageSetup scale="68" orientation="landscape" r:id="rId1"/>
  <drawing r:id="rId2"/>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6">
    <tabColor rgb="FF66FF33"/>
    <pageSetUpPr fitToPage="1"/>
  </sheetPr>
  <dimension ref="A1:N47"/>
  <sheetViews>
    <sheetView showGridLines="0" view="pageBreakPreview" zoomScaleNormal="100" zoomScaleSheetLayoutView="100" workbookViewId="0">
      <selection activeCell="A3" sqref="A3"/>
    </sheetView>
  </sheetViews>
  <sheetFormatPr baseColWidth="10" defaultColWidth="11.42578125" defaultRowHeight="15"/>
  <cols>
    <col min="1" max="1" width="16.28515625" style="39" customWidth="1"/>
    <col min="2" max="3" width="14.140625" style="39" customWidth="1"/>
    <col min="4" max="4" width="13.85546875" style="39" customWidth="1"/>
    <col min="5" max="5" width="14.42578125" style="39" customWidth="1"/>
    <col min="6" max="6" width="14.7109375" style="39" customWidth="1"/>
    <col min="7" max="7" width="14.140625" style="39" customWidth="1"/>
    <col min="8" max="8" width="16.7109375" style="39" customWidth="1"/>
    <col min="9" max="9" width="17.28515625" style="39" customWidth="1"/>
    <col min="10" max="10" width="19.140625" style="39" customWidth="1"/>
    <col min="11" max="11" width="16.7109375" style="39" customWidth="1"/>
    <col min="12" max="12" width="14.42578125" style="39" customWidth="1"/>
    <col min="13" max="16384" width="11.42578125" style="39"/>
  </cols>
  <sheetData>
    <row r="1" spans="1:14" s="77" customFormat="1" ht="66" customHeight="1">
      <c r="A1" s="2052"/>
      <c r="B1" s="2052"/>
      <c r="C1" s="2052"/>
      <c r="D1" s="2052"/>
      <c r="E1" s="2052"/>
      <c r="F1" s="2052"/>
      <c r="G1" s="2052"/>
      <c r="H1" s="2052"/>
      <c r="I1" s="2052"/>
      <c r="J1" s="2052"/>
      <c r="K1" s="2052"/>
      <c r="L1" s="2052"/>
    </row>
    <row r="2" spans="1:14" s="77" customFormat="1" ht="14.25" customHeight="1">
      <c r="A2" s="154"/>
      <c r="B2" s="154"/>
      <c r="C2" s="154"/>
      <c r="D2" s="154"/>
      <c r="E2" s="154"/>
      <c r="F2" s="154"/>
      <c r="G2" s="154"/>
      <c r="H2" s="154"/>
      <c r="I2" s="154"/>
      <c r="J2" s="154"/>
      <c r="K2" s="154"/>
      <c r="L2" s="154"/>
    </row>
    <row r="3" spans="1:14" s="134" customFormat="1" ht="46.5" customHeight="1">
      <c r="A3" s="457" t="s">
        <v>25</v>
      </c>
      <c r="B3" s="643" t="s">
        <v>325</v>
      </c>
      <c r="C3" s="488" t="s">
        <v>324</v>
      </c>
      <c r="D3" s="1743" t="s">
        <v>323</v>
      </c>
      <c r="E3" s="488" t="s">
        <v>220</v>
      </c>
      <c r="F3" s="488" t="s">
        <v>219</v>
      </c>
      <c r="G3" s="488" t="s">
        <v>322</v>
      </c>
      <c r="H3" s="488" t="s">
        <v>321</v>
      </c>
      <c r="I3" s="1743" t="s">
        <v>320</v>
      </c>
      <c r="J3" s="488" t="s">
        <v>319</v>
      </c>
      <c r="K3" s="489" t="s">
        <v>318</v>
      </c>
      <c r="L3" s="154"/>
    </row>
    <row r="4" spans="1:14" s="77" customFormat="1" ht="15.75">
      <c r="A4" s="468" t="s">
        <v>222</v>
      </c>
      <c r="B4" s="644">
        <v>2072</v>
      </c>
      <c r="C4" s="638">
        <v>8905</v>
      </c>
      <c r="D4" s="1744">
        <f t="shared" ref="D4:D11" si="0">B4+C4</f>
        <v>10977</v>
      </c>
      <c r="E4" s="637">
        <f t="shared" ref="E4:E11" si="1">B4/D4</f>
        <v>0.18875831283592967</v>
      </c>
      <c r="F4" s="637">
        <f t="shared" ref="F4:F11" si="2">C4/D4</f>
        <v>0.8112416871640703</v>
      </c>
      <c r="G4" s="638">
        <v>502153</v>
      </c>
      <c r="H4" s="638">
        <v>686076</v>
      </c>
      <c r="I4" s="1744">
        <f>+H4+G4</f>
        <v>1188229</v>
      </c>
      <c r="J4" s="637">
        <f t="shared" ref="J4:K6" si="3">B4/G4</f>
        <v>4.1262324431000112E-3</v>
      </c>
      <c r="K4" s="639">
        <f t="shared" si="3"/>
        <v>1.2979611588220547E-2</v>
      </c>
    </row>
    <row r="5" spans="1:14" s="77" customFormat="1" ht="15.75">
      <c r="A5" s="468" t="s">
        <v>223</v>
      </c>
      <c r="B5" s="645">
        <v>3076</v>
      </c>
      <c r="C5" s="281">
        <v>11608</v>
      </c>
      <c r="D5" s="1278">
        <f t="shared" si="0"/>
        <v>14684</v>
      </c>
      <c r="E5" s="632">
        <f t="shared" si="1"/>
        <v>0.20947970580223371</v>
      </c>
      <c r="F5" s="632">
        <f t="shared" si="2"/>
        <v>0.79052029419776626</v>
      </c>
      <c r="G5" s="281">
        <v>524956</v>
      </c>
      <c r="H5" s="281">
        <v>702769</v>
      </c>
      <c r="I5" s="1278">
        <f t="shared" ref="I5:I11" si="4">+H5+G5</f>
        <v>1227725</v>
      </c>
      <c r="J5" s="632">
        <f>B5/G5</f>
        <v>5.8595387041961615E-3</v>
      </c>
      <c r="K5" s="636">
        <f>C5/H5</f>
        <v>1.6517518558729825E-2</v>
      </c>
    </row>
    <row r="6" spans="1:14" s="77" customFormat="1" ht="15.75">
      <c r="A6" s="468" t="s">
        <v>192</v>
      </c>
      <c r="B6" s="645">
        <v>3938</v>
      </c>
      <c r="C6" s="281">
        <v>13518</v>
      </c>
      <c r="D6" s="1278">
        <f t="shared" si="0"/>
        <v>17456</v>
      </c>
      <c r="E6" s="632">
        <f t="shared" si="1"/>
        <v>0.22559578368469294</v>
      </c>
      <c r="F6" s="632">
        <f t="shared" si="2"/>
        <v>0.77440421631530709</v>
      </c>
      <c r="G6" s="281">
        <v>558699</v>
      </c>
      <c r="H6" s="281">
        <v>740388</v>
      </c>
      <c r="I6" s="1278">
        <f t="shared" si="4"/>
        <v>1299087</v>
      </c>
      <c r="J6" s="632">
        <f t="shared" si="3"/>
        <v>7.0485180750278773E-3</v>
      </c>
      <c r="K6" s="636">
        <f t="shared" si="3"/>
        <v>1.8257994456960403E-2</v>
      </c>
    </row>
    <row r="7" spans="1:14" s="77" customFormat="1" ht="15.75">
      <c r="A7" s="468" t="s">
        <v>224</v>
      </c>
      <c r="B7" s="645">
        <v>5638</v>
      </c>
      <c r="C7" s="281">
        <v>16959</v>
      </c>
      <c r="D7" s="1278">
        <f t="shared" si="0"/>
        <v>22597</v>
      </c>
      <c r="E7" s="632">
        <f t="shared" si="1"/>
        <v>0.24950214630260653</v>
      </c>
      <c r="F7" s="632">
        <f t="shared" si="2"/>
        <v>0.75049785369739341</v>
      </c>
      <c r="G7" s="281">
        <v>590403</v>
      </c>
      <c r="H7" s="281">
        <v>777388</v>
      </c>
      <c r="I7" s="1278">
        <f t="shared" si="4"/>
        <v>1367791</v>
      </c>
      <c r="J7" s="632">
        <f t="shared" ref="J7:K11" si="5">B7/G7</f>
        <v>9.5494094711578367E-3</v>
      </c>
      <c r="K7" s="636">
        <f t="shared" si="5"/>
        <v>2.1815361183861855E-2</v>
      </c>
      <c r="L7" s="23"/>
    </row>
    <row r="8" spans="1:14" s="77" customFormat="1" ht="15.75">
      <c r="A8" s="468" t="s">
        <v>482</v>
      </c>
      <c r="B8" s="626">
        <v>7022</v>
      </c>
      <c r="C8" s="593">
        <v>19666</v>
      </c>
      <c r="D8" s="1073">
        <f t="shared" si="0"/>
        <v>26688</v>
      </c>
      <c r="E8" s="634">
        <f t="shared" si="1"/>
        <v>0.26311450839328537</v>
      </c>
      <c r="F8" s="634">
        <f t="shared" si="2"/>
        <v>0.73688549160671468</v>
      </c>
      <c r="G8" s="593">
        <v>619448</v>
      </c>
      <c r="H8" s="593">
        <v>807286</v>
      </c>
      <c r="I8" s="1278">
        <f t="shared" si="4"/>
        <v>1426734</v>
      </c>
      <c r="J8" s="632">
        <f t="shared" si="5"/>
        <v>1.1335899058516615E-2</v>
      </c>
      <c r="K8" s="636">
        <f t="shared" si="5"/>
        <v>2.4360635512073788E-2</v>
      </c>
      <c r="L8" s="23"/>
    </row>
    <row r="9" spans="1:14" s="77" customFormat="1" ht="15.75">
      <c r="A9" s="468" t="s">
        <v>561</v>
      </c>
      <c r="B9" s="626">
        <f>18+7821</f>
        <v>7839</v>
      </c>
      <c r="C9" s="593">
        <v>20796</v>
      </c>
      <c r="D9" s="1073">
        <f t="shared" si="0"/>
        <v>28635</v>
      </c>
      <c r="E9" s="634">
        <f t="shared" si="1"/>
        <v>0.27375589313776849</v>
      </c>
      <c r="F9" s="634">
        <f t="shared" si="2"/>
        <v>0.72624410686223151</v>
      </c>
      <c r="G9" s="593">
        <v>669009</v>
      </c>
      <c r="H9" s="593">
        <v>857649</v>
      </c>
      <c r="I9" s="1278">
        <f t="shared" si="4"/>
        <v>1526658</v>
      </c>
      <c r="J9" s="632">
        <f t="shared" si="5"/>
        <v>1.1717331156979951E-2</v>
      </c>
      <c r="K9" s="636">
        <f t="shared" si="5"/>
        <v>2.4247681743930209E-2</v>
      </c>
      <c r="L9" s="23"/>
    </row>
    <row r="10" spans="1:14" s="77" customFormat="1" ht="15.75">
      <c r="A10" s="468" t="s">
        <v>569</v>
      </c>
      <c r="B10" s="626">
        <v>8865</v>
      </c>
      <c r="C10" s="593">
        <v>22167</v>
      </c>
      <c r="D10" s="1073">
        <f t="shared" si="0"/>
        <v>31032</v>
      </c>
      <c r="E10" s="634">
        <f t="shared" si="1"/>
        <v>0.28567285382830626</v>
      </c>
      <c r="F10" s="634">
        <f t="shared" si="2"/>
        <v>0.71432714617169368</v>
      </c>
      <c r="G10" s="593">
        <v>730833</v>
      </c>
      <c r="H10" s="593">
        <v>920369</v>
      </c>
      <c r="I10" s="1278">
        <f t="shared" si="4"/>
        <v>1651202</v>
      </c>
      <c r="J10" s="632">
        <f t="shared" si="5"/>
        <v>1.2129994129985919E-2</v>
      </c>
      <c r="K10" s="636">
        <f t="shared" si="5"/>
        <v>2.4084905076116211E-2</v>
      </c>
      <c r="L10" s="23"/>
    </row>
    <row r="11" spans="1:14" s="77" customFormat="1" ht="15.75">
      <c r="A11" s="468" t="s">
        <v>1007</v>
      </c>
      <c r="B11" s="626">
        <f>+'V.4.7. Accid x sexo'!B14</f>
        <v>9276</v>
      </c>
      <c r="C11" s="593">
        <f>+'V.4.7. Accid x sexo'!C14</f>
        <v>22542</v>
      </c>
      <c r="D11" s="1073">
        <f t="shared" si="0"/>
        <v>31818</v>
      </c>
      <c r="E11" s="640">
        <f t="shared" si="1"/>
        <v>0.29153309447482556</v>
      </c>
      <c r="F11" s="640">
        <f t="shared" si="2"/>
        <v>0.70846690552517444</v>
      </c>
      <c r="G11" s="628">
        <v>972128</v>
      </c>
      <c r="H11" s="628">
        <v>778561</v>
      </c>
      <c r="I11" s="1071">
        <f t="shared" si="4"/>
        <v>1750689</v>
      </c>
      <c r="J11" s="641">
        <f t="shared" si="5"/>
        <v>9.5419533230191901E-3</v>
      </c>
      <c r="K11" s="642">
        <f t="shared" si="5"/>
        <v>2.8953415339324728E-2</v>
      </c>
      <c r="L11" s="23"/>
    </row>
    <row r="12" spans="1:14" s="134" customFormat="1" ht="18" customHeight="1">
      <c r="A12" s="646" t="s">
        <v>23</v>
      </c>
      <c r="B12" s="647">
        <f>SUM(B4:B11)</f>
        <v>47726</v>
      </c>
      <c r="C12" s="635">
        <f>SUM(C4:C11)</f>
        <v>136161</v>
      </c>
      <c r="D12" s="1745">
        <f>SUM(D4:D11)</f>
        <v>183887</v>
      </c>
      <c r="E12" s="77"/>
      <c r="F12" s="77"/>
      <c r="G12" s="77"/>
      <c r="H12" s="77"/>
      <c r="I12" s="77"/>
      <c r="J12" s="77"/>
      <c r="K12" s="77"/>
      <c r="L12" s="205"/>
    </row>
    <row r="13" spans="1:14" s="77" customFormat="1">
      <c r="L13" s="39"/>
      <c r="N13" s="156"/>
    </row>
    <row r="14" spans="1:14" s="77" customFormat="1" ht="15.75">
      <c r="H14" s="145"/>
      <c r="I14" s="145"/>
      <c r="L14" s="39"/>
      <c r="N14" s="156"/>
    </row>
    <row r="15" spans="1:14" s="77" customFormat="1">
      <c r="L15" s="23"/>
      <c r="N15" s="156"/>
    </row>
    <row r="16" spans="1:14" s="77" customFormat="1">
      <c r="L16" s="23"/>
    </row>
    <row r="17" spans="12:12" s="77" customFormat="1">
      <c r="L17" s="23"/>
    </row>
    <row r="18" spans="12:12" s="77" customFormat="1">
      <c r="L18" s="23"/>
    </row>
    <row r="19" spans="12:12" s="77" customFormat="1">
      <c r="L19" s="23"/>
    </row>
    <row r="20" spans="12:12" s="77" customFormat="1">
      <c r="L20" s="23"/>
    </row>
    <row r="21" spans="12:12" s="77" customFormat="1">
      <c r="L21" s="23"/>
    </row>
    <row r="22" spans="12:12" s="77" customFormat="1">
      <c r="L22" s="23"/>
    </row>
    <row r="23" spans="12:12" s="77" customFormat="1">
      <c r="L23" s="23"/>
    </row>
    <row r="24" spans="12:12" s="77" customFormat="1">
      <c r="L24" s="23"/>
    </row>
    <row r="25" spans="12:12" s="77" customFormat="1">
      <c r="L25" s="23"/>
    </row>
    <row r="26" spans="12:12" s="77" customFormat="1">
      <c r="L26" s="23"/>
    </row>
    <row r="27" spans="12:12" s="77" customFormat="1">
      <c r="L27" s="23"/>
    </row>
    <row r="28" spans="12:12" s="77" customFormat="1">
      <c r="L28" s="23"/>
    </row>
    <row r="29" spans="12:12" s="77" customFormat="1">
      <c r="L29" s="23"/>
    </row>
    <row r="30" spans="12:12" s="77" customFormat="1">
      <c r="L30" s="23"/>
    </row>
    <row r="31" spans="12:12" s="77" customFormat="1">
      <c r="L31" s="23"/>
    </row>
    <row r="32" spans="12:12" s="77" customFormat="1">
      <c r="L32" s="23"/>
    </row>
    <row r="33" spans="3:3" s="77" customFormat="1"/>
    <row r="34" spans="3:3" s="77" customFormat="1"/>
    <row r="35" spans="3:3" s="77" customFormat="1" ht="15.75">
      <c r="C35" s="135"/>
    </row>
    <row r="36" spans="3:3" s="77" customFormat="1"/>
    <row r="37" spans="3:3" s="77" customFormat="1"/>
    <row r="38" spans="3:3" s="77" customFormat="1"/>
    <row r="39" spans="3:3" s="77" customFormat="1"/>
    <row r="40" spans="3:3" s="77" customFormat="1"/>
    <row r="41" spans="3:3" s="77" customFormat="1"/>
    <row r="42" spans="3:3" s="77" customFormat="1"/>
    <row r="43" spans="3:3" s="77" customFormat="1"/>
    <row r="44" spans="3:3" s="77" customFormat="1"/>
    <row r="45" spans="3:3" s="77" customFormat="1"/>
    <row r="46" spans="3:3" s="77" customFormat="1"/>
    <row r="47" spans="3:3" s="77" customFormat="1"/>
  </sheetData>
  <mergeCells count="1">
    <mergeCell ref="A1:L1"/>
  </mergeCells>
  <printOptions horizontalCentered="1"/>
  <pageMargins left="0.39370078740157483" right="0.39370078740157483" top="0.23622047244094491" bottom="0.23622047244094491" header="0.31496062992125984" footer="0.31496062992125984"/>
  <pageSetup scale="70" orientation="landscape" r:id="rId1"/>
  <drawing r:id="rId2"/>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7">
    <tabColor rgb="FF66FF33"/>
    <pageSetUpPr fitToPage="1"/>
  </sheetPr>
  <dimension ref="A1:V35"/>
  <sheetViews>
    <sheetView showGridLines="0" view="pageBreakPreview" zoomScale="70" zoomScaleNormal="100" zoomScaleSheetLayoutView="70" workbookViewId="0">
      <selection activeCell="A3" sqref="A3"/>
    </sheetView>
  </sheetViews>
  <sheetFormatPr baseColWidth="10" defaultColWidth="11.42578125" defaultRowHeight="15"/>
  <cols>
    <col min="1" max="1" width="15.85546875" style="39" customWidth="1"/>
    <col min="2" max="2" width="14" style="39" customWidth="1"/>
    <col min="3" max="6" width="9.7109375" style="39" bestFit="1" customWidth="1"/>
    <col min="7" max="7" width="12.42578125" style="39" bestFit="1" customWidth="1"/>
    <col min="8" max="8" width="10.140625" style="39" bestFit="1" customWidth="1"/>
    <col min="9" max="9" width="15.28515625" style="39" bestFit="1" customWidth="1"/>
    <col min="10" max="10" width="12.85546875" style="39" bestFit="1" customWidth="1"/>
    <col min="11" max="11" width="12" style="39" bestFit="1" customWidth="1"/>
    <col min="12" max="12" width="12.42578125" style="39" bestFit="1" customWidth="1"/>
    <col min="13" max="13" width="11" style="39" customWidth="1"/>
    <col min="14" max="14" width="13.140625" style="39" bestFit="1" customWidth="1"/>
    <col min="15" max="15" width="13.85546875" style="39" customWidth="1"/>
    <col min="16" max="16" width="15.42578125" style="39" customWidth="1"/>
    <col min="17" max="17" width="21.140625" style="39" customWidth="1"/>
    <col min="18" max="18" width="16.5703125" style="39" customWidth="1"/>
    <col min="19" max="19" width="12" style="39" customWidth="1"/>
    <col min="20" max="21" width="12.28515625" style="39" customWidth="1"/>
    <col min="22" max="16384" width="11.42578125" style="39"/>
  </cols>
  <sheetData>
    <row r="1" spans="1:22" s="77" customFormat="1" ht="66.75" customHeight="1">
      <c r="A1" s="2071"/>
      <c r="B1" s="2071"/>
      <c r="C1" s="2071"/>
      <c r="D1" s="2071"/>
      <c r="E1" s="2071"/>
      <c r="F1" s="2071"/>
      <c r="G1" s="2071"/>
      <c r="H1" s="2071"/>
      <c r="I1" s="2071"/>
      <c r="J1" s="2071"/>
      <c r="K1" s="2071"/>
      <c r="L1" s="2071"/>
      <c r="M1" s="2071"/>
      <c r="N1" s="2071"/>
      <c r="O1" s="2071"/>
      <c r="P1" s="2071"/>
      <c r="Q1" s="2071"/>
      <c r="R1" s="2071"/>
      <c r="S1" s="2071"/>
      <c r="T1" s="2071"/>
      <c r="U1" s="2071"/>
    </row>
    <row r="2" spans="1:22" s="77" customFormat="1" ht="7.5" customHeight="1">
      <c r="A2" s="2186"/>
      <c r="B2" s="2187"/>
      <c r="C2" s="2187"/>
      <c r="D2" s="2187"/>
      <c r="E2" s="2187"/>
      <c r="F2" s="2187"/>
      <c r="G2" s="2187"/>
      <c r="H2" s="2187"/>
      <c r="I2" s="2187"/>
      <c r="J2" s="2187"/>
      <c r="K2" s="2187"/>
      <c r="L2" s="2187"/>
      <c r="M2" s="2187"/>
      <c r="N2" s="2187"/>
      <c r="O2" s="2187"/>
      <c r="P2" s="2187"/>
      <c r="Q2" s="2187"/>
      <c r="R2" s="2187"/>
      <c r="S2" s="2187"/>
      <c r="T2" s="2187"/>
      <c r="U2" s="2188"/>
    </row>
    <row r="3" spans="1:22" s="134" customFormat="1" ht="51" customHeight="1">
      <c r="A3" s="591" t="s">
        <v>0</v>
      </c>
      <c r="B3" s="594" t="s">
        <v>345</v>
      </c>
      <c r="C3" s="594" t="s">
        <v>334</v>
      </c>
      <c r="D3" s="594" t="s">
        <v>333</v>
      </c>
      <c r="E3" s="594" t="s">
        <v>332</v>
      </c>
      <c r="F3" s="594" t="s">
        <v>331</v>
      </c>
      <c r="G3" s="594" t="s">
        <v>344</v>
      </c>
      <c r="H3" s="592" t="s">
        <v>140</v>
      </c>
      <c r="I3" s="594" t="s">
        <v>343</v>
      </c>
      <c r="J3" s="594" t="s">
        <v>334</v>
      </c>
      <c r="K3" s="594" t="s">
        <v>333</v>
      </c>
      <c r="L3" s="594" t="s">
        <v>332</v>
      </c>
      <c r="M3" s="594" t="s">
        <v>331</v>
      </c>
      <c r="N3" s="594" t="s">
        <v>330</v>
      </c>
      <c r="O3" s="592" t="s">
        <v>342</v>
      </c>
      <c r="P3" s="594" t="s">
        <v>341</v>
      </c>
      <c r="Q3" s="594" t="s">
        <v>340</v>
      </c>
      <c r="R3" s="594" t="s">
        <v>339</v>
      </c>
      <c r="S3" s="594" t="s">
        <v>338</v>
      </c>
      <c r="T3" s="594" t="s">
        <v>337</v>
      </c>
      <c r="U3" s="595" t="s">
        <v>336</v>
      </c>
    </row>
    <row r="4" spans="1:22" s="996" customFormat="1" ht="15.75">
      <c r="A4" s="1042" t="s">
        <v>222</v>
      </c>
      <c r="B4" s="1043">
        <v>7</v>
      </c>
      <c r="C4" s="1044">
        <v>1031</v>
      </c>
      <c r="D4" s="1044">
        <v>4066</v>
      </c>
      <c r="E4" s="1044">
        <v>3112</v>
      </c>
      <c r="F4" s="1044">
        <v>1708</v>
      </c>
      <c r="G4" s="1044">
        <f>24+1029</f>
        <v>1053</v>
      </c>
      <c r="H4" s="1068">
        <f>SUM(B4:G4)</f>
        <v>10977</v>
      </c>
      <c r="I4" s="1044">
        <v>22989</v>
      </c>
      <c r="J4" s="1044">
        <v>351184</v>
      </c>
      <c r="K4" s="1044">
        <v>350381</v>
      </c>
      <c r="L4" s="1044">
        <v>260446</v>
      </c>
      <c r="M4" s="1044">
        <v>139328</v>
      </c>
      <c r="N4" s="1044">
        <v>63901</v>
      </c>
      <c r="O4" s="1072">
        <f t="shared" ref="O4:O11" si="0">+N4+M4+L4+K4+J4+I4</f>
        <v>1188229</v>
      </c>
      <c r="P4" s="1045">
        <f t="shared" ref="P4:U7" si="1">B4/I4</f>
        <v>3.0449345339075211E-4</v>
      </c>
      <c r="Q4" s="1045">
        <f t="shared" si="1"/>
        <v>2.9357829513873071E-3</v>
      </c>
      <c r="R4" s="1045">
        <f t="shared" si="1"/>
        <v>1.1604510518549807E-2</v>
      </c>
      <c r="S4" s="1045">
        <f t="shared" si="1"/>
        <v>1.1948734094591585E-2</v>
      </c>
      <c r="T4" s="1045">
        <f t="shared" si="1"/>
        <v>1.2258842443729904E-2</v>
      </c>
      <c r="U4" s="1046">
        <f t="shared" si="1"/>
        <v>1.6478615358132109E-2</v>
      </c>
    </row>
    <row r="5" spans="1:22" s="996" customFormat="1" ht="15.75">
      <c r="A5" s="447" t="s">
        <v>223</v>
      </c>
      <c r="B5" s="626">
        <v>2</v>
      </c>
      <c r="C5" s="593">
        <v>2024</v>
      </c>
      <c r="D5" s="593">
        <v>5530</v>
      </c>
      <c r="E5" s="593">
        <v>3839</v>
      </c>
      <c r="F5" s="593">
        <v>2108</v>
      </c>
      <c r="G5" s="593">
        <f>49+1132</f>
        <v>1181</v>
      </c>
      <c r="H5" s="1069">
        <f t="shared" ref="H5:H11" si="2">SUM(B5:G5)</f>
        <v>14684</v>
      </c>
      <c r="I5" s="593">
        <v>22230</v>
      </c>
      <c r="J5" s="593">
        <v>349422</v>
      </c>
      <c r="K5" s="593">
        <v>357517</v>
      </c>
      <c r="L5" s="593">
        <v>270321</v>
      </c>
      <c r="M5" s="593">
        <v>153630</v>
      </c>
      <c r="N5" s="593">
        <v>74605</v>
      </c>
      <c r="O5" s="1073">
        <f t="shared" si="0"/>
        <v>1227725</v>
      </c>
      <c r="P5" s="657">
        <f t="shared" ref="P5:U5" si="3">B5/I5</f>
        <v>8.9968511021142601E-5</v>
      </c>
      <c r="Q5" s="657">
        <f t="shared" si="3"/>
        <v>5.7924229155576924E-3</v>
      </c>
      <c r="R5" s="657">
        <f t="shared" si="3"/>
        <v>1.5467795936976423E-2</v>
      </c>
      <c r="S5" s="657">
        <f t="shared" si="3"/>
        <v>1.4201634353231898E-2</v>
      </c>
      <c r="T5" s="657">
        <f t="shared" si="3"/>
        <v>1.3721278396146586E-2</v>
      </c>
      <c r="U5" s="660">
        <f t="shared" si="3"/>
        <v>1.5830038201192949E-2</v>
      </c>
    </row>
    <row r="6" spans="1:22" s="996" customFormat="1" ht="15.75">
      <c r="A6" s="447" t="s">
        <v>192</v>
      </c>
      <c r="B6" s="626">
        <v>0</v>
      </c>
      <c r="C6" s="593">
        <v>3154</v>
      </c>
      <c r="D6" s="593">
        <v>6350</v>
      </c>
      <c r="E6" s="593">
        <v>4256</v>
      </c>
      <c r="F6" s="593">
        <v>2407</v>
      </c>
      <c r="G6" s="593">
        <f>85+1204</f>
        <v>1289</v>
      </c>
      <c r="H6" s="1069">
        <f t="shared" si="2"/>
        <v>17456</v>
      </c>
      <c r="I6" s="593">
        <v>23191</v>
      </c>
      <c r="J6" s="593">
        <v>371288</v>
      </c>
      <c r="K6" s="593">
        <v>379357</v>
      </c>
      <c r="L6" s="593">
        <v>283217</v>
      </c>
      <c r="M6" s="593">
        <v>161898</v>
      </c>
      <c r="N6" s="593">
        <v>80136</v>
      </c>
      <c r="O6" s="1073">
        <f t="shared" si="0"/>
        <v>1299087</v>
      </c>
      <c r="P6" s="657">
        <f t="shared" si="1"/>
        <v>0</v>
      </c>
      <c r="Q6" s="657">
        <f t="shared" si="1"/>
        <v>8.4947533989786911E-3</v>
      </c>
      <c r="R6" s="657">
        <f t="shared" si="1"/>
        <v>1.6738850212332974E-2</v>
      </c>
      <c r="S6" s="657">
        <f t="shared" si="1"/>
        <v>1.5027346522277971E-2</v>
      </c>
      <c r="T6" s="657">
        <f t="shared" si="1"/>
        <v>1.4867385637870758E-2</v>
      </c>
      <c r="U6" s="660">
        <f t="shared" si="1"/>
        <v>1.6085155236098634E-2</v>
      </c>
    </row>
    <row r="7" spans="1:22" s="996" customFormat="1" ht="15.75">
      <c r="A7" s="447" t="s">
        <v>224</v>
      </c>
      <c r="B7" s="626">
        <v>6</v>
      </c>
      <c r="C7" s="593">
        <v>4931</v>
      </c>
      <c r="D7" s="593">
        <v>7715</v>
      </c>
      <c r="E7" s="593">
        <v>5319</v>
      </c>
      <c r="F7" s="593">
        <v>3017</v>
      </c>
      <c r="G7" s="593">
        <f>141+1468</f>
        <v>1609</v>
      </c>
      <c r="H7" s="1069">
        <f t="shared" si="2"/>
        <v>22597</v>
      </c>
      <c r="I7" s="593">
        <v>23232</v>
      </c>
      <c r="J7" s="593">
        <v>386518</v>
      </c>
      <c r="K7" s="593">
        <v>398328</v>
      </c>
      <c r="L7" s="593">
        <v>298491</v>
      </c>
      <c r="M7" s="593">
        <v>172808</v>
      </c>
      <c r="N7" s="593">
        <v>88414</v>
      </c>
      <c r="O7" s="1073">
        <f t="shared" si="0"/>
        <v>1367791</v>
      </c>
      <c r="P7" s="657">
        <f t="shared" si="1"/>
        <v>2.5826446280991736E-4</v>
      </c>
      <c r="Q7" s="657">
        <f t="shared" si="1"/>
        <v>1.2757491242322479E-2</v>
      </c>
      <c r="R7" s="657">
        <f t="shared" si="1"/>
        <v>1.9368460163483359E-2</v>
      </c>
      <c r="S7" s="657">
        <f t="shared" si="1"/>
        <v>1.7819632752746315E-2</v>
      </c>
      <c r="T7" s="657">
        <f t="shared" si="1"/>
        <v>1.7458682468404242E-2</v>
      </c>
      <c r="U7" s="660">
        <f t="shared" si="1"/>
        <v>1.8198475354581852E-2</v>
      </c>
    </row>
    <row r="8" spans="1:22" s="996" customFormat="1" ht="15.75">
      <c r="A8" s="447" t="s">
        <v>482</v>
      </c>
      <c r="B8" s="626">
        <v>18</v>
      </c>
      <c r="C8" s="593">
        <v>6875</v>
      </c>
      <c r="D8" s="593">
        <v>8611</v>
      </c>
      <c r="E8" s="593">
        <v>5883</v>
      </c>
      <c r="F8" s="593">
        <v>3457</v>
      </c>
      <c r="G8" s="593">
        <f>204+1640</f>
        <v>1844</v>
      </c>
      <c r="H8" s="1069">
        <f t="shared" si="2"/>
        <v>26688</v>
      </c>
      <c r="I8" s="593">
        <v>21475</v>
      </c>
      <c r="J8" s="593">
        <v>400126</v>
      </c>
      <c r="K8" s="593">
        <v>414303</v>
      </c>
      <c r="L8" s="593">
        <v>313227</v>
      </c>
      <c r="M8" s="593">
        <v>182801</v>
      </c>
      <c r="N8" s="593">
        <v>94802</v>
      </c>
      <c r="O8" s="1073">
        <f t="shared" si="0"/>
        <v>1426734</v>
      </c>
      <c r="P8" s="657">
        <f t="shared" ref="P8:U8" si="4">B8/I8</f>
        <v>8.3818393480791613E-4</v>
      </c>
      <c r="Q8" s="657">
        <f t="shared" si="4"/>
        <v>1.7182087642392645E-2</v>
      </c>
      <c r="R8" s="657">
        <f t="shared" si="4"/>
        <v>2.0784305206575864E-2</v>
      </c>
      <c r="S8" s="657">
        <f t="shared" si="4"/>
        <v>1.8781905774406422E-2</v>
      </c>
      <c r="T8" s="657">
        <f t="shared" si="4"/>
        <v>1.8911275102433796E-2</v>
      </c>
      <c r="U8" s="660">
        <f t="shared" si="4"/>
        <v>1.9451066433197613E-2</v>
      </c>
    </row>
    <row r="9" spans="1:22" s="996" customFormat="1" ht="15.75">
      <c r="A9" s="447" t="s">
        <v>561</v>
      </c>
      <c r="B9" s="626">
        <v>34</v>
      </c>
      <c r="C9" s="593">
        <v>8429</v>
      </c>
      <c r="D9" s="593">
        <v>8946</v>
      </c>
      <c r="E9" s="593">
        <v>5876</v>
      </c>
      <c r="F9" s="593">
        <v>3510</v>
      </c>
      <c r="G9" s="593">
        <f>227+1613</f>
        <v>1840</v>
      </c>
      <c r="H9" s="1069">
        <f t="shared" si="2"/>
        <v>28635</v>
      </c>
      <c r="I9" s="593">
        <v>20589</v>
      </c>
      <c r="J9" s="593">
        <v>426931</v>
      </c>
      <c r="K9" s="593">
        <v>440354</v>
      </c>
      <c r="L9" s="593">
        <v>332451</v>
      </c>
      <c r="M9" s="593">
        <v>201166</v>
      </c>
      <c r="N9" s="593">
        <v>105167</v>
      </c>
      <c r="O9" s="1073">
        <f t="shared" si="0"/>
        <v>1526658</v>
      </c>
      <c r="P9" s="657">
        <f t="shared" ref="P9:U11" si="5">B9/I9</f>
        <v>1.651367234931274E-3</v>
      </c>
      <c r="Q9" s="657">
        <f t="shared" si="5"/>
        <v>1.9743237197579935E-2</v>
      </c>
      <c r="R9" s="657">
        <f t="shared" si="5"/>
        <v>2.0315473459989009E-2</v>
      </c>
      <c r="S9" s="657">
        <f t="shared" si="5"/>
        <v>1.7674785156308749E-2</v>
      </c>
      <c r="T9" s="657">
        <f t="shared" si="5"/>
        <v>1.7448276547726752E-2</v>
      </c>
      <c r="U9" s="660">
        <f t="shared" si="5"/>
        <v>1.7495982580086909E-2</v>
      </c>
    </row>
    <row r="10" spans="1:22" s="996" customFormat="1" ht="15.75">
      <c r="A10" s="447" t="s">
        <v>569</v>
      </c>
      <c r="B10" s="626">
        <v>80</v>
      </c>
      <c r="C10" s="593">
        <f>751+8873</f>
        <v>9624</v>
      </c>
      <c r="D10" s="593">
        <f>752+8054</f>
        <v>8806</v>
      </c>
      <c r="E10" s="593">
        <f>752+5517</f>
        <v>6269</v>
      </c>
      <c r="F10" s="593">
        <f>752+3124</f>
        <v>3876</v>
      </c>
      <c r="G10" s="593">
        <f>752+1625</f>
        <v>2377</v>
      </c>
      <c r="H10" s="1069">
        <f t="shared" si="2"/>
        <v>31032</v>
      </c>
      <c r="I10" s="593">
        <v>21039</v>
      </c>
      <c r="J10" s="593">
        <v>459696</v>
      </c>
      <c r="K10" s="593">
        <v>473047</v>
      </c>
      <c r="L10" s="593">
        <v>356103</v>
      </c>
      <c r="M10" s="593">
        <v>221286</v>
      </c>
      <c r="N10" s="593">
        <v>120031</v>
      </c>
      <c r="O10" s="1073">
        <f t="shared" si="0"/>
        <v>1651202</v>
      </c>
      <c r="P10" s="657">
        <f t="shared" si="5"/>
        <v>3.8024620942059984E-3</v>
      </c>
      <c r="Q10" s="657">
        <f t="shared" si="5"/>
        <v>2.0935574814660123E-2</v>
      </c>
      <c r="R10" s="657">
        <f t="shared" si="5"/>
        <v>1.8615486410441247E-2</v>
      </c>
      <c r="S10" s="657">
        <f t="shared" si="5"/>
        <v>1.7604457137401257E-2</v>
      </c>
      <c r="T10" s="657">
        <f t="shared" si="5"/>
        <v>1.751579404029175E-2</v>
      </c>
      <c r="U10" s="660">
        <f t="shared" si="5"/>
        <v>1.9803217502145278E-2</v>
      </c>
    </row>
    <row r="11" spans="1:22" s="996" customFormat="1" ht="15.75">
      <c r="A11" s="461" t="s">
        <v>1012</v>
      </c>
      <c r="B11" s="627">
        <f>+'V.4.8. Accid x rango de edad'!B14</f>
        <v>135</v>
      </c>
      <c r="C11" s="628">
        <f>+'V.4.8. Accid x rango de edad'!C14</f>
        <v>11020</v>
      </c>
      <c r="D11" s="628">
        <f>+'V.4.8. Accid x rango de edad'!D14</f>
        <v>9557</v>
      </c>
      <c r="E11" s="628">
        <f>+'V.4.8. Accid x rango de edad'!E14</f>
        <v>6105</v>
      </c>
      <c r="F11" s="628">
        <f>+'V.4.8. Accid x rango de edad'!F14</f>
        <v>3485</v>
      </c>
      <c r="G11" s="628">
        <f>+'V.4.8. Accid x rango de edad'!G14</f>
        <v>1516</v>
      </c>
      <c r="H11" s="1070">
        <f t="shared" si="2"/>
        <v>31818</v>
      </c>
      <c r="I11" s="628">
        <v>25113</v>
      </c>
      <c r="J11" s="628">
        <f>215885+275315</f>
        <v>491200</v>
      </c>
      <c r="K11" s="628">
        <f>257142+238643</f>
        <v>495785</v>
      </c>
      <c r="L11" s="628">
        <f>200943+172607</f>
        <v>373550</v>
      </c>
      <c r="M11" s="628">
        <f>137689+97250</f>
        <v>234939</v>
      </c>
      <c r="N11" s="628">
        <f>62572+34605+16806+9041+4259+2819</f>
        <v>130102</v>
      </c>
      <c r="O11" s="1074">
        <f t="shared" si="0"/>
        <v>1750689</v>
      </c>
      <c r="P11" s="1047">
        <f>B11/I11</f>
        <v>5.3757018277386217E-3</v>
      </c>
      <c r="Q11" s="1047">
        <f t="shared" si="5"/>
        <v>2.2434853420195439E-2</v>
      </c>
      <c r="R11" s="1047">
        <f t="shared" si="5"/>
        <v>1.9276500902608993E-2</v>
      </c>
      <c r="S11" s="1047">
        <f t="shared" si="5"/>
        <v>1.6343193682237987E-2</v>
      </c>
      <c r="T11" s="1047">
        <f t="shared" si="5"/>
        <v>1.4833637667649901E-2</v>
      </c>
      <c r="U11" s="1048">
        <f t="shared" si="5"/>
        <v>1.1652395812516333E-2</v>
      </c>
    </row>
    <row r="12" spans="1:22" s="77" customFormat="1" ht="15.75">
      <c r="A12" s="750" t="s">
        <v>23</v>
      </c>
      <c r="B12" s="649">
        <f t="shared" ref="B12:H12" si="6">SUM(B4:B11)</f>
        <v>282</v>
      </c>
      <c r="C12" s="649">
        <f t="shared" si="6"/>
        <v>47088</v>
      </c>
      <c r="D12" s="649">
        <f t="shared" si="6"/>
        <v>59581</v>
      </c>
      <c r="E12" s="649">
        <f t="shared" si="6"/>
        <v>40659</v>
      </c>
      <c r="F12" s="649">
        <f t="shared" si="6"/>
        <v>23568</v>
      </c>
      <c r="G12" s="649">
        <f t="shared" si="6"/>
        <v>12709</v>
      </c>
      <c r="H12" s="1071">
        <f t="shared" si="6"/>
        <v>183887</v>
      </c>
      <c r="I12" s="1334"/>
      <c r="J12" s="1333"/>
      <c r="Q12" s="657"/>
      <c r="V12" s="146"/>
    </row>
    <row r="13" spans="1:22" s="77" customFormat="1" ht="15.75">
      <c r="V13" s="146"/>
    </row>
    <row r="14" spans="1:22" s="77" customFormat="1" ht="15.75">
      <c r="V14" s="146"/>
    </row>
    <row r="15" spans="1:22" s="77" customFormat="1" ht="15.75">
      <c r="V15" s="146"/>
    </row>
    <row r="16" spans="1:22" s="77" customFormat="1" ht="15.75">
      <c r="P16" s="39"/>
      <c r="Q16" s="39"/>
      <c r="R16" s="39"/>
      <c r="S16" s="39"/>
      <c r="T16" s="39"/>
      <c r="U16" s="39"/>
      <c r="V16" s="146"/>
    </row>
    <row r="17" spans="14:22" s="77" customFormat="1" ht="15.75">
      <c r="T17" s="139"/>
      <c r="U17" s="146"/>
      <c r="V17" s="146"/>
    </row>
    <row r="18" spans="14:22" s="77" customFormat="1" ht="15.75">
      <c r="T18" s="139"/>
      <c r="U18" s="146"/>
      <c r="V18" s="146"/>
    </row>
    <row r="19" spans="14:22" s="77" customFormat="1" ht="15.75">
      <c r="T19" s="139"/>
      <c r="U19" s="146"/>
      <c r="V19" s="146"/>
    </row>
    <row r="20" spans="14:22" s="77" customFormat="1" ht="15.75">
      <c r="T20" s="139"/>
      <c r="U20" s="146"/>
      <c r="V20" s="146"/>
    </row>
    <row r="21" spans="14:22" s="77" customFormat="1" ht="15.75">
      <c r="T21" s="139"/>
      <c r="U21" s="146"/>
      <c r="V21" s="146"/>
    </row>
    <row r="22" spans="14:22" s="77" customFormat="1" ht="15.75">
      <c r="T22" s="139"/>
      <c r="U22" s="146"/>
      <c r="V22" s="146"/>
    </row>
    <row r="23" spans="14:22" ht="15.75">
      <c r="T23" s="139"/>
      <c r="U23" s="146"/>
      <c r="V23" s="146"/>
    </row>
    <row r="24" spans="14:22" ht="15.75">
      <c r="N24" s="140"/>
      <c r="O24" s="140"/>
      <c r="T24" s="139"/>
      <c r="U24" s="146"/>
      <c r="V24" s="146"/>
    </row>
    <row r="25" spans="14:22" ht="15.75">
      <c r="T25" s="139"/>
      <c r="U25" s="146"/>
      <c r="V25" s="146"/>
    </row>
    <row r="26" spans="14:22" ht="15.75">
      <c r="T26" s="139"/>
      <c r="U26" s="146"/>
      <c r="V26" s="146"/>
    </row>
    <row r="27" spans="14:22" ht="15.75">
      <c r="T27" s="139"/>
      <c r="U27" s="24"/>
      <c r="V27" s="146"/>
    </row>
    <row r="28" spans="14:22" ht="15.75">
      <c r="V28" s="146"/>
    </row>
    <row r="29" spans="14:22" ht="15.75">
      <c r="T29" s="146"/>
      <c r="U29" s="139"/>
      <c r="V29" s="146"/>
    </row>
    <row r="30" spans="14:22" ht="15.75">
      <c r="T30" s="146"/>
      <c r="U30" s="139"/>
      <c r="V30" s="146"/>
    </row>
    <row r="31" spans="14:22" ht="15.75">
      <c r="T31" s="146"/>
      <c r="U31" s="24"/>
      <c r="V31" s="146"/>
    </row>
    <row r="32" spans="14:22" ht="15.75">
      <c r="T32" s="146"/>
      <c r="U32" s="24"/>
      <c r="V32" s="146"/>
    </row>
    <row r="33" spans="22:22" ht="15.75">
      <c r="V33" s="146"/>
    </row>
    <row r="34" spans="22:22" ht="15.75">
      <c r="V34" s="146"/>
    </row>
    <row r="35" spans="22:22" ht="15.75">
      <c r="V35" s="146"/>
    </row>
  </sheetData>
  <mergeCells count="2">
    <mergeCell ref="A1:U1"/>
    <mergeCell ref="A2:U2"/>
  </mergeCells>
  <printOptions horizontalCentered="1"/>
  <pageMargins left="0.39370078740157483" right="0.39370078740157483" top="0.23622047244094491" bottom="0.23622047244094491" header="0.31496062992125984" footer="0.31496062992125984"/>
  <pageSetup scale="48" orientation="landscape" r:id="rId1"/>
  <drawing r:id="rId2"/>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8">
    <tabColor rgb="FF66FF33"/>
    <pageSetUpPr fitToPage="1"/>
  </sheetPr>
  <dimension ref="A1:K23"/>
  <sheetViews>
    <sheetView showGridLines="0" view="pageBreakPreview" zoomScale="70" zoomScaleNormal="100" zoomScaleSheetLayoutView="70" workbookViewId="0">
      <selection activeCell="B11" sqref="B11"/>
    </sheetView>
  </sheetViews>
  <sheetFormatPr baseColWidth="10" defaultColWidth="11.42578125" defaultRowHeight="15"/>
  <cols>
    <col min="1" max="1" width="19.7109375" style="39" customWidth="1"/>
    <col min="2" max="2" width="20.7109375" style="39" customWidth="1"/>
    <col min="3" max="3" width="18.5703125" style="39" customWidth="1"/>
    <col min="4" max="4" width="14.85546875" style="39" customWidth="1"/>
    <col min="5" max="5" width="19" style="39" customWidth="1"/>
    <col min="6" max="6" width="18.7109375" style="39" customWidth="1"/>
    <col min="7" max="7" width="17.28515625" style="39" customWidth="1"/>
    <col min="8" max="8" width="18.5703125" style="39" customWidth="1"/>
    <col min="9" max="9" width="23" style="39" customWidth="1"/>
    <col min="10" max="10" width="20.140625" style="39" customWidth="1"/>
    <col min="11" max="11" width="16.28515625" style="39" customWidth="1"/>
    <col min="12" max="12" width="17.7109375" style="39" customWidth="1"/>
    <col min="13" max="16384" width="11.42578125" style="39"/>
  </cols>
  <sheetData>
    <row r="1" spans="1:11" s="77" customFormat="1" ht="74.25" customHeight="1">
      <c r="A1" s="2189"/>
      <c r="B1" s="2189"/>
      <c r="C1" s="2189"/>
      <c r="D1" s="2189"/>
      <c r="E1" s="2189"/>
      <c r="F1" s="2189"/>
      <c r="G1" s="2189"/>
      <c r="H1" s="2189"/>
      <c r="I1" s="2189"/>
      <c r="J1" s="2189"/>
      <c r="K1" s="143"/>
    </row>
    <row r="2" spans="1:11" s="77" customFormat="1" ht="12" customHeight="1">
      <c r="K2" s="143"/>
    </row>
    <row r="3" spans="1:11" s="77" customFormat="1" ht="30">
      <c r="A3" s="653" t="s">
        <v>0</v>
      </c>
      <c r="B3" s="651" t="s">
        <v>359</v>
      </c>
      <c r="C3" s="651" t="s">
        <v>358</v>
      </c>
      <c r="D3" s="652" t="s">
        <v>355</v>
      </c>
    </row>
    <row r="4" spans="1:11" s="77" customFormat="1" ht="15.75">
      <c r="A4" s="654" t="s">
        <v>223</v>
      </c>
      <c r="B4" s="650">
        <v>14329</v>
      </c>
      <c r="C4" s="650">
        <f>+'V.4.2.NA. Reportes ARL'!D8</f>
        <v>14683</v>
      </c>
      <c r="D4" s="655">
        <f t="shared" ref="D4:D10" si="0">B4/C4</f>
        <v>0.97589048559558678</v>
      </c>
      <c r="F4" s="18"/>
    </row>
    <row r="5" spans="1:11" s="77" customFormat="1" ht="15.75">
      <c r="A5" s="654" t="s">
        <v>192</v>
      </c>
      <c r="B5" s="650">
        <v>16871</v>
      </c>
      <c r="C5" s="650">
        <f>+'V.4.2.NA. Reportes ARL'!D9</f>
        <v>17456</v>
      </c>
      <c r="D5" s="655">
        <f t="shared" si="0"/>
        <v>0.96648716773602195</v>
      </c>
      <c r="F5" s="18"/>
    </row>
    <row r="6" spans="1:11" s="77" customFormat="1" ht="15.75">
      <c r="A6" s="654" t="s">
        <v>224</v>
      </c>
      <c r="B6" s="650">
        <v>21189</v>
      </c>
      <c r="C6" s="650">
        <f>+'V.4.2.NA. Reportes ARL'!D10</f>
        <v>22597</v>
      </c>
      <c r="D6" s="655">
        <f t="shared" si="0"/>
        <v>0.93769084391733415</v>
      </c>
      <c r="F6" s="18"/>
    </row>
    <row r="7" spans="1:11" s="77" customFormat="1" ht="15.75">
      <c r="A7" s="654" t="s">
        <v>482</v>
      </c>
      <c r="B7" s="650">
        <v>26301</v>
      </c>
      <c r="C7" s="650">
        <f>+'V.4.2.NA. Reportes ARL'!D11</f>
        <v>26688</v>
      </c>
      <c r="D7" s="655">
        <f t="shared" si="0"/>
        <v>0.98549910071942448</v>
      </c>
      <c r="F7" s="18"/>
    </row>
    <row r="8" spans="1:11" s="77" customFormat="1" ht="15.75">
      <c r="A8" s="654" t="s">
        <v>561</v>
      </c>
      <c r="B8" s="650">
        <v>28752</v>
      </c>
      <c r="C8" s="650">
        <f>+'V.4.2.NA. Reportes ARL'!D12</f>
        <v>28635</v>
      </c>
      <c r="D8" s="655">
        <f t="shared" si="0"/>
        <v>1.0040859088528025</v>
      </c>
      <c r="F8" s="18"/>
    </row>
    <row r="9" spans="1:11" s="77" customFormat="1" ht="15.75">
      <c r="A9" s="654" t="s">
        <v>569</v>
      </c>
      <c r="B9" s="650">
        <v>30331</v>
      </c>
      <c r="C9" s="650">
        <f>+'V.4.2.NA. Reportes ARL'!D13</f>
        <v>31032</v>
      </c>
      <c r="D9" s="655">
        <f t="shared" si="0"/>
        <v>0.9774104150554267</v>
      </c>
      <c r="F9" s="18"/>
    </row>
    <row r="10" spans="1:11" s="77" customFormat="1" ht="15.75">
      <c r="A10" s="654" t="s">
        <v>1013</v>
      </c>
      <c r="B10" s="650">
        <f>33850-2869</f>
        <v>30981</v>
      </c>
      <c r="C10" s="650">
        <f>+'V.4.12.Accid x edad'!H11</f>
        <v>31818</v>
      </c>
      <c r="D10" s="655">
        <f t="shared" si="0"/>
        <v>0.97369413539505945</v>
      </c>
      <c r="F10" s="18"/>
    </row>
    <row r="11" spans="1:11" s="77" customFormat="1" ht="15.75">
      <c r="A11" s="653" t="s">
        <v>23</v>
      </c>
      <c r="B11" s="604">
        <f>SUM(B4:B10)</f>
        <v>168754</v>
      </c>
      <c r="C11" s="604">
        <f>SUM(C4:C10)</f>
        <v>172909</v>
      </c>
      <c r="D11" s="656">
        <f>B11/C11</f>
        <v>0.97597001891168189</v>
      </c>
    </row>
    <row r="12" spans="1:11" s="77" customFormat="1">
      <c r="A12" s="142"/>
      <c r="B12" s="142"/>
      <c r="K12" s="39"/>
    </row>
    <row r="13" spans="1:11" s="77" customFormat="1">
      <c r="A13" s="142"/>
      <c r="B13" s="142"/>
      <c r="K13" s="39"/>
    </row>
    <row r="14" spans="1:11" s="77" customFormat="1">
      <c r="A14" s="142"/>
      <c r="B14" s="142"/>
    </row>
    <row r="15" spans="1:11" s="77" customFormat="1">
      <c r="A15" s="142"/>
      <c r="B15" s="142"/>
    </row>
    <row r="16" spans="1:11" s="77" customFormat="1"/>
    <row r="17" spans="1:11" s="77" customFormat="1"/>
    <row r="18" spans="1:11" s="77" customFormat="1"/>
    <row r="19" spans="1:11" s="77" customFormat="1"/>
    <row r="20" spans="1:11" s="77" customFormat="1"/>
    <row r="21" spans="1:11" s="77" customFormat="1"/>
    <row r="22" spans="1:11">
      <c r="A22" s="77"/>
      <c r="B22" s="77"/>
      <c r="C22" s="77"/>
      <c r="D22" s="77"/>
      <c r="E22" s="77"/>
    </row>
    <row r="23" spans="1:11">
      <c r="K23" s="140"/>
    </row>
  </sheetData>
  <mergeCells count="1">
    <mergeCell ref="A1:J1"/>
  </mergeCells>
  <printOptions horizontalCentered="1"/>
  <pageMargins left="0.39370078740157483" right="0.39370078740157483" top="0.23622047244094491" bottom="0.23622047244094491" header="0.31496062992125984" footer="0.31496062992125984"/>
  <pageSetup scale="68" orientation="landscape" r:id="rId1"/>
  <drawing r:id="rId2"/>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9">
    <tabColor rgb="FF66FF33"/>
    <pageSetUpPr fitToPage="1"/>
  </sheetPr>
  <dimension ref="A1:O24"/>
  <sheetViews>
    <sheetView showGridLines="0" view="pageBreakPreview" zoomScale="70" zoomScaleNormal="100" zoomScaleSheetLayoutView="70" workbookViewId="0">
      <selection activeCell="A3" sqref="A3"/>
    </sheetView>
  </sheetViews>
  <sheetFormatPr baseColWidth="10" defaultColWidth="11.42578125" defaultRowHeight="15"/>
  <cols>
    <col min="1" max="1" width="18" style="39" customWidth="1"/>
    <col min="2" max="2" width="12.28515625" style="39" customWidth="1"/>
    <col min="3" max="3" width="14.5703125" style="39" customWidth="1"/>
    <col min="4" max="4" width="12.85546875" style="39" customWidth="1"/>
    <col min="5" max="5" width="13.85546875" style="39" customWidth="1"/>
    <col min="6" max="6" width="16.42578125" style="39" customWidth="1"/>
    <col min="7" max="7" width="11.7109375" style="39" customWidth="1"/>
    <col min="8" max="8" width="13.7109375" style="39" customWidth="1"/>
    <col min="9" max="9" width="13.42578125" style="39" customWidth="1"/>
    <col min="10" max="11" width="11.42578125" style="39"/>
    <col min="12" max="12" width="16.28515625" style="39" customWidth="1"/>
    <col min="13" max="13" width="15.140625" style="39" customWidth="1"/>
    <col min="14" max="14" width="13.28515625" style="39" customWidth="1"/>
    <col min="15" max="15" width="8.42578125" style="39" customWidth="1"/>
    <col min="16" max="16384" width="11.42578125" style="39"/>
  </cols>
  <sheetData>
    <row r="1" spans="1:15" s="77" customFormat="1" ht="60.75" customHeight="1">
      <c r="A1" s="2183"/>
      <c r="B1" s="2183"/>
      <c r="C1" s="2183"/>
      <c r="D1" s="2183"/>
      <c r="E1" s="2183"/>
      <c r="F1" s="2183"/>
      <c r="G1" s="2183"/>
      <c r="H1" s="2183"/>
      <c r="I1" s="2183"/>
      <c r="J1" s="2183"/>
      <c r="K1" s="2183"/>
      <c r="L1" s="2183"/>
      <c r="M1" s="143"/>
      <c r="N1" s="143"/>
      <c r="O1" s="143"/>
    </row>
    <row r="2" spans="1:15" s="77" customFormat="1" ht="12" customHeight="1">
      <c r="A2" s="134"/>
      <c r="B2" s="134"/>
      <c r="C2" s="134"/>
      <c r="D2" s="134"/>
      <c r="E2" s="134"/>
      <c r="F2" s="134"/>
      <c r="G2" s="134"/>
      <c r="H2" s="134"/>
      <c r="I2" s="134"/>
      <c r="J2" s="134"/>
      <c r="K2" s="134"/>
      <c r="L2" s="134"/>
      <c r="M2" s="143"/>
      <c r="N2" s="39"/>
      <c r="O2" s="143"/>
    </row>
    <row r="3" spans="1:15" s="134" customFormat="1" ht="27" customHeight="1">
      <c r="A3" s="457" t="s">
        <v>0</v>
      </c>
      <c r="B3" s="597" t="s">
        <v>357</v>
      </c>
      <c r="C3" s="594" t="s">
        <v>356</v>
      </c>
      <c r="D3" s="592" t="s">
        <v>140</v>
      </c>
      <c r="E3" s="594" t="s">
        <v>355</v>
      </c>
      <c r="F3" s="595" t="s">
        <v>354</v>
      </c>
      <c r="N3" s="39"/>
    </row>
    <row r="4" spans="1:15" s="77" customFormat="1" ht="15.75">
      <c r="A4" s="468" t="s">
        <v>223</v>
      </c>
      <c r="B4" s="659">
        <v>13326</v>
      </c>
      <c r="C4" s="611">
        <v>1003</v>
      </c>
      <c r="D4" s="1069">
        <f>SUM(B4:C4)</f>
        <v>14329</v>
      </c>
      <c r="E4" s="657">
        <f t="shared" ref="E4:E11" si="0">B4/D4</f>
        <v>0.93000209365622166</v>
      </c>
      <c r="F4" s="660">
        <f t="shared" ref="F4:F11" si="1">C4/D4</f>
        <v>6.9997906343778352E-2</v>
      </c>
      <c r="G4" s="18"/>
      <c r="N4" s="39"/>
    </row>
    <row r="5" spans="1:15" s="77" customFormat="1" ht="15.75">
      <c r="A5" s="468" t="s">
        <v>192</v>
      </c>
      <c r="B5" s="659">
        <v>15647</v>
      </c>
      <c r="C5" s="611">
        <v>1224</v>
      </c>
      <c r="D5" s="1069">
        <f>SUM(B5:C5)</f>
        <v>16871</v>
      </c>
      <c r="E5" s="657">
        <f t="shared" si="0"/>
        <v>0.92744946950388241</v>
      </c>
      <c r="F5" s="660">
        <f t="shared" si="1"/>
        <v>7.2550530496117593E-2</v>
      </c>
      <c r="G5" s="18"/>
      <c r="M5" s="39"/>
      <c r="N5" s="39"/>
      <c r="O5" s="39"/>
    </row>
    <row r="6" spans="1:15" s="77" customFormat="1" ht="15.75">
      <c r="A6" s="468" t="s">
        <v>224</v>
      </c>
      <c r="B6" s="659">
        <v>20531</v>
      </c>
      <c r="C6" s="611">
        <v>658</v>
      </c>
      <c r="D6" s="1069">
        <f>SUM(B6:C6)</f>
        <v>21189</v>
      </c>
      <c r="E6" s="657">
        <f t="shared" si="0"/>
        <v>0.96894615130492234</v>
      </c>
      <c r="F6" s="660">
        <f t="shared" si="1"/>
        <v>3.1053848695077636E-2</v>
      </c>
      <c r="G6" s="18"/>
      <c r="M6" s="39"/>
      <c r="N6" s="39"/>
      <c r="O6" s="39"/>
    </row>
    <row r="7" spans="1:15" s="77" customFormat="1" ht="15.75">
      <c r="A7" s="468" t="s">
        <v>482</v>
      </c>
      <c r="B7" s="659">
        <v>25234</v>
      </c>
      <c r="C7" s="611">
        <v>1067</v>
      </c>
      <c r="D7" s="1069">
        <f>+C7+B7</f>
        <v>26301</v>
      </c>
      <c r="E7" s="657">
        <f t="shared" si="0"/>
        <v>0.95943120033458806</v>
      </c>
      <c r="F7" s="660">
        <f t="shared" si="1"/>
        <v>4.0568799665411964E-2</v>
      </c>
      <c r="G7" s="18"/>
      <c r="M7" s="39"/>
      <c r="N7" s="39"/>
      <c r="O7" s="39"/>
    </row>
    <row r="8" spans="1:15" s="77" customFormat="1" ht="15.75">
      <c r="A8" s="468" t="s">
        <v>561</v>
      </c>
      <c r="B8" s="659">
        <v>27072</v>
      </c>
      <c r="C8" s="611">
        <v>1680</v>
      </c>
      <c r="D8" s="1069">
        <f>+C8+B8</f>
        <v>28752</v>
      </c>
      <c r="E8" s="657">
        <f>B8/D8</f>
        <v>0.94156928213689484</v>
      </c>
      <c r="F8" s="660">
        <f>C8/D8</f>
        <v>5.8430717863105178E-2</v>
      </c>
      <c r="G8" s="18"/>
      <c r="M8" s="39"/>
      <c r="N8" s="39"/>
      <c r="O8" s="39"/>
    </row>
    <row r="9" spans="1:15" s="77" customFormat="1" ht="15.75">
      <c r="A9" s="468" t="s">
        <v>569</v>
      </c>
      <c r="B9" s="659">
        <v>28722</v>
      </c>
      <c r="C9" s="611">
        <v>1609</v>
      </c>
      <c r="D9" s="1069">
        <f>+C9+B9</f>
        <v>30331</v>
      </c>
      <c r="E9" s="657">
        <f>B9/D9</f>
        <v>0.94695196333783915</v>
      </c>
      <c r="F9" s="660">
        <f>C9/D9</f>
        <v>5.3048036662160826E-2</v>
      </c>
      <c r="G9" s="18"/>
      <c r="M9" s="39"/>
      <c r="N9" s="39"/>
      <c r="O9" s="39"/>
    </row>
    <row r="10" spans="1:15" s="77" customFormat="1" ht="15.75">
      <c r="A10" s="468" t="s">
        <v>1007</v>
      </c>
      <c r="B10" s="659">
        <f>31933-2683</f>
        <v>29250</v>
      </c>
      <c r="C10" s="611">
        <f>1917-186</f>
        <v>1731</v>
      </c>
      <c r="D10" s="1069">
        <f>+C10+B10</f>
        <v>30981</v>
      </c>
      <c r="E10" s="657">
        <f>B10/D10</f>
        <v>0.94412704560859884</v>
      </c>
      <c r="F10" s="660">
        <f>C10/D10</f>
        <v>5.5872954391401185E-2</v>
      </c>
      <c r="G10" s="18"/>
      <c r="M10" s="39"/>
      <c r="N10" s="39"/>
      <c r="O10" s="39"/>
    </row>
    <row r="11" spans="1:15" s="77" customFormat="1" ht="15.75">
      <c r="A11" s="610" t="s">
        <v>23</v>
      </c>
      <c r="B11" s="661">
        <f>SUM(B4:B10)</f>
        <v>159782</v>
      </c>
      <c r="C11" s="648">
        <f>SUM(C4:C10)</f>
        <v>8972</v>
      </c>
      <c r="D11" s="1882">
        <f>SUM(D4:D10)</f>
        <v>168754</v>
      </c>
      <c r="E11" s="571">
        <f t="shared" si="0"/>
        <v>0.94683385282719223</v>
      </c>
      <c r="F11" s="658">
        <f t="shared" si="1"/>
        <v>5.3166147172807758E-2</v>
      </c>
      <c r="G11" s="18"/>
      <c r="M11" s="39"/>
      <c r="N11" s="39"/>
      <c r="O11" s="39"/>
    </row>
    <row r="12" spans="1:15" s="77" customFormat="1">
      <c r="A12" s="142"/>
      <c r="B12" s="141"/>
      <c r="C12" s="141"/>
      <c r="M12" s="39"/>
      <c r="N12" s="39"/>
      <c r="O12" s="39"/>
    </row>
    <row r="13" spans="1:15" s="77" customFormat="1">
      <c r="A13" s="142"/>
      <c r="B13" s="141"/>
      <c r="C13" s="141"/>
      <c r="L13" s="39"/>
      <c r="M13" s="39"/>
      <c r="N13" s="39"/>
      <c r="O13" s="39"/>
    </row>
    <row r="14" spans="1:15" s="77" customFormat="1">
      <c r="A14" s="142"/>
      <c r="B14" s="141"/>
      <c r="C14" s="141"/>
      <c r="L14" s="39"/>
      <c r="M14" s="39"/>
      <c r="N14" s="39"/>
      <c r="O14" s="39"/>
    </row>
    <row r="15" spans="1:15" s="77" customFormat="1">
      <c r="A15" s="142"/>
      <c r="B15" s="141"/>
      <c r="C15" s="141"/>
    </row>
    <row r="16" spans="1:15" s="77" customFormat="1"/>
    <row r="17" spans="12:12" s="77" customFormat="1"/>
    <row r="18" spans="12:12" s="77" customFormat="1"/>
    <row r="19" spans="12:12" s="77" customFormat="1"/>
    <row r="20" spans="12:12" s="77" customFormat="1"/>
    <row r="21" spans="12:12" s="77" customFormat="1"/>
    <row r="22" spans="12:12" s="77" customFormat="1"/>
    <row r="24" spans="12:12">
      <c r="L24" s="140"/>
    </row>
  </sheetData>
  <mergeCells count="1">
    <mergeCell ref="A1:L1"/>
  </mergeCells>
  <printOptions horizontalCentered="1"/>
  <pageMargins left="0.39370078740157483" right="0.39370078740157483" top="0.23622047244094491" bottom="0.23622047244094491" header="0.31496062992125984" footer="0.31496062992125984"/>
  <pageSetup scale="77" orientation="landscape" r:id="rId1"/>
  <drawing r:id="rId2"/>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0">
    <tabColor rgb="FF66FF33"/>
    <pageSetUpPr fitToPage="1"/>
  </sheetPr>
  <dimension ref="A1:AJ22"/>
  <sheetViews>
    <sheetView showGridLines="0" view="pageBreakPreview" zoomScale="85" zoomScaleNormal="100" zoomScaleSheetLayoutView="85" workbookViewId="0">
      <selection activeCell="P8" sqref="P8"/>
    </sheetView>
  </sheetViews>
  <sheetFormatPr baseColWidth="10" defaultColWidth="11.42578125" defaultRowHeight="15"/>
  <cols>
    <col min="1" max="1" width="16.28515625" style="39" customWidth="1"/>
    <col min="2" max="3" width="12.28515625" style="39" customWidth="1"/>
    <col min="4" max="4" width="10.140625" style="39" customWidth="1"/>
    <col min="5" max="5" width="13.7109375" style="39" customWidth="1"/>
    <col min="6" max="6" width="10.140625" style="39" bestFit="1" customWidth="1"/>
    <col min="7" max="7" width="13.85546875" style="39" customWidth="1"/>
    <col min="8" max="8" width="15.140625" style="39" customWidth="1"/>
    <col min="9" max="9" width="13.28515625" style="39" customWidth="1"/>
    <col min="10" max="10" width="18.42578125" style="39" customWidth="1"/>
    <col min="11" max="11" width="19.28515625" style="39" customWidth="1"/>
    <col min="12" max="12" width="26.7109375" style="39" customWidth="1"/>
    <col min="13" max="13" width="4.5703125" style="39" customWidth="1"/>
    <col min="14" max="20" width="11.42578125" style="39"/>
    <col min="21" max="21" width="19.28515625" style="39" customWidth="1"/>
    <col min="22" max="22" width="33.7109375" style="39" customWidth="1"/>
    <col min="23" max="34" width="0" style="39" hidden="1" customWidth="1"/>
    <col min="35" max="16384" width="11.42578125" style="39"/>
  </cols>
  <sheetData>
    <row r="1" spans="1:36" s="77" customFormat="1" ht="64.5" customHeight="1">
      <c r="A1" s="2182"/>
      <c r="B1" s="2182"/>
      <c r="C1" s="2182"/>
      <c r="D1" s="2182"/>
      <c r="E1" s="2182"/>
      <c r="F1" s="2182"/>
      <c r="G1" s="2182"/>
      <c r="H1" s="2182"/>
      <c r="I1" s="2182"/>
      <c r="J1" s="2182"/>
      <c r="K1" s="2182"/>
      <c r="L1" s="2182"/>
      <c r="M1" s="143"/>
    </row>
    <row r="2" spans="1:36" s="77" customFormat="1" ht="12.75" customHeight="1">
      <c r="A2" s="134"/>
      <c r="B2" s="134"/>
      <c r="C2" s="134"/>
      <c r="D2" s="134"/>
      <c r="E2" s="134"/>
      <c r="F2" s="134"/>
      <c r="G2" s="134"/>
      <c r="H2" s="134"/>
      <c r="I2" s="134"/>
      <c r="J2" s="134"/>
      <c r="K2" s="134"/>
      <c r="L2" s="134"/>
      <c r="M2" s="143"/>
    </row>
    <row r="3" spans="1:36" s="134" customFormat="1" ht="30">
      <c r="A3" s="653" t="s">
        <v>0</v>
      </c>
      <c r="B3" s="651" t="s">
        <v>247</v>
      </c>
      <c r="C3" s="651" t="s">
        <v>246</v>
      </c>
      <c r="D3" s="651" t="s">
        <v>245</v>
      </c>
      <c r="E3" s="651" t="s">
        <v>244</v>
      </c>
      <c r="F3" s="1749" t="s">
        <v>140</v>
      </c>
      <c r="G3" s="651" t="s">
        <v>243</v>
      </c>
      <c r="H3" s="651" t="s">
        <v>242</v>
      </c>
      <c r="I3" s="651" t="s">
        <v>241</v>
      </c>
      <c r="J3" s="652" t="s">
        <v>240</v>
      </c>
    </row>
    <row r="4" spans="1:36" s="77" customFormat="1" ht="15.75">
      <c r="A4" s="603" t="s">
        <v>223</v>
      </c>
      <c r="B4" s="599">
        <v>11014</v>
      </c>
      <c r="C4" s="599">
        <v>2177</v>
      </c>
      <c r="D4" s="599">
        <v>128</v>
      </c>
      <c r="E4" s="599">
        <v>1010</v>
      </c>
      <c r="F4" s="1750">
        <f t="shared" ref="F4:F10" si="0">SUM(B4:E4)</f>
        <v>14329</v>
      </c>
      <c r="G4" s="694">
        <f t="shared" ref="G4:G11" si="1">B4/F4</f>
        <v>0.76865098750785121</v>
      </c>
      <c r="H4" s="694">
        <f t="shared" ref="H4:H11" si="2">C4/F4</f>
        <v>0.15192965315095261</v>
      </c>
      <c r="I4" s="694">
        <f t="shared" ref="I4:I11" si="3">D4/F4</f>
        <v>8.9329332123665294E-3</v>
      </c>
      <c r="J4" s="695">
        <f t="shared" ref="J4:J11" si="4">E4/F4</f>
        <v>7.0486426128829646E-2</v>
      </c>
      <c r="V4" s="218" t="s">
        <v>479</v>
      </c>
      <c r="W4" s="218" t="s">
        <v>439</v>
      </c>
      <c r="X4" s="218" t="s">
        <v>440</v>
      </c>
      <c r="Y4" s="218" t="s">
        <v>441</v>
      </c>
      <c r="Z4" s="218" t="s">
        <v>442</v>
      </c>
      <c r="AA4" s="218" t="s">
        <v>443</v>
      </c>
      <c r="AB4" s="218" t="s">
        <v>444</v>
      </c>
      <c r="AC4" s="218" t="s">
        <v>453</v>
      </c>
      <c r="AD4" s="218" t="s">
        <v>459</v>
      </c>
      <c r="AE4" s="218" t="s">
        <v>465</v>
      </c>
      <c r="AF4" s="218" t="s">
        <v>467</v>
      </c>
      <c r="AG4" s="218" t="s">
        <v>468</v>
      </c>
      <c r="AH4" s="218" t="s">
        <v>469</v>
      </c>
      <c r="AI4" s="218" t="s">
        <v>23</v>
      </c>
      <c r="AJ4" s="2190"/>
    </row>
    <row r="5" spans="1:36" s="77" customFormat="1" ht="15.75">
      <c r="A5" s="603" t="s">
        <v>192</v>
      </c>
      <c r="B5" s="599">
        <v>12997</v>
      </c>
      <c r="C5" s="599">
        <v>2524</v>
      </c>
      <c r="D5" s="599">
        <v>126</v>
      </c>
      <c r="E5" s="599">
        <v>1224</v>
      </c>
      <c r="F5" s="1750">
        <f t="shared" si="0"/>
        <v>16871</v>
      </c>
      <c r="G5" s="694">
        <f t="shared" si="1"/>
        <v>0.77037520004741866</v>
      </c>
      <c r="H5" s="694">
        <f t="shared" si="2"/>
        <v>0.14960583249362813</v>
      </c>
      <c r="I5" s="694">
        <f t="shared" si="3"/>
        <v>7.4684369628356352E-3</v>
      </c>
      <c r="J5" s="695">
        <f t="shared" si="4"/>
        <v>7.2550530496117593E-2</v>
      </c>
      <c r="V5" s="215" t="s">
        <v>245</v>
      </c>
      <c r="W5" s="216">
        <v>12</v>
      </c>
      <c r="X5" s="216">
        <v>16</v>
      </c>
      <c r="Y5" s="216">
        <v>15</v>
      </c>
      <c r="Z5" s="216">
        <v>15</v>
      </c>
      <c r="AA5" s="216">
        <v>13</v>
      </c>
      <c r="AB5" s="216">
        <v>13</v>
      </c>
      <c r="AC5" s="216">
        <v>12</v>
      </c>
      <c r="AD5" s="216">
        <v>6</v>
      </c>
      <c r="AE5" s="216">
        <v>10</v>
      </c>
      <c r="AF5" s="216">
        <v>17</v>
      </c>
      <c r="AG5" s="216">
        <v>17</v>
      </c>
      <c r="AH5" s="216"/>
      <c r="AI5" s="216">
        <f>SUM(W5:AH5)</f>
        <v>146</v>
      </c>
      <c r="AJ5" s="2190"/>
    </row>
    <row r="6" spans="1:36" s="77" customFormat="1" ht="15.75">
      <c r="A6" s="603" t="s">
        <v>224</v>
      </c>
      <c r="B6" s="599">
        <v>15709</v>
      </c>
      <c r="C6" s="599">
        <v>4659</v>
      </c>
      <c r="D6" s="599">
        <v>163</v>
      </c>
      <c r="E6" s="599">
        <v>658</v>
      </c>
      <c r="F6" s="1750">
        <f t="shared" si="0"/>
        <v>21189</v>
      </c>
      <c r="G6" s="694">
        <f t="shared" si="1"/>
        <v>0.74137524187078196</v>
      </c>
      <c r="H6" s="694">
        <f t="shared" si="2"/>
        <v>0.21987823870876397</v>
      </c>
      <c r="I6" s="694">
        <f t="shared" si="3"/>
        <v>7.6926707253763748E-3</v>
      </c>
      <c r="J6" s="695">
        <f t="shared" si="4"/>
        <v>3.1053848695077636E-2</v>
      </c>
      <c r="V6" s="215" t="s">
        <v>247</v>
      </c>
      <c r="W6" s="216">
        <v>934</v>
      </c>
      <c r="X6" s="216">
        <v>997</v>
      </c>
      <c r="Y6" s="216">
        <v>1174</v>
      </c>
      <c r="Z6" s="216">
        <v>977</v>
      </c>
      <c r="AA6" s="216">
        <v>1270</v>
      </c>
      <c r="AB6" s="216">
        <v>1357</v>
      </c>
      <c r="AC6" s="216">
        <v>1252</v>
      </c>
      <c r="AD6" s="216">
        <v>1101</v>
      </c>
      <c r="AE6" s="216">
        <v>1330</v>
      </c>
      <c r="AF6" s="216">
        <v>1353</v>
      </c>
      <c r="AG6" s="216">
        <v>1197</v>
      </c>
      <c r="AH6" s="216"/>
      <c r="AI6" s="216">
        <f>SUM(W6:AH6)</f>
        <v>12942</v>
      </c>
      <c r="AJ6" s="2190"/>
    </row>
    <row r="7" spans="1:36" s="77" customFormat="1" ht="15.75">
      <c r="A7" s="603" t="s">
        <v>482</v>
      </c>
      <c r="B7" s="599">
        <v>18984</v>
      </c>
      <c r="C7" s="599">
        <v>6035</v>
      </c>
      <c r="D7" s="599">
        <v>215</v>
      </c>
      <c r="E7" s="599">
        <v>1067</v>
      </c>
      <c r="F7" s="1750">
        <f t="shared" si="0"/>
        <v>26301</v>
      </c>
      <c r="G7" s="694">
        <f t="shared" si="1"/>
        <v>0.72179765027945708</v>
      </c>
      <c r="H7" s="694">
        <f t="shared" si="2"/>
        <v>0.22945895593323448</v>
      </c>
      <c r="I7" s="694">
        <f t="shared" si="3"/>
        <v>8.1745941218965053E-3</v>
      </c>
      <c r="J7" s="695">
        <f t="shared" si="4"/>
        <v>4.0568799665411964E-2</v>
      </c>
      <c r="V7" s="215" t="s">
        <v>246</v>
      </c>
      <c r="W7" s="216">
        <v>326</v>
      </c>
      <c r="X7" s="216">
        <v>298</v>
      </c>
      <c r="Y7" s="216">
        <v>324</v>
      </c>
      <c r="Z7" s="216">
        <v>272</v>
      </c>
      <c r="AA7" s="216">
        <v>361</v>
      </c>
      <c r="AB7" s="216">
        <v>382</v>
      </c>
      <c r="AC7" s="216">
        <v>362</v>
      </c>
      <c r="AD7" s="216">
        <v>276</v>
      </c>
      <c r="AE7" s="216">
        <v>361</v>
      </c>
      <c r="AF7" s="216">
        <v>379</v>
      </c>
      <c r="AG7" s="216">
        <v>368</v>
      </c>
      <c r="AH7" s="216"/>
      <c r="AI7" s="216">
        <f>SUM(W7:AH7)</f>
        <v>3709</v>
      </c>
      <c r="AJ7" s="2190"/>
    </row>
    <row r="8" spans="1:36" s="77" customFormat="1" ht="15.75">
      <c r="A8" s="603" t="s">
        <v>561</v>
      </c>
      <c r="B8" s="599">
        <v>19765</v>
      </c>
      <c r="C8" s="599">
        <v>7064</v>
      </c>
      <c r="D8" s="599">
        <v>243</v>
      </c>
      <c r="E8" s="599">
        <v>1680</v>
      </c>
      <c r="F8" s="1750">
        <f t="shared" si="0"/>
        <v>28752</v>
      </c>
      <c r="G8" s="694">
        <f t="shared" si="1"/>
        <v>0.68743043962159156</v>
      </c>
      <c r="H8" s="694">
        <f t="shared" si="2"/>
        <v>0.24568725653867557</v>
      </c>
      <c r="I8" s="694">
        <f t="shared" si="3"/>
        <v>8.451585976627712E-3</v>
      </c>
      <c r="J8" s="695">
        <f t="shared" si="4"/>
        <v>5.8430717863105178E-2</v>
      </c>
      <c r="V8" s="215"/>
      <c r="W8" s="216"/>
      <c r="X8" s="216"/>
      <c r="Y8" s="216"/>
      <c r="Z8" s="216"/>
      <c r="AA8" s="216"/>
      <c r="AB8" s="216"/>
      <c r="AC8" s="216"/>
      <c r="AD8" s="216"/>
      <c r="AE8" s="216"/>
      <c r="AF8" s="216"/>
      <c r="AG8" s="216"/>
      <c r="AH8" s="216"/>
      <c r="AI8" s="216"/>
      <c r="AJ8" s="2190"/>
    </row>
    <row r="9" spans="1:36" s="77" customFormat="1" ht="15.75">
      <c r="A9" s="603" t="s">
        <v>569</v>
      </c>
      <c r="B9" s="599">
        <v>20884</v>
      </c>
      <c r="C9" s="599">
        <v>7546</v>
      </c>
      <c r="D9" s="599">
        <v>292</v>
      </c>
      <c r="E9" s="599">
        <v>1609</v>
      </c>
      <c r="F9" s="1750">
        <f t="shared" si="0"/>
        <v>30331</v>
      </c>
      <c r="G9" s="694">
        <f t="shared" si="1"/>
        <v>0.68853648082819563</v>
      </c>
      <c r="H9" s="694">
        <f t="shared" si="2"/>
        <v>0.24878836833602586</v>
      </c>
      <c r="I9" s="694">
        <f t="shared" si="3"/>
        <v>9.6271141736177512E-3</v>
      </c>
      <c r="J9" s="695">
        <f t="shared" si="4"/>
        <v>5.3048036662160826E-2</v>
      </c>
      <c r="V9" s="215"/>
      <c r="W9" s="216"/>
      <c r="X9" s="216"/>
      <c r="Y9" s="216"/>
      <c r="Z9" s="216"/>
      <c r="AA9" s="216"/>
      <c r="AB9" s="216"/>
      <c r="AC9" s="216"/>
      <c r="AD9" s="216"/>
      <c r="AE9" s="216"/>
      <c r="AF9" s="216"/>
      <c r="AG9" s="216"/>
      <c r="AH9" s="216"/>
      <c r="AI9" s="216"/>
      <c r="AJ9" s="2190"/>
    </row>
    <row r="10" spans="1:36" s="77" customFormat="1" ht="15.75">
      <c r="A10" s="603" t="s">
        <v>1007</v>
      </c>
      <c r="B10" s="599">
        <f>22708-1870</f>
        <v>20838</v>
      </c>
      <c r="C10" s="599">
        <f>8933-785</f>
        <v>8148</v>
      </c>
      <c r="D10" s="599">
        <f>291-28</f>
        <v>263</v>
      </c>
      <c r="E10" s="599">
        <v>1732</v>
      </c>
      <c r="F10" s="1750">
        <f t="shared" si="0"/>
        <v>30981</v>
      </c>
      <c r="G10" s="694">
        <f t="shared" si="1"/>
        <v>0.67260579064587978</v>
      </c>
      <c r="H10" s="694">
        <f t="shared" si="2"/>
        <v>0.26299990316645688</v>
      </c>
      <c r="I10" s="694">
        <f t="shared" si="3"/>
        <v>8.4890739485491105E-3</v>
      </c>
      <c r="J10" s="695">
        <f t="shared" si="4"/>
        <v>5.5905232239114297E-2</v>
      </c>
      <c r="V10" s="215"/>
      <c r="W10" s="216"/>
      <c r="X10" s="216"/>
      <c r="Y10" s="216"/>
      <c r="Z10" s="216"/>
      <c r="AA10" s="216"/>
      <c r="AB10" s="216"/>
      <c r="AC10" s="216"/>
      <c r="AD10" s="216"/>
      <c r="AE10" s="216"/>
      <c r="AF10" s="216"/>
      <c r="AG10" s="216"/>
      <c r="AH10" s="216"/>
      <c r="AI10" s="216"/>
      <c r="AJ10" s="2190"/>
    </row>
    <row r="11" spans="1:36" s="77" customFormat="1" ht="15.75">
      <c r="A11" s="598" t="s">
        <v>23</v>
      </c>
      <c r="B11" s="604">
        <f>SUM(B4:B10)</f>
        <v>120191</v>
      </c>
      <c r="C11" s="604">
        <f>SUM(C4:C10)</f>
        <v>38153</v>
      </c>
      <c r="D11" s="604">
        <f>SUM(D4:D10)</f>
        <v>1430</v>
      </c>
      <c r="E11" s="604">
        <f>SUM(E4:E10)</f>
        <v>8980</v>
      </c>
      <c r="F11" s="1273">
        <f>SUM(F4:F10)</f>
        <v>168754</v>
      </c>
      <c r="G11" s="605">
        <f t="shared" si="1"/>
        <v>0.71222608056697911</v>
      </c>
      <c r="H11" s="605">
        <f t="shared" si="2"/>
        <v>0.22608649276461595</v>
      </c>
      <c r="I11" s="605">
        <f t="shared" si="3"/>
        <v>8.4738732118942364E-3</v>
      </c>
      <c r="J11" s="606">
        <f t="shared" si="4"/>
        <v>5.3213553456510659E-2</v>
      </c>
      <c r="V11" s="215"/>
      <c r="W11" s="216">
        <v>1272</v>
      </c>
      <c r="X11" s="216">
        <v>1311</v>
      </c>
      <c r="Y11" s="216">
        <v>1513</v>
      </c>
      <c r="Z11" s="216">
        <v>1264</v>
      </c>
      <c r="AA11" s="216">
        <v>1644</v>
      </c>
      <c r="AB11" s="216">
        <v>1752</v>
      </c>
      <c r="AC11" s="216">
        <v>1626</v>
      </c>
      <c r="AD11" s="216">
        <v>1383</v>
      </c>
      <c r="AE11" s="216">
        <v>1701</v>
      </c>
      <c r="AF11" s="216">
        <v>1749</v>
      </c>
      <c r="AG11" s="216">
        <v>1582</v>
      </c>
      <c r="AH11" s="216"/>
      <c r="AI11" s="217">
        <f>SUM(W11:AH11)</f>
        <v>16797</v>
      </c>
      <c r="AJ11" s="2190"/>
    </row>
    <row r="12" spans="1:36" s="77" customFormat="1" ht="9.75" customHeight="1">
      <c r="A12" s="2191" t="s">
        <v>490</v>
      </c>
      <c r="B12" s="2191"/>
      <c r="C12" s="2191"/>
      <c r="D12" s="2191"/>
      <c r="E12" s="2191"/>
      <c r="F12" s="2191"/>
      <c r="G12" s="2191"/>
      <c r="H12" s="2191"/>
      <c r="I12" s="2191"/>
      <c r="J12" s="2191"/>
      <c r="K12" s="2191"/>
      <c r="L12" s="2191"/>
    </row>
    <row r="13" spans="1:36" s="77" customFormat="1">
      <c r="A13" s="2191"/>
      <c r="B13" s="2191"/>
      <c r="C13" s="2191"/>
      <c r="D13" s="2191"/>
      <c r="E13" s="2191"/>
      <c r="F13" s="2191"/>
      <c r="G13" s="2191"/>
      <c r="H13" s="2191"/>
      <c r="I13" s="2191"/>
      <c r="J13" s="2191"/>
      <c r="K13" s="2191"/>
      <c r="L13" s="2191"/>
    </row>
    <row r="14" spans="1:36" s="77" customFormat="1">
      <c r="A14" s="142"/>
      <c r="B14" s="141"/>
      <c r="C14" s="141"/>
      <c r="D14" s="141"/>
      <c r="E14" s="141"/>
    </row>
    <row r="15" spans="1:36" s="77" customFormat="1">
      <c r="A15" s="142"/>
      <c r="B15" s="141"/>
      <c r="C15" s="141"/>
      <c r="D15" s="141"/>
      <c r="E15" s="141"/>
      <c r="N15" s="156"/>
    </row>
    <row r="16" spans="1:36" s="77" customFormat="1"/>
    <row r="17" spans="36:36" s="77" customFormat="1"/>
    <row r="18" spans="36:36" s="77" customFormat="1">
      <c r="AJ18" s="77">
        <f>17291-16797</f>
        <v>494</v>
      </c>
    </row>
    <row r="19" spans="36:36" s="77" customFormat="1"/>
    <row r="20" spans="36:36" s="77" customFormat="1"/>
    <row r="21" spans="36:36" s="77" customFormat="1"/>
    <row r="22" spans="36:36" s="77" customFormat="1"/>
  </sheetData>
  <mergeCells count="3">
    <mergeCell ref="A1:L1"/>
    <mergeCell ref="AJ4:AJ11"/>
    <mergeCell ref="A12:L13"/>
  </mergeCells>
  <printOptions horizontalCentered="1"/>
  <pageMargins left="0.39370078740157483" right="0.39370078740157483" top="0.23622047244094491" bottom="0.23622047244094491" header="0.31496062992125984" footer="0.31496062992125984"/>
  <pageSetup scale="72" orientation="landscape" r:id="rId1"/>
  <drawing r:id="rId2"/>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tabColor rgb="FF66FF33"/>
  </sheetPr>
  <dimension ref="A1:R22"/>
  <sheetViews>
    <sheetView showGridLines="0" view="pageBreakPreview" zoomScale="85" zoomScaleNormal="100" zoomScaleSheetLayoutView="85" workbookViewId="0">
      <selection activeCell="O23" sqref="O23"/>
    </sheetView>
  </sheetViews>
  <sheetFormatPr baseColWidth="10" defaultColWidth="11.42578125" defaultRowHeight="15"/>
  <cols>
    <col min="1" max="1" width="16.140625" style="39" customWidth="1"/>
    <col min="2" max="2" width="10.7109375" style="39" customWidth="1"/>
    <col min="3" max="3" width="15" style="39" customWidth="1"/>
    <col min="4" max="4" width="9.140625" style="39" customWidth="1"/>
    <col min="5" max="5" width="9.5703125" style="39" customWidth="1"/>
    <col min="6" max="6" width="11.140625" style="39" customWidth="1"/>
    <col min="7" max="7" width="19" style="39" customWidth="1"/>
    <col min="8" max="8" width="11.5703125" style="39" customWidth="1"/>
    <col min="9" max="9" width="11.140625" style="39" customWidth="1"/>
    <col min="10" max="10" width="15" style="39" customWidth="1"/>
    <col min="11" max="11" width="14.5703125" style="39" customWidth="1"/>
    <col min="12" max="12" width="19.5703125" style="39" customWidth="1"/>
    <col min="13" max="13" width="14.7109375" style="39" customWidth="1"/>
    <col min="14" max="14" width="16" style="39" customWidth="1"/>
    <col min="15" max="18" width="15.5703125" style="39" customWidth="1"/>
    <col min="19" max="16384" width="11.42578125" style="39"/>
  </cols>
  <sheetData>
    <row r="1" spans="1:18" s="77" customFormat="1" ht="65.25" customHeight="1">
      <c r="A1" s="2183"/>
      <c r="B1" s="2183"/>
      <c r="C1" s="2183"/>
      <c r="D1" s="2183"/>
      <c r="E1" s="2183"/>
      <c r="F1" s="2183"/>
      <c r="G1" s="2183"/>
      <c r="H1" s="2183"/>
      <c r="I1" s="2183"/>
      <c r="J1" s="2183"/>
      <c r="K1" s="2183"/>
      <c r="L1" s="2183"/>
      <c r="M1" s="2183"/>
      <c r="N1" s="2183"/>
      <c r="O1" s="203"/>
      <c r="P1" s="203"/>
      <c r="Q1" s="203"/>
      <c r="R1" s="203"/>
    </row>
    <row r="2" spans="1:18" s="38" customFormat="1" ht="9.75" customHeight="1">
      <c r="A2" s="620"/>
      <c r="B2" s="176"/>
      <c r="C2" s="176"/>
      <c r="D2" s="176"/>
      <c r="E2" s="176"/>
      <c r="F2" s="176"/>
      <c r="G2" s="176"/>
      <c r="H2" s="176"/>
      <c r="I2" s="176"/>
      <c r="J2" s="176"/>
      <c r="K2" s="176"/>
      <c r="L2" s="176"/>
      <c r="M2" s="176"/>
      <c r="N2" s="782"/>
      <c r="O2" s="176"/>
      <c r="P2" s="176"/>
      <c r="Q2" s="176"/>
      <c r="R2" s="176"/>
    </row>
    <row r="3" spans="1:18" s="134" customFormat="1" ht="31.5">
      <c r="A3" s="697" t="s">
        <v>0</v>
      </c>
      <c r="B3" s="601" t="s">
        <v>370</v>
      </c>
      <c r="C3" s="601" t="s">
        <v>369</v>
      </c>
      <c r="D3" s="601" t="s">
        <v>368</v>
      </c>
      <c r="E3" s="601" t="s">
        <v>367</v>
      </c>
      <c r="F3" s="601" t="s">
        <v>366</v>
      </c>
      <c r="G3" s="601" t="s">
        <v>365</v>
      </c>
      <c r="H3" s="618" t="s">
        <v>140</v>
      </c>
      <c r="I3" s="601" t="s">
        <v>364</v>
      </c>
      <c r="J3" s="601" t="s">
        <v>363</v>
      </c>
      <c r="K3" s="601" t="s">
        <v>362</v>
      </c>
      <c r="L3" s="601" t="s">
        <v>361</v>
      </c>
      <c r="M3" s="601" t="s">
        <v>360</v>
      </c>
      <c r="N3" s="602" t="s">
        <v>240</v>
      </c>
      <c r="O3" s="222"/>
      <c r="P3" s="222"/>
      <c r="Q3" s="222"/>
      <c r="R3" s="222"/>
    </row>
    <row r="4" spans="1:18" s="77" customFormat="1" ht="15.75">
      <c r="A4" s="603" t="s">
        <v>223</v>
      </c>
      <c r="B4" s="650">
        <v>6838</v>
      </c>
      <c r="C4" s="650">
        <v>5185</v>
      </c>
      <c r="D4" s="650">
        <v>853</v>
      </c>
      <c r="E4" s="650">
        <v>140</v>
      </c>
      <c r="F4" s="650">
        <v>310</v>
      </c>
      <c r="G4" s="650">
        <v>1003</v>
      </c>
      <c r="H4" s="1883">
        <f>SUM(B4:G4)</f>
        <v>14329</v>
      </c>
      <c r="I4" s="696">
        <f t="shared" ref="I4:I11" si="0">B4/H4</f>
        <v>0.47721404145439317</v>
      </c>
      <c r="J4" s="696">
        <f t="shared" ref="J4:J11" si="1">C4/H4</f>
        <v>0.36185358364156606</v>
      </c>
      <c r="K4" s="696">
        <f t="shared" ref="K4:K11" si="2">D4/H4</f>
        <v>5.9529625235536322E-2</v>
      </c>
      <c r="L4" s="696">
        <f t="shared" ref="L4:L11" si="3">E4/H4</f>
        <v>9.7703957010258913E-3</v>
      </c>
      <c r="M4" s="696">
        <f t="shared" ref="M4:M11" si="4">F4/H4</f>
        <v>2.163444762370019E-2</v>
      </c>
      <c r="N4" s="696">
        <f t="shared" ref="N4:N11" si="5">G4/H4</f>
        <v>6.9997906343778352E-2</v>
      </c>
      <c r="O4" s="650"/>
      <c r="P4" s="650"/>
      <c r="Q4" s="650"/>
      <c r="R4" s="223"/>
    </row>
    <row r="5" spans="1:18" s="77" customFormat="1" ht="15.75">
      <c r="A5" s="603" t="s">
        <v>192</v>
      </c>
      <c r="B5" s="650">
        <v>8908</v>
      </c>
      <c r="C5" s="650">
        <v>5224</v>
      </c>
      <c r="D5" s="650">
        <v>880</v>
      </c>
      <c r="E5" s="650">
        <v>148</v>
      </c>
      <c r="F5" s="650">
        <v>487</v>
      </c>
      <c r="G5" s="650">
        <v>1224</v>
      </c>
      <c r="H5" s="1883">
        <f>SUM(B5:G5)</f>
        <v>16871</v>
      </c>
      <c r="I5" s="696">
        <f t="shared" si="0"/>
        <v>0.52800663861063368</v>
      </c>
      <c r="J5" s="696">
        <f t="shared" si="1"/>
        <v>0.3096437674115346</v>
      </c>
      <c r="K5" s="696">
        <f t="shared" si="2"/>
        <v>5.2160512121391736E-2</v>
      </c>
      <c r="L5" s="696">
        <f t="shared" si="3"/>
        <v>8.7724497658704277E-3</v>
      </c>
      <c r="M5" s="696">
        <f t="shared" si="4"/>
        <v>2.8866101594452017E-2</v>
      </c>
      <c r="N5" s="696">
        <f t="shared" si="5"/>
        <v>7.2550530496117593E-2</v>
      </c>
      <c r="O5" s="650"/>
      <c r="P5" s="650"/>
      <c r="Q5" s="650"/>
      <c r="R5" s="223"/>
    </row>
    <row r="6" spans="1:18" s="77" customFormat="1" ht="15.75">
      <c r="A6" s="603" t="s">
        <v>224</v>
      </c>
      <c r="B6" s="650">
        <v>11414</v>
      </c>
      <c r="C6" s="650">
        <v>7139</v>
      </c>
      <c r="D6" s="650">
        <v>1109</v>
      </c>
      <c r="E6" s="650">
        <v>180</v>
      </c>
      <c r="F6" s="650">
        <v>689</v>
      </c>
      <c r="G6" s="650">
        <v>658</v>
      </c>
      <c r="H6" s="1883">
        <f>SUM(B6:G6)</f>
        <v>21189</v>
      </c>
      <c r="I6" s="696">
        <f t="shared" si="0"/>
        <v>0.53867572797206098</v>
      </c>
      <c r="J6" s="696">
        <f t="shared" si="1"/>
        <v>0.33692010005191375</v>
      </c>
      <c r="K6" s="696">
        <f t="shared" si="2"/>
        <v>5.2338477511916559E-2</v>
      </c>
      <c r="L6" s="696">
        <f t="shared" si="3"/>
        <v>8.4949738071640954E-3</v>
      </c>
      <c r="M6" s="696">
        <f t="shared" si="4"/>
        <v>3.2516871961867005E-2</v>
      </c>
      <c r="N6" s="696">
        <f t="shared" si="5"/>
        <v>3.1053848695077636E-2</v>
      </c>
      <c r="O6" s="650"/>
      <c r="P6" s="650"/>
      <c r="Q6" s="650"/>
      <c r="R6" s="223"/>
    </row>
    <row r="7" spans="1:18" s="77" customFormat="1" ht="15.75">
      <c r="A7" s="603" t="s">
        <v>482</v>
      </c>
      <c r="B7" s="650">
        <v>15120</v>
      </c>
      <c r="C7" s="650">
        <v>8407</v>
      </c>
      <c r="D7" s="650">
        <v>937</v>
      </c>
      <c r="E7" s="650">
        <v>154</v>
      </c>
      <c r="F7" s="650">
        <v>616</v>
      </c>
      <c r="G7" s="650">
        <v>1067</v>
      </c>
      <c r="H7" s="1884">
        <f>+B7+C7+D7+E7+F7+G7</f>
        <v>26301</v>
      </c>
      <c r="I7" s="696">
        <f t="shared" si="0"/>
        <v>0.57488308429337287</v>
      </c>
      <c r="J7" s="696">
        <f t="shared" si="1"/>
        <v>0.31964564085015779</v>
      </c>
      <c r="K7" s="696">
        <f t="shared" si="2"/>
        <v>3.562602182426524E-2</v>
      </c>
      <c r="L7" s="696">
        <f t="shared" si="3"/>
        <v>5.8552906733584272E-3</v>
      </c>
      <c r="M7" s="696">
        <f t="shared" si="4"/>
        <v>2.3421162693433709E-2</v>
      </c>
      <c r="N7" s="696">
        <f t="shared" si="5"/>
        <v>4.0568799665411964E-2</v>
      </c>
      <c r="O7" s="650"/>
      <c r="P7" s="650"/>
      <c r="Q7" s="650"/>
      <c r="R7" s="223"/>
    </row>
    <row r="8" spans="1:18" s="77" customFormat="1" ht="15.75">
      <c r="A8" s="603" t="s">
        <v>561</v>
      </c>
      <c r="B8" s="650">
        <v>16356</v>
      </c>
      <c r="C8" s="650">
        <v>9164</v>
      </c>
      <c r="D8" s="650">
        <v>1031</v>
      </c>
      <c r="E8" s="650">
        <v>158</v>
      </c>
      <c r="F8" s="650">
        <v>363</v>
      </c>
      <c r="G8" s="650">
        <v>1680</v>
      </c>
      <c r="H8" s="1884">
        <f>+B8+C8+D8+E8+F8+G8</f>
        <v>28752</v>
      </c>
      <c r="I8" s="696">
        <f t="shared" si="0"/>
        <v>0.5688647746243739</v>
      </c>
      <c r="J8" s="696">
        <f t="shared" si="1"/>
        <v>0.31872565386755702</v>
      </c>
      <c r="K8" s="696">
        <f t="shared" si="2"/>
        <v>3.5858375069560376E-2</v>
      </c>
      <c r="L8" s="696">
        <f t="shared" si="3"/>
        <v>5.4952698942682251E-3</v>
      </c>
      <c r="M8" s="696">
        <f t="shared" si="4"/>
        <v>1.2625208681135225E-2</v>
      </c>
      <c r="N8" s="696">
        <f t="shared" si="5"/>
        <v>5.8430717863105178E-2</v>
      </c>
      <c r="O8" s="650"/>
      <c r="P8" s="650"/>
      <c r="Q8" s="650"/>
      <c r="R8" s="223"/>
    </row>
    <row r="9" spans="1:18" s="77" customFormat="1" ht="15.75">
      <c r="A9" s="603" t="s">
        <v>569</v>
      </c>
      <c r="B9" s="650">
        <v>16770</v>
      </c>
      <c r="C9" s="650">
        <v>10494</v>
      </c>
      <c r="D9" s="650">
        <v>895</v>
      </c>
      <c r="E9" s="650">
        <v>220</v>
      </c>
      <c r="F9" s="650">
        <v>343</v>
      </c>
      <c r="G9" s="650">
        <v>1609</v>
      </c>
      <c r="H9" s="1884">
        <f>+B9+C9+D9+E9+F9+G9</f>
        <v>30331</v>
      </c>
      <c r="I9" s="696">
        <f t="shared" si="0"/>
        <v>0.55289967360126602</v>
      </c>
      <c r="J9" s="696">
        <f t="shared" si="1"/>
        <v>0.34598265800665984</v>
      </c>
      <c r="K9" s="696">
        <f t="shared" si="2"/>
        <v>2.9507764333520162E-2</v>
      </c>
      <c r="L9" s="696">
        <f t="shared" si="3"/>
        <v>7.2533051993010451E-3</v>
      </c>
      <c r="M9" s="696">
        <f t="shared" si="4"/>
        <v>1.1308562197092083E-2</v>
      </c>
      <c r="N9" s="696">
        <f t="shared" si="5"/>
        <v>5.3048036662160826E-2</v>
      </c>
      <c r="O9" s="650"/>
      <c r="P9" s="650"/>
      <c r="Q9" s="650"/>
      <c r="R9" s="223"/>
    </row>
    <row r="10" spans="1:18" s="77" customFormat="1" ht="15.75">
      <c r="A10" s="603" t="s">
        <v>1006</v>
      </c>
      <c r="B10" s="650">
        <f>19186-1612</f>
        <v>17574</v>
      </c>
      <c r="C10" s="650">
        <f>11346-946</f>
        <v>10400</v>
      </c>
      <c r="D10" s="650">
        <f>1038-79</f>
        <v>959</v>
      </c>
      <c r="E10" s="650">
        <f>178-18</f>
        <v>160</v>
      </c>
      <c r="F10" s="650">
        <f>185-28</f>
        <v>157</v>
      </c>
      <c r="G10" s="650">
        <v>1731</v>
      </c>
      <c r="H10" s="1884">
        <f>+B10+C10+D10+E10+F10+G10</f>
        <v>30981</v>
      </c>
      <c r="I10" s="696">
        <f t="shared" si="0"/>
        <v>0.56725089571027398</v>
      </c>
      <c r="J10" s="696">
        <f t="shared" si="1"/>
        <v>0.33568961621639071</v>
      </c>
      <c r="K10" s="696">
        <f t="shared" si="2"/>
        <v>3.0954455956876795E-2</v>
      </c>
      <c r="L10" s="696">
        <f t="shared" si="3"/>
        <v>5.1644556340983182E-3</v>
      </c>
      <c r="M10" s="696">
        <f t="shared" si="4"/>
        <v>5.0676220909589747E-3</v>
      </c>
      <c r="N10" s="696">
        <f t="shared" si="5"/>
        <v>5.5872954391401185E-2</v>
      </c>
      <c r="O10" s="650"/>
      <c r="P10" s="650"/>
      <c r="Q10" s="650"/>
      <c r="R10" s="223"/>
    </row>
    <row r="11" spans="1:18" s="77" customFormat="1" ht="15.75">
      <c r="A11" s="598" t="s">
        <v>23</v>
      </c>
      <c r="B11" s="604">
        <f>SUM(B4:B10)</f>
        <v>92980</v>
      </c>
      <c r="C11" s="604">
        <f t="shared" ref="C11:H11" si="6">SUM(C4:C10)</f>
        <v>56013</v>
      </c>
      <c r="D11" s="604">
        <f t="shared" si="6"/>
        <v>6664</v>
      </c>
      <c r="E11" s="604">
        <f t="shared" si="6"/>
        <v>1160</v>
      </c>
      <c r="F11" s="604">
        <f t="shared" si="6"/>
        <v>2965</v>
      </c>
      <c r="G11" s="604">
        <f t="shared" si="6"/>
        <v>8972</v>
      </c>
      <c r="H11" s="1273">
        <f t="shared" si="6"/>
        <v>168754</v>
      </c>
      <c r="I11" s="698">
        <f t="shared" si="0"/>
        <v>0.55097953233701125</v>
      </c>
      <c r="J11" s="698">
        <f t="shared" si="1"/>
        <v>0.33192102113135097</v>
      </c>
      <c r="K11" s="698">
        <f t="shared" si="2"/>
        <v>3.9489434324519714E-2</v>
      </c>
      <c r="L11" s="698">
        <f t="shared" si="3"/>
        <v>6.8739111369211991E-3</v>
      </c>
      <c r="M11" s="698">
        <f t="shared" si="4"/>
        <v>1.75699538973891E-2</v>
      </c>
      <c r="N11" s="656">
        <f t="shared" si="5"/>
        <v>5.3166147172807758E-2</v>
      </c>
      <c r="O11" s="650"/>
      <c r="P11" s="650"/>
      <c r="Q11" s="650"/>
      <c r="R11" s="224"/>
    </row>
    <row r="12" spans="1:18" s="77" customFormat="1">
      <c r="A12" s="142"/>
      <c r="B12" s="141"/>
      <c r="C12" s="141"/>
      <c r="D12" s="141"/>
      <c r="E12" s="141"/>
      <c r="F12" s="141"/>
      <c r="G12" s="141"/>
    </row>
    <row r="13" spans="1:18" s="77" customFormat="1">
      <c r="A13" s="142"/>
      <c r="B13" s="141"/>
      <c r="C13" s="141"/>
      <c r="D13" s="141"/>
      <c r="E13" s="141"/>
      <c r="F13" s="141"/>
      <c r="G13" s="141"/>
    </row>
    <row r="14" spans="1:18" s="77" customFormat="1">
      <c r="A14" s="142"/>
      <c r="B14" s="141"/>
      <c r="C14" s="141"/>
      <c r="D14" s="141"/>
      <c r="E14" s="141"/>
      <c r="F14" s="141"/>
      <c r="G14" s="141"/>
    </row>
    <row r="15" spans="1:18" s="77" customFormat="1">
      <c r="A15" s="142"/>
      <c r="B15" s="141"/>
      <c r="C15" s="141"/>
      <c r="D15" s="141"/>
      <c r="E15" s="141"/>
      <c r="F15" s="141"/>
      <c r="G15" s="141"/>
    </row>
    <row r="16" spans="1:18" s="77" customFormat="1">
      <c r="P16" s="173"/>
    </row>
    <row r="17" s="77" customFormat="1"/>
    <row r="18" s="77" customFormat="1"/>
    <row r="19" s="77" customFormat="1"/>
    <row r="20" s="77" customFormat="1"/>
    <row r="21" s="77" customFormat="1"/>
    <row r="22" s="77" customFormat="1"/>
  </sheetData>
  <mergeCells count="1">
    <mergeCell ref="A1:N1"/>
  </mergeCells>
  <printOptions horizontalCentered="1"/>
  <pageMargins left="0.39370078740157483" right="0.39370078740157483" top="0.23622047244094491" bottom="0.23622047244094491" header="0.31496062992125984" footer="0.31496062992125984"/>
  <pageSetup scale="61"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tabColor theme="9" tint="-0.499984740745262"/>
    <pageSetUpPr fitToPage="1"/>
  </sheetPr>
  <dimension ref="A2:U44"/>
  <sheetViews>
    <sheetView showGridLines="0" view="pageBreakPreview" zoomScale="55" zoomScaleNormal="85" zoomScaleSheetLayoutView="55" workbookViewId="0">
      <selection activeCell="P1" sqref="P1:U1048576"/>
    </sheetView>
  </sheetViews>
  <sheetFormatPr baseColWidth="10" defaultColWidth="11.42578125" defaultRowHeight="13.5" customHeight="1"/>
  <cols>
    <col min="1" max="1" width="18.140625" style="70" customWidth="1"/>
    <col min="2" max="2" width="18" style="70" customWidth="1"/>
    <col min="3" max="3" width="17.5703125" style="70" hidden="1" customWidth="1"/>
    <col min="4" max="4" width="22.140625" style="70" customWidth="1"/>
    <col min="5" max="5" width="13.85546875" style="70" customWidth="1"/>
    <col min="6" max="6" width="2.85546875" style="70" hidden="1" customWidth="1"/>
    <col min="7" max="7" width="24.5703125" style="70" customWidth="1"/>
    <col min="8" max="8" width="22.85546875" style="70" customWidth="1"/>
    <col min="9" max="11" width="21.42578125" style="70" customWidth="1"/>
    <col min="12" max="12" width="21.85546875" style="70" customWidth="1"/>
    <col min="13" max="13" width="20.28515625" style="70" customWidth="1"/>
    <col min="14" max="14" width="34" style="70" customWidth="1"/>
    <col min="15" max="15" width="2.85546875" style="70" customWidth="1"/>
    <col min="16" max="16" width="11.28515625" style="1083" customWidth="1"/>
    <col min="17" max="17" width="23.28515625" style="1083" customWidth="1"/>
    <col min="18" max="18" width="13.7109375" style="70" customWidth="1"/>
    <col min="19" max="16384" width="11.42578125" style="70"/>
  </cols>
  <sheetData>
    <row r="2" spans="1:21" ht="65.25" customHeight="1">
      <c r="Q2" s="1539"/>
    </row>
    <row r="3" spans="1:21" ht="21.75" customHeight="1">
      <c r="A3" s="2018"/>
      <c r="B3" s="2018"/>
      <c r="C3" s="2018"/>
      <c r="D3" s="2018"/>
      <c r="E3" s="2018"/>
      <c r="F3" s="2018"/>
      <c r="G3" s="2018"/>
      <c r="H3" s="2018"/>
      <c r="I3" s="2018"/>
      <c r="J3" s="2018"/>
      <c r="K3" s="2018"/>
      <c r="L3" s="2018"/>
      <c r="M3" s="2018"/>
      <c r="N3" s="2018"/>
      <c r="P3" s="1084"/>
      <c r="Q3" s="1084"/>
    </row>
    <row r="4" spans="1:21" s="298" customFormat="1" ht="43.5" customHeight="1">
      <c r="A4" s="990" t="s">
        <v>643</v>
      </c>
      <c r="B4" s="990" t="s">
        <v>127</v>
      </c>
      <c r="C4" s="992" t="s">
        <v>545</v>
      </c>
      <c r="D4" s="992" t="s">
        <v>659</v>
      </c>
      <c r="E4" s="992" t="s">
        <v>75</v>
      </c>
      <c r="F4" s="992" t="s">
        <v>568</v>
      </c>
      <c r="G4" s="989" t="s">
        <v>660</v>
      </c>
      <c r="H4" s="989" t="s">
        <v>23</v>
      </c>
      <c r="I4" s="1120" t="s">
        <v>42</v>
      </c>
      <c r="J4" s="294"/>
      <c r="K4" s="294"/>
      <c r="L4" s="295"/>
      <c r="M4" s="295"/>
      <c r="N4" s="295"/>
      <c r="O4" s="295"/>
      <c r="P4" s="1085"/>
      <c r="Q4" s="1520"/>
      <c r="R4" s="1087"/>
      <c r="U4" s="299"/>
    </row>
    <row r="5" spans="1:21" ht="22.5" customHeight="1">
      <c r="A5" s="993" t="s">
        <v>644</v>
      </c>
      <c r="B5" s="1455">
        <v>14832</v>
      </c>
      <c r="C5" s="1300"/>
      <c r="D5" s="1301">
        <f>B5/H5</f>
        <v>0.59061044080754987</v>
      </c>
      <c r="E5" s="1455">
        <v>10281</v>
      </c>
      <c r="F5" s="1300"/>
      <c r="G5" s="1301">
        <f>E5/H5</f>
        <v>0.40938955919245013</v>
      </c>
      <c r="H5" s="1118">
        <f>B5+E5</f>
        <v>25113</v>
      </c>
      <c r="I5" s="1117">
        <f>+H5/$H$20</f>
        <v>1.4344638025371725E-2</v>
      </c>
      <c r="J5" s="119"/>
      <c r="K5" s="119"/>
      <c r="L5" s="252"/>
      <c r="M5" s="249"/>
      <c r="N5" s="249"/>
      <c r="O5" s="250"/>
      <c r="Q5" s="1521"/>
      <c r="R5" s="251"/>
      <c r="U5" s="161"/>
    </row>
    <row r="6" spans="1:21" ht="22.5" customHeight="1">
      <c r="A6" s="994" t="s">
        <v>645</v>
      </c>
      <c r="B6" s="1455">
        <v>123723</v>
      </c>
      <c r="C6" s="1300"/>
      <c r="D6" s="1301">
        <f t="shared" ref="D6:D19" si="0">B6/H6</f>
        <v>0.57309678764156846</v>
      </c>
      <c r="E6" s="1455">
        <v>92162</v>
      </c>
      <c r="F6" s="1300"/>
      <c r="G6" s="1301">
        <f t="shared" ref="G6:G19" si="1">E6/H6</f>
        <v>0.42690321235843159</v>
      </c>
      <c r="H6" s="1119">
        <f t="shared" ref="H6:H20" si="2">B6+E6</f>
        <v>215885</v>
      </c>
      <c r="I6" s="1121">
        <f t="shared" ref="I6:I19" si="3">+H6/$H$20</f>
        <v>0.12331430653873988</v>
      </c>
      <c r="J6" s="156"/>
      <c r="K6" s="119"/>
      <c r="L6" s="252"/>
      <c r="M6" s="249"/>
      <c r="N6" s="249"/>
      <c r="O6" s="250"/>
      <c r="P6" s="1085"/>
      <c r="Q6" s="1521"/>
      <c r="R6" s="251"/>
      <c r="U6" s="161"/>
    </row>
    <row r="7" spans="1:21" ht="22.5" customHeight="1">
      <c r="A7" s="994" t="s">
        <v>646</v>
      </c>
      <c r="B7" s="1455">
        <v>153471</v>
      </c>
      <c r="C7" s="1300"/>
      <c r="D7" s="1301">
        <f t="shared" si="0"/>
        <v>0.55743784392423223</v>
      </c>
      <c r="E7" s="1455">
        <v>121844</v>
      </c>
      <c r="F7" s="1300"/>
      <c r="G7" s="1301">
        <f t="shared" si="1"/>
        <v>0.44256215607576777</v>
      </c>
      <c r="H7" s="1119">
        <f t="shared" si="2"/>
        <v>275315</v>
      </c>
      <c r="I7" s="1121">
        <f t="shared" si="3"/>
        <v>0.15726094126369675</v>
      </c>
      <c r="J7" s="119"/>
      <c r="K7" s="119"/>
      <c r="L7" s="252"/>
      <c r="M7" s="249"/>
      <c r="N7" s="249"/>
      <c r="O7" s="250"/>
      <c r="P7" s="1085"/>
      <c r="Q7" s="1521"/>
      <c r="R7" s="1088"/>
      <c r="U7" s="161"/>
    </row>
    <row r="8" spans="1:21" ht="22.5" customHeight="1">
      <c r="A8" s="994" t="s">
        <v>647</v>
      </c>
      <c r="B8" s="1455">
        <v>139328</v>
      </c>
      <c r="C8" s="1300"/>
      <c r="D8" s="1301">
        <f t="shared" si="0"/>
        <v>0.54183291722083515</v>
      </c>
      <c r="E8" s="1455">
        <v>117814</v>
      </c>
      <c r="F8" s="1300"/>
      <c r="G8" s="1301">
        <f t="shared" si="1"/>
        <v>0.45816708277916485</v>
      </c>
      <c r="H8" s="1119">
        <f t="shared" si="2"/>
        <v>257142</v>
      </c>
      <c r="I8" s="1121">
        <f t="shared" si="3"/>
        <v>0.14688045678015912</v>
      </c>
      <c r="J8" s="251"/>
      <c r="K8" s="251"/>
      <c r="L8" s="253"/>
      <c r="M8" s="249"/>
      <c r="N8" s="249"/>
      <c r="O8" s="250"/>
      <c r="P8" s="1085"/>
      <c r="Q8" s="1521"/>
      <c r="R8" s="1089"/>
    </row>
    <row r="9" spans="1:21" ht="22.5" customHeight="1">
      <c r="A9" s="994" t="s">
        <v>648</v>
      </c>
      <c r="B9" s="1455">
        <v>126970</v>
      </c>
      <c r="C9" s="1300"/>
      <c r="D9" s="1301">
        <f t="shared" si="0"/>
        <v>0.53204996584856878</v>
      </c>
      <c r="E9" s="1455">
        <v>111673</v>
      </c>
      <c r="F9" s="1300"/>
      <c r="G9" s="1301">
        <f t="shared" si="1"/>
        <v>0.46795003415143122</v>
      </c>
      <c r="H9" s="1119">
        <f t="shared" si="2"/>
        <v>238643</v>
      </c>
      <c r="I9" s="1121">
        <f t="shared" si="3"/>
        <v>0.13631375989681777</v>
      </c>
      <c r="J9" s="254"/>
      <c r="K9" s="254"/>
      <c r="L9" s="253"/>
      <c r="M9" s="249"/>
      <c r="N9" s="249"/>
      <c r="O9" s="250"/>
      <c r="P9" s="1085"/>
      <c r="Q9" s="1521"/>
      <c r="R9" s="1089"/>
      <c r="U9" s="161"/>
    </row>
    <row r="10" spans="1:21" ht="22.5" customHeight="1">
      <c r="A10" s="994" t="s">
        <v>649</v>
      </c>
      <c r="B10" s="1455">
        <v>107086</v>
      </c>
      <c r="C10" s="1300"/>
      <c r="D10" s="1301">
        <f t="shared" si="0"/>
        <v>0.53291729495429052</v>
      </c>
      <c r="E10" s="1455">
        <v>93857</v>
      </c>
      <c r="F10" s="1300"/>
      <c r="G10" s="1301">
        <f t="shared" si="1"/>
        <v>0.46708270504570948</v>
      </c>
      <c r="H10" s="1119">
        <f t="shared" si="2"/>
        <v>200943</v>
      </c>
      <c r="I10" s="1121">
        <f t="shared" si="3"/>
        <v>0.1147793811465086</v>
      </c>
      <c r="J10" s="119"/>
      <c r="K10" s="119"/>
      <c r="L10" s="253"/>
      <c r="M10" s="249"/>
      <c r="N10" s="249"/>
      <c r="O10" s="250"/>
      <c r="P10" s="1085"/>
      <c r="Q10" s="1521"/>
      <c r="R10" s="1089"/>
    </row>
    <row r="11" spans="1:21" ht="22.5" customHeight="1">
      <c r="A11" s="994" t="s">
        <v>650</v>
      </c>
      <c r="B11" s="1455">
        <v>92559</v>
      </c>
      <c r="C11" s="1300"/>
      <c r="D11" s="1301">
        <f t="shared" si="0"/>
        <v>0.53624128801265303</v>
      </c>
      <c r="E11" s="1455">
        <v>80048</v>
      </c>
      <c r="F11" s="1300"/>
      <c r="G11" s="1301">
        <f t="shared" si="1"/>
        <v>0.46375871198734697</v>
      </c>
      <c r="H11" s="1119">
        <f t="shared" si="2"/>
        <v>172607</v>
      </c>
      <c r="I11" s="1121">
        <f t="shared" si="3"/>
        <v>9.8593753659273572E-2</v>
      </c>
      <c r="J11" s="119"/>
      <c r="K11" s="119"/>
      <c r="L11" s="253"/>
      <c r="M11" s="249"/>
      <c r="N11" s="249"/>
      <c r="O11" s="250"/>
      <c r="P11" s="1085"/>
      <c r="Q11" s="1521"/>
      <c r="R11" s="1089"/>
    </row>
    <row r="12" spans="1:21" ht="22.5" customHeight="1">
      <c r="A12" s="994" t="s">
        <v>651</v>
      </c>
      <c r="B12" s="1455">
        <v>75943</v>
      </c>
      <c r="C12" s="1300"/>
      <c r="D12" s="1301">
        <f t="shared" si="0"/>
        <v>0.55155459041753518</v>
      </c>
      <c r="E12" s="1455">
        <v>61746</v>
      </c>
      <c r="F12" s="1300"/>
      <c r="G12" s="1301">
        <f t="shared" si="1"/>
        <v>0.44844540958246482</v>
      </c>
      <c r="H12" s="1119">
        <f t="shared" si="2"/>
        <v>137689</v>
      </c>
      <c r="I12" s="1121">
        <f t="shared" si="3"/>
        <v>7.8648463547780337E-2</v>
      </c>
      <c r="J12" s="100"/>
      <c r="K12" s="100"/>
      <c r="L12" s="253"/>
      <c r="M12" s="249"/>
      <c r="N12" s="249"/>
      <c r="O12" s="254"/>
      <c r="P12" s="1085"/>
      <c r="Q12" s="1521"/>
      <c r="R12" s="1089"/>
    </row>
    <row r="13" spans="1:21" ht="22.5" customHeight="1">
      <c r="A13" s="994" t="s">
        <v>652</v>
      </c>
      <c r="B13" s="1455">
        <v>56036</v>
      </c>
      <c r="C13" s="1300"/>
      <c r="D13" s="1301">
        <f t="shared" si="0"/>
        <v>0.57620565552699232</v>
      </c>
      <c r="E13" s="1455">
        <v>41214</v>
      </c>
      <c r="F13" s="1300"/>
      <c r="G13" s="1301">
        <f t="shared" si="1"/>
        <v>0.42379434447300773</v>
      </c>
      <c r="H13" s="1119">
        <f t="shared" si="2"/>
        <v>97250</v>
      </c>
      <c r="I13" s="1121">
        <f t="shared" si="3"/>
        <v>5.5549557916911567E-2</v>
      </c>
      <c r="J13" s="100"/>
      <c r="K13" s="100"/>
      <c r="L13" s="255"/>
      <c r="M13" s="249"/>
      <c r="N13" s="249"/>
      <c r="O13" s="250"/>
      <c r="P13" s="1085"/>
      <c r="Q13" s="1526"/>
      <c r="R13" s="1089"/>
    </row>
    <row r="14" spans="1:21" ht="22.5" customHeight="1">
      <c r="A14" s="994" t="s">
        <v>653</v>
      </c>
      <c r="B14" s="1455">
        <v>37948</v>
      </c>
      <c r="C14" s="1300"/>
      <c r="D14" s="1301">
        <f t="shared" si="0"/>
        <v>0.60646934731189672</v>
      </c>
      <c r="E14" s="1455">
        <v>24624</v>
      </c>
      <c r="F14" s="1300"/>
      <c r="G14" s="1301">
        <f t="shared" si="1"/>
        <v>0.39353065268810328</v>
      </c>
      <c r="H14" s="1119">
        <f t="shared" si="2"/>
        <v>62572</v>
      </c>
      <c r="I14" s="1121">
        <f t="shared" si="3"/>
        <v>3.5741356688709418E-2</v>
      </c>
      <c r="J14" s="100"/>
      <c r="K14" s="100"/>
      <c r="L14" s="255"/>
      <c r="M14" s="249"/>
      <c r="N14" s="249"/>
      <c r="O14" s="250"/>
      <c r="P14" s="1085"/>
      <c r="Q14" s="1527"/>
      <c r="R14" s="1089"/>
    </row>
    <row r="15" spans="1:21" ht="22.5" customHeight="1">
      <c r="A15" s="994" t="s">
        <v>654</v>
      </c>
      <c r="B15" s="1455">
        <v>22176</v>
      </c>
      <c r="C15" s="1300"/>
      <c r="D15" s="1301">
        <f t="shared" si="0"/>
        <v>0.64083224967490249</v>
      </c>
      <c r="E15" s="1455">
        <v>12429</v>
      </c>
      <c r="F15" s="1300"/>
      <c r="G15" s="1301">
        <f t="shared" si="1"/>
        <v>0.35916775032509751</v>
      </c>
      <c r="H15" s="1119">
        <f t="shared" si="2"/>
        <v>34605</v>
      </c>
      <c r="I15" s="1121">
        <f t="shared" si="3"/>
        <v>1.9766503359534445E-2</v>
      </c>
      <c r="J15" s="100"/>
      <c r="K15" s="100"/>
      <c r="L15" s="100"/>
      <c r="M15" s="100"/>
      <c r="P15" s="1085"/>
      <c r="Q15" s="1527"/>
      <c r="R15" s="1089"/>
    </row>
    <row r="16" spans="1:21" ht="22.5" customHeight="1">
      <c r="A16" s="994" t="s">
        <v>655</v>
      </c>
      <c r="B16" s="1455">
        <v>11259</v>
      </c>
      <c r="C16" s="991"/>
      <c r="D16" s="1301">
        <f t="shared" si="0"/>
        <v>0.66993930739021779</v>
      </c>
      <c r="E16" s="1455">
        <v>5547</v>
      </c>
      <c r="F16" s="991"/>
      <c r="G16" s="1301">
        <f t="shared" si="1"/>
        <v>0.33006069260978221</v>
      </c>
      <c r="H16" s="1119">
        <f t="shared" si="2"/>
        <v>16806</v>
      </c>
      <c r="I16" s="1121">
        <f t="shared" si="3"/>
        <v>9.5996490524587752E-3</v>
      </c>
      <c r="J16" s="100"/>
      <c r="K16" s="100"/>
      <c r="L16" s="100"/>
      <c r="M16" s="100"/>
      <c r="P16" s="1085"/>
      <c r="Q16" s="1527"/>
      <c r="R16" s="1089"/>
    </row>
    <row r="17" spans="1:18" ht="22.5" customHeight="1">
      <c r="A17" s="994" t="s">
        <v>656</v>
      </c>
      <c r="B17" s="1455">
        <v>6068</v>
      </c>
      <c r="C17" s="991"/>
      <c r="D17" s="1301">
        <f t="shared" si="0"/>
        <v>0.67116469417099878</v>
      </c>
      <c r="E17" s="1455">
        <v>2973</v>
      </c>
      <c r="F17" s="991"/>
      <c r="G17" s="1301">
        <f t="shared" si="1"/>
        <v>0.32883530582900122</v>
      </c>
      <c r="H17" s="1119">
        <f t="shared" si="2"/>
        <v>9041</v>
      </c>
      <c r="I17" s="1121">
        <f t="shared" si="3"/>
        <v>5.1642524743115426E-3</v>
      </c>
      <c r="J17" s="100"/>
      <c r="K17" s="100"/>
      <c r="L17" s="100"/>
      <c r="M17" s="100"/>
      <c r="P17" s="1085"/>
      <c r="Q17" s="1527"/>
      <c r="R17" s="1089"/>
    </row>
    <row r="18" spans="1:18" ht="22.5" customHeight="1">
      <c r="A18" s="994" t="s">
        <v>657</v>
      </c>
      <c r="B18" s="1455">
        <v>2823</v>
      </c>
      <c r="C18" s="991"/>
      <c r="D18" s="1301">
        <f t="shared" si="0"/>
        <v>0.66283165062221183</v>
      </c>
      <c r="E18" s="1455">
        <v>1436</v>
      </c>
      <c r="F18" s="991"/>
      <c r="G18" s="1301">
        <f t="shared" si="1"/>
        <v>0.33716834937778822</v>
      </c>
      <c r="H18" s="1119">
        <f t="shared" si="2"/>
        <v>4259</v>
      </c>
      <c r="I18" s="1121">
        <f t="shared" si="3"/>
        <v>2.4327564747365182E-3</v>
      </c>
      <c r="J18" s="100"/>
      <c r="K18" s="100"/>
      <c r="L18" s="100"/>
      <c r="M18" s="100"/>
      <c r="P18" s="1085"/>
      <c r="Q18" s="1527"/>
    </row>
    <row r="19" spans="1:18" ht="22.5" customHeight="1">
      <c r="A19" s="995" t="s">
        <v>658</v>
      </c>
      <c r="B19" s="1455">
        <v>1906</v>
      </c>
      <c r="C19" s="991"/>
      <c r="D19" s="1301">
        <f t="shared" si="0"/>
        <v>0.67612628591699186</v>
      </c>
      <c r="E19" s="1455">
        <v>913</v>
      </c>
      <c r="F19" s="991"/>
      <c r="G19" s="1301">
        <f t="shared" si="1"/>
        <v>0.32387371408300814</v>
      </c>
      <c r="H19" s="1119">
        <f t="shared" si="2"/>
        <v>2819</v>
      </c>
      <c r="I19" s="1122">
        <f t="shared" si="3"/>
        <v>1.6102231749899611E-3</v>
      </c>
      <c r="J19" s="100"/>
      <c r="K19" s="100"/>
      <c r="L19" s="100"/>
      <c r="M19" s="100"/>
      <c r="P19" s="1521"/>
      <c r="Q19" s="1086"/>
      <c r="R19" s="251"/>
    </row>
    <row r="20" spans="1:18" s="298" customFormat="1" ht="20.25" customHeight="1">
      <c r="A20" s="1164" t="s">
        <v>23</v>
      </c>
      <c r="B20" s="1165">
        <f>SUM(B5:B19)</f>
        <v>972128</v>
      </c>
      <c r="C20" s="1166"/>
      <c r="D20" s="1166"/>
      <c r="E20" s="1167">
        <f>SUM(E5:E19)</f>
        <v>778561</v>
      </c>
      <c r="F20" s="1166"/>
      <c r="G20" s="1166"/>
      <c r="H20" s="1168">
        <f t="shared" si="2"/>
        <v>1750689</v>
      </c>
      <c r="I20" s="1169">
        <f>SUM(I5:I19)</f>
        <v>0.99999999999999989</v>
      </c>
      <c r="J20" s="1170"/>
      <c r="K20" s="1170"/>
      <c r="L20" s="1170"/>
      <c r="M20" s="1170"/>
      <c r="P20" s="1525"/>
      <c r="Q20" s="1522"/>
      <c r="R20" s="1523"/>
    </row>
    <row r="21" spans="1:18" ht="27" customHeight="1">
      <c r="A21" s="100"/>
      <c r="B21" s="100"/>
      <c r="C21" s="100"/>
      <c r="D21" s="100"/>
      <c r="E21" s="100"/>
      <c r="F21" s="100"/>
      <c r="G21" s="100"/>
      <c r="H21" s="100"/>
      <c r="I21" s="100"/>
      <c r="J21" s="100"/>
      <c r="K21" s="100"/>
      <c r="L21" s="100"/>
      <c r="M21" s="100"/>
      <c r="P21" s="1525"/>
      <c r="Q21" s="1522"/>
      <c r="R21" s="251"/>
    </row>
    <row r="22" spans="1:18" ht="17.25" customHeight="1">
      <c r="A22" s="100"/>
      <c r="B22" s="100"/>
      <c r="C22" s="100"/>
      <c r="D22" s="100"/>
      <c r="E22" s="100"/>
      <c r="F22" s="100"/>
      <c r="G22" s="100"/>
      <c r="H22" s="100"/>
      <c r="I22" s="100"/>
      <c r="J22" s="100"/>
      <c r="K22" s="100"/>
      <c r="L22" s="100"/>
      <c r="M22" s="100"/>
      <c r="Q22" s="1086"/>
      <c r="R22" s="251"/>
    </row>
    <row r="23" spans="1:18" ht="17.25" customHeight="1">
      <c r="A23" s="100"/>
      <c r="B23" s="100"/>
      <c r="C23" s="100"/>
      <c r="D23" s="100"/>
      <c r="E23" s="100"/>
      <c r="F23" s="100"/>
      <c r="G23" s="100"/>
      <c r="H23" s="100"/>
      <c r="I23" s="100"/>
      <c r="J23" s="100"/>
      <c r="K23" s="100"/>
      <c r="L23" s="100"/>
      <c r="M23" s="100"/>
      <c r="P23" s="1521"/>
      <c r="Q23" s="1086"/>
      <c r="R23" s="251"/>
    </row>
    <row r="24" spans="1:18" ht="17.25" customHeight="1">
      <c r="A24" s="100"/>
      <c r="B24" s="100"/>
      <c r="C24" s="100"/>
      <c r="D24" s="100"/>
      <c r="E24" s="100"/>
      <c r="F24" s="100"/>
      <c r="G24" s="100"/>
      <c r="H24" s="100"/>
      <c r="I24" s="100"/>
      <c r="J24" s="100"/>
      <c r="K24" s="100"/>
      <c r="L24" s="100"/>
      <c r="M24" s="100"/>
      <c r="P24" s="1521"/>
      <c r="Q24" s="1524"/>
      <c r="R24" s="251"/>
    </row>
    <row r="25" spans="1:18" ht="17.25" customHeight="1">
      <c r="A25" s="100"/>
      <c r="B25" s="100"/>
      <c r="C25" s="100"/>
      <c r="D25" s="100"/>
      <c r="E25" s="100"/>
      <c r="F25" s="100"/>
      <c r="G25" s="100"/>
      <c r="H25" s="100"/>
      <c r="I25" s="100"/>
      <c r="J25" s="100"/>
      <c r="K25" s="100"/>
      <c r="L25" s="100"/>
      <c r="M25" s="100"/>
      <c r="Q25" s="1086"/>
      <c r="R25" s="251"/>
    </row>
    <row r="26" spans="1:18" ht="17.25" customHeight="1">
      <c r="A26" s="100"/>
      <c r="B26" s="100"/>
      <c r="C26" s="100"/>
      <c r="D26" s="100"/>
      <c r="E26" s="100"/>
      <c r="F26" s="100"/>
      <c r="G26" s="100"/>
      <c r="H26" s="100"/>
      <c r="I26" s="100"/>
      <c r="J26" s="100"/>
      <c r="K26" s="100"/>
      <c r="L26" s="100"/>
      <c r="M26" s="100"/>
      <c r="P26" s="1521"/>
      <c r="Q26" s="1086"/>
      <c r="R26" s="251"/>
    </row>
    <row r="27" spans="1:18" ht="17.25" customHeight="1">
      <c r="A27" s="100"/>
      <c r="B27" s="100"/>
      <c r="C27" s="100"/>
      <c r="D27" s="100"/>
      <c r="E27" s="100"/>
      <c r="F27" s="100"/>
      <c r="G27" s="100"/>
      <c r="H27" s="100"/>
      <c r="I27" s="100"/>
      <c r="J27" s="100"/>
      <c r="K27" s="100"/>
      <c r="L27" s="100"/>
      <c r="M27" s="100"/>
      <c r="P27" s="1521"/>
      <c r="Q27" s="1086"/>
      <c r="R27" s="251"/>
    </row>
    <row r="28" spans="1:18" ht="17.25" customHeight="1">
      <c r="A28" s="100"/>
      <c r="B28" s="100"/>
      <c r="C28" s="100"/>
      <c r="D28" s="100"/>
      <c r="E28" s="100"/>
      <c r="F28" s="100"/>
      <c r="G28" s="100"/>
      <c r="H28" s="100"/>
      <c r="I28" s="100"/>
      <c r="J28" s="100"/>
      <c r="K28" s="100"/>
      <c r="L28" s="100"/>
      <c r="M28" s="100"/>
      <c r="P28" s="1521"/>
      <c r="Q28" s="1085"/>
    </row>
    <row r="29" spans="1:18" ht="37.5" customHeight="1">
      <c r="A29" s="100"/>
      <c r="B29" s="100"/>
      <c r="C29" s="100"/>
      <c r="D29" s="100"/>
      <c r="E29" s="100"/>
      <c r="F29" s="100"/>
      <c r="G29" s="100"/>
      <c r="H29" s="100"/>
      <c r="I29" s="100"/>
      <c r="J29" s="100"/>
      <c r="K29" s="100"/>
      <c r="L29" s="100"/>
      <c r="M29" s="100"/>
      <c r="P29" s="1521"/>
      <c r="Q29" s="1605"/>
    </row>
    <row r="30" spans="1:18" ht="17.25" customHeight="1">
      <c r="A30" s="100"/>
      <c r="B30" s="100"/>
      <c r="C30" s="100"/>
      <c r="D30" s="100"/>
      <c r="E30" s="100"/>
      <c r="F30" s="100"/>
      <c r="G30" s="100"/>
      <c r="H30" s="100"/>
      <c r="I30" s="100"/>
      <c r="J30" s="100"/>
      <c r="K30" s="100"/>
      <c r="L30" s="100"/>
      <c r="M30" s="100"/>
      <c r="P30" s="1521"/>
      <c r="Q30" s="1085"/>
    </row>
    <row r="31" spans="1:18" ht="17.25" customHeight="1">
      <c r="A31" s="100"/>
      <c r="B31" s="100"/>
      <c r="C31" s="100"/>
      <c r="D31" s="100"/>
      <c r="E31" s="100"/>
      <c r="F31" s="100"/>
      <c r="G31" s="100"/>
      <c r="H31" s="100"/>
      <c r="I31" s="100"/>
      <c r="J31" s="100"/>
      <c r="K31" s="100"/>
      <c r="L31" s="100"/>
      <c r="M31" s="100"/>
      <c r="P31" s="1521"/>
      <c r="Q31" s="1085"/>
    </row>
    <row r="32" spans="1:18" ht="17.25" customHeight="1">
      <c r="A32" s="100"/>
      <c r="B32" s="100"/>
      <c r="C32" s="100"/>
      <c r="D32" s="100"/>
      <c r="E32" s="100"/>
      <c r="F32" s="100"/>
      <c r="G32" s="100"/>
      <c r="H32" s="100"/>
      <c r="I32" s="100"/>
      <c r="J32" s="100"/>
      <c r="K32" s="100"/>
      <c r="L32" s="100"/>
      <c r="M32" s="100"/>
      <c r="P32" s="1521"/>
      <c r="Q32" s="1085"/>
    </row>
    <row r="33" spans="1:17" ht="17.25" customHeight="1">
      <c r="A33" s="100"/>
      <c r="B33" s="100"/>
      <c r="C33" s="100"/>
      <c r="D33" s="100"/>
      <c r="E33" s="100"/>
      <c r="F33" s="100"/>
      <c r="G33" s="100"/>
      <c r="H33" s="100"/>
      <c r="I33" s="100"/>
      <c r="J33" s="100"/>
      <c r="K33" s="100"/>
      <c r="L33" s="100"/>
      <c r="M33" s="100"/>
      <c r="P33" s="1521"/>
      <c r="Q33" s="1085"/>
    </row>
    <row r="34" spans="1:17" ht="17.25" customHeight="1">
      <c r="A34" s="100"/>
      <c r="B34" s="100"/>
      <c r="C34" s="100"/>
      <c r="D34" s="100"/>
      <c r="E34" s="100"/>
      <c r="F34" s="100"/>
      <c r="G34" s="100"/>
      <c r="H34" s="100"/>
      <c r="I34" s="100"/>
      <c r="J34" s="100"/>
      <c r="K34" s="100"/>
      <c r="L34" s="100"/>
      <c r="M34" s="100"/>
      <c r="P34" s="1521"/>
      <c r="Q34" s="1085"/>
    </row>
    <row r="35" spans="1:17" ht="17.25" customHeight="1">
      <c r="A35" s="100"/>
      <c r="B35" s="100"/>
      <c r="C35" s="100"/>
      <c r="D35" s="100"/>
      <c r="E35" s="100"/>
      <c r="F35" s="100"/>
      <c r="G35" s="100"/>
      <c r="H35" s="100"/>
      <c r="I35" s="100"/>
      <c r="J35" s="100"/>
      <c r="K35" s="100"/>
      <c r="L35" s="100"/>
      <c r="M35" s="100"/>
      <c r="P35" s="1085"/>
      <c r="Q35" s="1085"/>
    </row>
    <row r="36" spans="1:17" ht="17.25" customHeight="1">
      <c r="A36" s="100"/>
      <c r="B36" s="100"/>
      <c r="C36" s="100"/>
      <c r="D36" s="100"/>
      <c r="E36" s="100"/>
      <c r="F36" s="100"/>
      <c r="G36" s="100"/>
      <c r="H36" s="100"/>
      <c r="I36" s="100"/>
      <c r="J36" s="100"/>
      <c r="K36" s="100"/>
      <c r="L36" s="100"/>
      <c r="M36" s="100"/>
      <c r="P36" s="1085"/>
      <c r="Q36" s="1085"/>
    </row>
    <row r="37" spans="1:17" ht="17.25" customHeight="1">
      <c r="A37" s="100"/>
      <c r="B37" s="100"/>
      <c r="C37" s="100"/>
      <c r="D37" s="100"/>
      <c r="E37" s="100"/>
      <c r="F37" s="100"/>
      <c r="G37" s="100"/>
      <c r="H37" s="100"/>
      <c r="I37" s="100"/>
      <c r="J37" s="100"/>
      <c r="K37" s="100"/>
      <c r="L37" s="100"/>
      <c r="M37" s="100"/>
      <c r="P37" s="1085"/>
      <c r="Q37" s="1085"/>
    </row>
    <row r="38" spans="1:17" ht="17.25" customHeight="1">
      <c r="P38" s="1085"/>
      <c r="Q38" s="1085"/>
    </row>
    <row r="39" spans="1:17" ht="13.5" customHeight="1">
      <c r="P39" s="1085"/>
      <c r="Q39" s="1085"/>
    </row>
    <row r="40" spans="1:17" ht="13.5" customHeight="1">
      <c r="P40" s="1085"/>
      <c r="Q40" s="1085"/>
    </row>
    <row r="41" spans="1:17" ht="13.5" customHeight="1">
      <c r="P41" s="1085"/>
      <c r="Q41" s="1085"/>
    </row>
    <row r="42" spans="1:17" ht="13.5" customHeight="1">
      <c r="P42" s="1085"/>
      <c r="Q42" s="1085"/>
    </row>
    <row r="43" spans="1:17" ht="13.5" customHeight="1">
      <c r="P43" s="1085"/>
      <c r="Q43" s="1085"/>
    </row>
    <row r="44" spans="1:17" ht="13.5" customHeight="1">
      <c r="P44" s="1085"/>
      <c r="Q44" s="1085"/>
    </row>
  </sheetData>
  <mergeCells count="1">
    <mergeCell ref="A3:N3"/>
  </mergeCells>
  <printOptions horizontalCentered="1" verticalCentered="1"/>
  <pageMargins left="0.4" right="0.4" top="0.25" bottom="0.25" header="0.31496062992126" footer="0.31496062992126"/>
  <pageSetup scale="47" orientation="landscape" r:id="rId1"/>
  <drawing r:id="rId2"/>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1">
    <tabColor rgb="FF66FF33"/>
  </sheetPr>
  <dimension ref="A1:W22"/>
  <sheetViews>
    <sheetView showGridLines="0" view="pageBreakPreview" zoomScale="70" zoomScaleNormal="100" zoomScaleSheetLayoutView="70" workbookViewId="0">
      <selection activeCell="W22" sqref="W22"/>
    </sheetView>
  </sheetViews>
  <sheetFormatPr baseColWidth="10" defaultColWidth="11.42578125" defaultRowHeight="15"/>
  <cols>
    <col min="1" max="1" width="17.28515625" style="152" customWidth="1"/>
    <col min="2" max="2" width="10.140625" style="39" customWidth="1"/>
    <col min="3" max="3" width="11" style="39" customWidth="1"/>
    <col min="4" max="4" width="14" style="39" customWidth="1"/>
    <col min="5" max="5" width="11.5703125" style="39" customWidth="1"/>
    <col min="6" max="6" width="10.5703125" style="39" customWidth="1"/>
    <col min="7" max="7" width="13.5703125" style="39" customWidth="1"/>
    <col min="8" max="8" width="14.28515625" style="39" customWidth="1"/>
    <col min="9" max="9" width="13.140625" style="39" customWidth="1"/>
    <col min="10" max="10" width="13.28515625" style="39" customWidth="1"/>
    <col min="11" max="11" width="13.7109375" style="39" customWidth="1"/>
    <col min="12" max="13" width="11.7109375" style="39" customWidth="1"/>
    <col min="14" max="14" width="14.140625" style="39" customWidth="1"/>
    <col min="15" max="15" width="9.140625" style="39" bestFit="1" customWidth="1"/>
    <col min="16" max="22" width="11.42578125" style="39" hidden="1" customWidth="1"/>
    <col min="23" max="16384" width="11.42578125" style="39"/>
  </cols>
  <sheetData>
    <row r="1" spans="1:23" s="77" customFormat="1" ht="83.25" customHeight="1">
      <c r="A1" s="2183"/>
      <c r="B1" s="2183"/>
      <c r="C1" s="2183"/>
      <c r="D1" s="2183"/>
      <c r="E1" s="2183"/>
      <c r="F1" s="2183"/>
      <c r="G1" s="2183"/>
      <c r="H1" s="2183"/>
      <c r="I1" s="2183"/>
      <c r="J1" s="2183"/>
      <c r="K1" s="2183"/>
      <c r="L1" s="2183"/>
      <c r="M1" s="2183"/>
      <c r="N1" s="2183"/>
      <c r="O1" s="143"/>
      <c r="P1" s="143"/>
    </row>
    <row r="2" spans="1:23" s="38" customFormat="1" ht="3" customHeight="1">
      <c r="A2" s="699"/>
      <c r="B2" s="193"/>
      <c r="C2" s="193"/>
      <c r="D2" s="193"/>
      <c r="E2" s="193"/>
      <c r="F2" s="193"/>
      <c r="G2" s="193"/>
      <c r="H2" s="193"/>
      <c r="I2" s="193"/>
      <c r="J2" s="193"/>
      <c r="K2" s="193"/>
      <c r="L2" s="193"/>
      <c r="M2" s="193"/>
      <c r="N2" s="700"/>
      <c r="O2" s="178"/>
      <c r="P2" s="178"/>
    </row>
    <row r="3" spans="1:23" s="134" customFormat="1" ht="51" customHeight="1">
      <c r="A3" s="618" t="s">
        <v>0</v>
      </c>
      <c r="B3" s="601" t="s">
        <v>380</v>
      </c>
      <c r="C3" s="601" t="s">
        <v>379</v>
      </c>
      <c r="D3" s="601" t="s">
        <v>378</v>
      </c>
      <c r="E3" s="601" t="s">
        <v>377</v>
      </c>
      <c r="F3" s="601" t="s">
        <v>376</v>
      </c>
      <c r="G3" s="601" t="s">
        <v>436</v>
      </c>
      <c r="H3" s="618" t="s">
        <v>140</v>
      </c>
      <c r="I3" s="601" t="s">
        <v>375</v>
      </c>
      <c r="J3" s="601" t="s">
        <v>374</v>
      </c>
      <c r="K3" s="601" t="s">
        <v>373</v>
      </c>
      <c r="L3" s="601" t="s">
        <v>372</v>
      </c>
      <c r="M3" s="601" t="s">
        <v>371</v>
      </c>
      <c r="N3" s="602" t="s">
        <v>240</v>
      </c>
      <c r="W3" s="173"/>
    </row>
    <row r="4" spans="1:23" s="77" customFormat="1" ht="15.75">
      <c r="A4" s="624" t="s">
        <v>223</v>
      </c>
      <c r="B4" s="599">
        <v>372</v>
      </c>
      <c r="C4" s="599">
        <v>339</v>
      </c>
      <c r="D4" s="599">
        <v>498</v>
      </c>
      <c r="E4" s="599">
        <v>11663</v>
      </c>
      <c r="F4" s="599">
        <v>458</v>
      </c>
      <c r="G4" s="599">
        <v>999</v>
      </c>
      <c r="H4" s="1750">
        <f>SUM(B4:G4)</f>
        <v>14329</v>
      </c>
      <c r="I4" s="694">
        <f t="shared" ref="I4:I11" si="0">B4/H4</f>
        <v>2.5961337148440226E-2</v>
      </c>
      <c r="J4" s="694">
        <f t="shared" ref="J4:J11" si="1">C4/H4</f>
        <v>2.3658315304626979E-2</v>
      </c>
      <c r="K4" s="694">
        <f t="shared" ref="K4:K11" si="2">D4/H4</f>
        <v>3.4754693279363529E-2</v>
      </c>
      <c r="L4" s="694">
        <f t="shared" ref="L4:L11" si="3">E4/H4</f>
        <v>0.81394375043617839</v>
      </c>
      <c r="M4" s="694">
        <f t="shared" ref="M4:M11" si="4">F4/H4</f>
        <v>3.196315165049899E-2</v>
      </c>
      <c r="N4" s="695">
        <f t="shared" ref="N4:N11" si="5">G4/H4</f>
        <v>6.9718752180891894E-2</v>
      </c>
      <c r="W4" s="156"/>
    </row>
    <row r="5" spans="1:23" s="77" customFormat="1" ht="17.25" customHeight="1">
      <c r="A5" s="624" t="s">
        <v>192</v>
      </c>
      <c r="B5" s="599">
        <v>415</v>
      </c>
      <c r="C5" s="599">
        <v>357</v>
      </c>
      <c r="D5" s="599">
        <v>484</v>
      </c>
      <c r="E5" s="599">
        <v>13583</v>
      </c>
      <c r="F5" s="599">
        <v>519</v>
      </c>
      <c r="G5" s="599">
        <v>1513</v>
      </c>
      <c r="H5" s="1750">
        <f t="shared" ref="H5:H10" si="6">SUM(B5:G5)</f>
        <v>16871</v>
      </c>
      <c r="I5" s="694">
        <f t="shared" si="0"/>
        <v>2.4598423329974514E-2</v>
      </c>
      <c r="J5" s="694">
        <f t="shared" si="1"/>
        <v>2.1160571394700966E-2</v>
      </c>
      <c r="K5" s="694">
        <f t="shared" si="2"/>
        <v>2.8688281666765455E-2</v>
      </c>
      <c r="L5" s="694">
        <f t="shared" si="3"/>
        <v>0.80510935925552729</v>
      </c>
      <c r="M5" s="694">
        <f t="shared" si="4"/>
        <v>3.0762847489775355E-2</v>
      </c>
      <c r="N5" s="695">
        <f t="shared" si="5"/>
        <v>8.9680516863256482E-2</v>
      </c>
    </row>
    <row r="6" spans="1:23" s="77" customFormat="1" ht="15.75">
      <c r="A6" s="624" t="s">
        <v>224</v>
      </c>
      <c r="B6" s="599">
        <v>472</v>
      </c>
      <c r="C6" s="599">
        <v>799</v>
      </c>
      <c r="D6" s="599">
        <v>550</v>
      </c>
      <c r="E6" s="599">
        <v>17568</v>
      </c>
      <c r="F6" s="599">
        <v>540</v>
      </c>
      <c r="G6" s="599">
        <v>1260</v>
      </c>
      <c r="H6" s="1750">
        <f t="shared" si="6"/>
        <v>21189</v>
      </c>
      <c r="I6" s="694">
        <f t="shared" si="0"/>
        <v>2.2275709094341404E-2</v>
      </c>
      <c r="J6" s="694">
        <f t="shared" si="1"/>
        <v>3.770824484402284E-2</v>
      </c>
      <c r="K6" s="694">
        <f t="shared" si="2"/>
        <v>2.5956864410779178E-2</v>
      </c>
      <c r="L6" s="694">
        <f t="shared" si="3"/>
        <v>0.82910944357921568</v>
      </c>
      <c r="M6" s="694">
        <f t="shared" si="4"/>
        <v>2.5484921421492283E-2</v>
      </c>
      <c r="N6" s="695">
        <f t="shared" si="5"/>
        <v>5.9464816650148661E-2</v>
      </c>
    </row>
    <row r="7" spans="1:23" s="77" customFormat="1" ht="15.75">
      <c r="A7" s="624" t="s">
        <v>482</v>
      </c>
      <c r="B7" s="599">
        <v>554</v>
      </c>
      <c r="C7" s="599">
        <v>1203</v>
      </c>
      <c r="D7" s="599">
        <v>541</v>
      </c>
      <c r="E7" s="599">
        <v>22091</v>
      </c>
      <c r="F7" s="599">
        <v>651</v>
      </c>
      <c r="G7" s="599">
        <v>1261</v>
      </c>
      <c r="H7" s="1750">
        <f t="shared" si="6"/>
        <v>26301</v>
      </c>
      <c r="I7" s="694">
        <f t="shared" si="0"/>
        <v>2.1063837876886812E-2</v>
      </c>
      <c r="J7" s="694">
        <f t="shared" si="1"/>
        <v>4.5739705714611611E-2</v>
      </c>
      <c r="K7" s="694">
        <f t="shared" si="2"/>
        <v>2.0569560092772138E-2</v>
      </c>
      <c r="L7" s="694">
        <f t="shared" si="3"/>
        <v>0.83993004068286381</v>
      </c>
      <c r="M7" s="694">
        <f t="shared" si="4"/>
        <v>2.4751910573742444E-2</v>
      </c>
      <c r="N7" s="695">
        <f t="shared" si="5"/>
        <v>4.794494505912323E-2</v>
      </c>
    </row>
    <row r="8" spans="1:23" s="77" customFormat="1" ht="15.75">
      <c r="A8" s="624" t="s">
        <v>561</v>
      </c>
      <c r="B8" s="599">
        <v>1154</v>
      </c>
      <c r="C8" s="599">
        <v>954</v>
      </c>
      <c r="D8" s="599">
        <v>428</v>
      </c>
      <c r="E8" s="599">
        <v>23762</v>
      </c>
      <c r="F8" s="599">
        <v>650</v>
      </c>
      <c r="G8" s="599">
        <v>1804</v>
      </c>
      <c r="H8" s="1750">
        <f t="shared" si="6"/>
        <v>28752</v>
      </c>
      <c r="I8" s="694">
        <f t="shared" si="0"/>
        <v>4.013633834168058E-2</v>
      </c>
      <c r="J8" s="694">
        <f t="shared" si="1"/>
        <v>3.3180300500834724E-2</v>
      </c>
      <c r="K8" s="694">
        <f t="shared" si="2"/>
        <v>1.4885920979410128E-2</v>
      </c>
      <c r="L8" s="694">
        <f t="shared" si="3"/>
        <v>0.82644685587089595</v>
      </c>
      <c r="M8" s="694">
        <f t="shared" si="4"/>
        <v>2.2607122982749025E-2</v>
      </c>
      <c r="N8" s="695">
        <f t="shared" si="5"/>
        <v>6.2743461324429609E-2</v>
      </c>
    </row>
    <row r="9" spans="1:23" s="77" customFormat="1" ht="15.75">
      <c r="A9" s="624" t="s">
        <v>569</v>
      </c>
      <c r="B9" s="599">
        <v>1182</v>
      </c>
      <c r="C9" s="599">
        <v>1127</v>
      </c>
      <c r="D9" s="599">
        <v>628</v>
      </c>
      <c r="E9" s="599">
        <v>24972</v>
      </c>
      <c r="F9" s="599">
        <v>777</v>
      </c>
      <c r="G9" s="599">
        <v>1645</v>
      </c>
      <c r="H9" s="1750">
        <f t="shared" si="6"/>
        <v>30331</v>
      </c>
      <c r="I9" s="694">
        <f t="shared" si="0"/>
        <v>3.8970030661699254E-2</v>
      </c>
      <c r="J9" s="694">
        <f t="shared" si="1"/>
        <v>3.7156704361873988E-2</v>
      </c>
      <c r="K9" s="694">
        <f t="shared" si="2"/>
        <v>2.070488938709571E-2</v>
      </c>
      <c r="L9" s="694">
        <f t="shared" si="3"/>
        <v>0.82331607925884409</v>
      </c>
      <c r="M9" s="694">
        <f t="shared" si="4"/>
        <v>2.5617355181167784E-2</v>
      </c>
      <c r="N9" s="695">
        <f t="shared" si="5"/>
        <v>5.4234941149319177E-2</v>
      </c>
    </row>
    <row r="10" spans="1:23" s="77" customFormat="1" ht="15.75">
      <c r="A10" s="624" t="s">
        <v>1007</v>
      </c>
      <c r="B10" s="599">
        <f>1070-79</f>
        <v>991</v>
      </c>
      <c r="C10" s="599">
        <f>1209-96</f>
        <v>1113</v>
      </c>
      <c r="D10" s="599">
        <f>222-19</f>
        <v>203</v>
      </c>
      <c r="E10" s="599">
        <f>28671-2412</f>
        <v>26259</v>
      </c>
      <c r="F10" s="599">
        <f>761-77</f>
        <v>684</v>
      </c>
      <c r="G10" s="599">
        <v>1731</v>
      </c>
      <c r="H10" s="1750">
        <f t="shared" si="6"/>
        <v>30981</v>
      </c>
      <c r="I10" s="694">
        <f t="shared" si="0"/>
        <v>3.1987347083696459E-2</v>
      </c>
      <c r="J10" s="694">
        <f t="shared" si="1"/>
        <v>3.5925244504696426E-2</v>
      </c>
      <c r="K10" s="694">
        <f t="shared" si="2"/>
        <v>6.5524030857622411E-3</v>
      </c>
      <c r="L10" s="694">
        <f t="shared" si="3"/>
        <v>0.84758400309867343</v>
      </c>
      <c r="M10" s="694">
        <f t="shared" si="4"/>
        <v>2.2078047835770311E-2</v>
      </c>
      <c r="N10" s="695">
        <f t="shared" si="5"/>
        <v>5.5872954391401185E-2</v>
      </c>
    </row>
    <row r="11" spans="1:23" s="77" customFormat="1" ht="15.75">
      <c r="A11" s="618" t="s">
        <v>23</v>
      </c>
      <c r="B11" s="604">
        <f t="shared" ref="B11:H11" si="7">SUM(B4:B10)</f>
        <v>5140</v>
      </c>
      <c r="C11" s="604">
        <f t="shared" si="7"/>
        <v>5892</v>
      </c>
      <c r="D11" s="604">
        <f t="shared" si="7"/>
        <v>3332</v>
      </c>
      <c r="E11" s="604">
        <f t="shared" si="7"/>
        <v>139898</v>
      </c>
      <c r="F11" s="604">
        <f t="shared" si="7"/>
        <v>4279</v>
      </c>
      <c r="G11" s="604">
        <f t="shared" si="7"/>
        <v>10213</v>
      </c>
      <c r="H11" s="1273">
        <f t="shared" si="7"/>
        <v>168754</v>
      </c>
      <c r="I11" s="605">
        <f t="shared" si="0"/>
        <v>3.0458537279116345E-2</v>
      </c>
      <c r="J11" s="605">
        <f t="shared" si="1"/>
        <v>3.4914727947189403E-2</v>
      </c>
      <c r="K11" s="605">
        <f t="shared" si="2"/>
        <v>1.9744717162259857E-2</v>
      </c>
      <c r="L11" s="605">
        <f t="shared" si="3"/>
        <v>0.82900553468362237</v>
      </c>
      <c r="M11" s="605">
        <f t="shared" si="4"/>
        <v>2.5356435995591217E-2</v>
      </c>
      <c r="N11" s="606">
        <f t="shared" si="5"/>
        <v>6.0520046932220864E-2</v>
      </c>
    </row>
    <row r="12" spans="1:23" s="77" customFormat="1">
      <c r="A12" s="701"/>
      <c r="B12" s="702"/>
      <c r="C12" s="702"/>
      <c r="D12" s="702"/>
      <c r="E12" s="702"/>
      <c r="F12" s="702"/>
      <c r="G12" s="702"/>
      <c r="H12" s="74"/>
      <c r="I12" s="74"/>
      <c r="J12" s="74"/>
      <c r="K12" s="74"/>
      <c r="L12" s="74"/>
      <c r="M12" s="74"/>
      <c r="N12" s="74"/>
    </row>
    <row r="13" spans="1:23" s="77" customFormat="1">
      <c r="A13" s="150"/>
      <c r="B13" s="141"/>
      <c r="C13" s="141"/>
      <c r="D13" s="141"/>
      <c r="E13" s="141"/>
      <c r="F13" s="141"/>
      <c r="G13" s="141"/>
    </row>
    <row r="14" spans="1:23" s="77" customFormat="1">
      <c r="A14" s="150"/>
      <c r="B14" s="141"/>
      <c r="C14" s="141"/>
      <c r="D14" s="141"/>
      <c r="E14" s="141"/>
      <c r="F14" s="141"/>
      <c r="G14" s="141"/>
    </row>
    <row r="15" spans="1:23" s="77" customFormat="1">
      <c r="A15" s="150"/>
      <c r="B15" s="141"/>
      <c r="C15" s="141"/>
      <c r="D15" s="141"/>
      <c r="E15" s="141"/>
      <c r="F15" s="141"/>
      <c r="G15" s="141"/>
    </row>
    <row r="16" spans="1:23" s="77" customFormat="1">
      <c r="A16" s="151"/>
    </row>
    <row r="17" spans="1:1" s="77" customFormat="1">
      <c r="A17" s="151"/>
    </row>
    <row r="18" spans="1:1" s="77" customFormat="1">
      <c r="A18" s="151"/>
    </row>
    <row r="19" spans="1:1" s="77" customFormat="1">
      <c r="A19" s="151"/>
    </row>
    <row r="20" spans="1:1" s="77" customFormat="1">
      <c r="A20" s="151"/>
    </row>
    <row r="21" spans="1:1" s="77" customFormat="1">
      <c r="A21" s="151"/>
    </row>
    <row r="22" spans="1:1" s="77" customFormat="1">
      <c r="A22" s="151"/>
    </row>
  </sheetData>
  <mergeCells count="1">
    <mergeCell ref="A1:N1"/>
  </mergeCells>
  <printOptions horizontalCentered="1"/>
  <pageMargins left="0.39370078740157483" right="0.39370078740157483" top="0.23622047244094491" bottom="0.23622047244094491" header="0.31496062992125984" footer="0.31496062992125984"/>
  <pageSetup scale="72" orientation="landscape" r:id="rId1"/>
  <drawing r:id="rId2"/>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2">
    <tabColor rgb="FF66FF33"/>
    <pageSetUpPr fitToPage="1"/>
  </sheetPr>
  <dimension ref="A1:O23"/>
  <sheetViews>
    <sheetView showGridLines="0" view="pageBreakPreview" zoomScale="70" zoomScaleNormal="100" zoomScaleSheetLayoutView="70" workbookViewId="0">
      <pane xSplit="1" ySplit="3" topLeftCell="B4" activePane="bottomRight" state="frozen"/>
      <selection pane="topRight" activeCell="B1" sqref="B1"/>
      <selection pane="bottomLeft" activeCell="A4" sqref="A4"/>
      <selection pane="bottomRight" activeCell="A3" sqref="A3"/>
    </sheetView>
  </sheetViews>
  <sheetFormatPr baseColWidth="10" defaultColWidth="11.42578125" defaultRowHeight="15"/>
  <cols>
    <col min="1" max="1" width="33" style="39" customWidth="1"/>
    <col min="2" max="2" width="12" style="39" customWidth="1"/>
    <col min="3" max="3" width="12.5703125" style="39" customWidth="1"/>
    <col min="4" max="4" width="13.28515625" style="39" customWidth="1"/>
    <col min="5" max="7" width="14.42578125" style="39" customWidth="1"/>
    <col min="8" max="8" width="16.140625" style="39" customWidth="1"/>
    <col min="9" max="9" width="14.28515625" style="39" customWidth="1"/>
    <col min="10" max="10" width="18.85546875" style="39" customWidth="1"/>
    <col min="11" max="11" width="13.28515625" style="39" customWidth="1"/>
    <col min="12" max="13" width="11.42578125" style="39" customWidth="1"/>
    <col min="14" max="16384" width="11.42578125" style="39"/>
  </cols>
  <sheetData>
    <row r="1" spans="1:15" s="77" customFormat="1" ht="68.25" customHeight="1">
      <c r="A1" s="2183"/>
      <c r="B1" s="2183"/>
      <c r="C1" s="2183"/>
      <c r="D1" s="2183"/>
      <c r="E1" s="2183"/>
      <c r="F1" s="2183"/>
      <c r="G1" s="2183"/>
      <c r="H1" s="2183"/>
      <c r="I1" s="2183"/>
      <c r="J1" s="2183"/>
      <c r="K1" s="2183"/>
      <c r="L1" s="2183"/>
      <c r="M1" s="2183"/>
      <c r="N1" s="2183"/>
    </row>
    <row r="2" spans="1:15" s="77" customFormat="1" ht="8.25" customHeight="1">
      <c r="A2" s="2192"/>
      <c r="B2" s="2193"/>
      <c r="C2" s="2193"/>
      <c r="D2" s="2193"/>
      <c r="E2" s="2193"/>
      <c r="F2" s="2193"/>
      <c r="G2" s="2193"/>
      <c r="H2" s="2193"/>
      <c r="I2" s="2193"/>
      <c r="J2" s="2193"/>
      <c r="K2" s="2193"/>
      <c r="L2" s="2193"/>
      <c r="M2" s="2193"/>
      <c r="N2" s="2193"/>
    </row>
    <row r="3" spans="1:15" s="77" customFormat="1" ht="21" customHeight="1">
      <c r="A3" s="591" t="s">
        <v>382</v>
      </c>
      <c r="B3" s="594" t="s">
        <v>223</v>
      </c>
      <c r="C3" s="594" t="s">
        <v>192</v>
      </c>
      <c r="D3" s="594" t="s">
        <v>224</v>
      </c>
      <c r="E3" s="594" t="s">
        <v>482</v>
      </c>
      <c r="F3" s="594" t="s">
        <v>561</v>
      </c>
      <c r="G3" s="594" t="s">
        <v>569</v>
      </c>
      <c r="H3" s="594" t="s">
        <v>1007</v>
      </c>
      <c r="I3" s="592" t="s">
        <v>140</v>
      </c>
      <c r="J3" s="595" t="s">
        <v>381</v>
      </c>
    </row>
    <row r="4" spans="1:15" s="77" customFormat="1" ht="15.75">
      <c r="A4" s="718" t="s">
        <v>384</v>
      </c>
      <c r="B4" s="593">
        <v>24</v>
      </c>
      <c r="C4" s="593">
        <v>18</v>
      </c>
      <c r="D4" s="593">
        <v>15</v>
      </c>
      <c r="E4" s="593">
        <v>17</v>
      </c>
      <c r="F4" s="593">
        <v>27</v>
      </c>
      <c r="G4" s="593">
        <v>17</v>
      </c>
      <c r="H4" s="633">
        <v>16</v>
      </c>
      <c r="I4" s="1069">
        <f t="shared" ref="I4:I11" si="0">SUM(B4:H4)</f>
        <v>134</v>
      </c>
      <c r="J4" s="716">
        <f t="shared" ref="J4:J11" si="1">I4/$I$12</f>
        <v>7.9405525202365574E-4</v>
      </c>
      <c r="K4" s="18"/>
      <c r="L4" s="156"/>
    </row>
    <row r="5" spans="1:15" s="77" customFormat="1" ht="15.75">
      <c r="A5" s="718" t="s">
        <v>389</v>
      </c>
      <c r="B5" s="593">
        <v>81</v>
      </c>
      <c r="C5" s="593">
        <v>107</v>
      </c>
      <c r="D5" s="593">
        <v>174</v>
      </c>
      <c r="E5" s="593">
        <v>203</v>
      </c>
      <c r="F5" s="593">
        <v>236</v>
      </c>
      <c r="G5" s="593">
        <v>274</v>
      </c>
      <c r="H5" s="633">
        <f>297-27</f>
        <v>270</v>
      </c>
      <c r="I5" s="1069">
        <f t="shared" si="0"/>
        <v>1345</v>
      </c>
      <c r="J5" s="716">
        <f t="shared" si="1"/>
        <v>7.9701814475508729E-3</v>
      </c>
      <c r="K5" s="18"/>
      <c r="L5" s="156"/>
    </row>
    <row r="6" spans="1:15" s="77" customFormat="1" ht="15.75">
      <c r="A6" s="718" t="s">
        <v>386</v>
      </c>
      <c r="B6" s="593">
        <v>542</v>
      </c>
      <c r="C6" s="593">
        <v>772</v>
      </c>
      <c r="D6" s="593">
        <v>743</v>
      </c>
      <c r="E6" s="593">
        <v>794</v>
      </c>
      <c r="F6" s="593">
        <v>879</v>
      </c>
      <c r="G6" s="593">
        <v>927</v>
      </c>
      <c r="H6" s="633">
        <f>988-83</f>
        <v>905</v>
      </c>
      <c r="I6" s="1069">
        <f t="shared" si="0"/>
        <v>5562</v>
      </c>
      <c r="J6" s="716">
        <f t="shared" si="1"/>
        <v>3.2959218744444574E-2</v>
      </c>
      <c r="K6" s="18"/>
      <c r="L6" s="156"/>
    </row>
    <row r="7" spans="1:15" s="77" customFormat="1" ht="15.75">
      <c r="A7" s="718" t="s">
        <v>387</v>
      </c>
      <c r="B7" s="593">
        <v>1851</v>
      </c>
      <c r="C7" s="593">
        <v>1583</v>
      </c>
      <c r="D7" s="593">
        <v>1961</v>
      </c>
      <c r="E7" s="593">
        <v>2379</v>
      </c>
      <c r="F7" s="593">
        <v>2516</v>
      </c>
      <c r="G7" s="593">
        <v>2625</v>
      </c>
      <c r="H7" s="633">
        <f>2898-234</f>
        <v>2664</v>
      </c>
      <c r="I7" s="1069">
        <f t="shared" si="0"/>
        <v>15579</v>
      </c>
      <c r="J7" s="716">
        <f t="shared" si="1"/>
        <v>9.2317811725944277E-2</v>
      </c>
      <c r="K7" s="18"/>
      <c r="L7" s="156"/>
    </row>
    <row r="8" spans="1:15" s="77" customFormat="1" ht="15.75">
      <c r="A8" s="718" t="s">
        <v>383</v>
      </c>
      <c r="B8" s="593">
        <v>2275</v>
      </c>
      <c r="C8" s="593">
        <v>2675</v>
      </c>
      <c r="D8" s="593">
        <v>2605</v>
      </c>
      <c r="E8" s="593">
        <v>3392</v>
      </c>
      <c r="F8" s="593">
        <v>4101</v>
      </c>
      <c r="G8" s="593">
        <v>4185</v>
      </c>
      <c r="H8" s="633">
        <v>4124</v>
      </c>
      <c r="I8" s="1069">
        <f t="shared" si="0"/>
        <v>23357</v>
      </c>
      <c r="J8" s="716">
        <f t="shared" si="1"/>
        <v>0.1384085710560935</v>
      </c>
      <c r="K8" s="18"/>
      <c r="L8" s="156"/>
    </row>
    <row r="9" spans="1:15" s="77" customFormat="1" ht="15.75">
      <c r="A9" s="718" t="s">
        <v>390</v>
      </c>
      <c r="B9" s="593">
        <v>2805</v>
      </c>
      <c r="C9" s="593">
        <v>3727</v>
      </c>
      <c r="D9" s="593">
        <v>4775</v>
      </c>
      <c r="E9" s="593">
        <v>5981</v>
      </c>
      <c r="F9" s="593">
        <v>6728</v>
      </c>
      <c r="G9" s="593">
        <v>7364</v>
      </c>
      <c r="H9" s="633">
        <f>8853-696</f>
        <v>8157</v>
      </c>
      <c r="I9" s="1069">
        <f t="shared" si="0"/>
        <v>39537</v>
      </c>
      <c r="J9" s="716">
        <f t="shared" si="1"/>
        <v>0.23428777984521848</v>
      </c>
      <c r="K9" s="18"/>
      <c r="L9" s="156"/>
    </row>
    <row r="10" spans="1:15" s="77" customFormat="1" ht="15.75">
      <c r="A10" s="718" t="s">
        <v>388</v>
      </c>
      <c r="B10" s="593">
        <v>3659</v>
      </c>
      <c r="C10" s="593">
        <v>4591</v>
      </c>
      <c r="D10" s="593">
        <v>5297</v>
      </c>
      <c r="E10" s="593">
        <v>6168</v>
      </c>
      <c r="F10" s="593">
        <v>5944</v>
      </c>
      <c r="G10" s="593">
        <v>6041</v>
      </c>
      <c r="H10" s="633">
        <f>6079-495</f>
        <v>5584</v>
      </c>
      <c r="I10" s="1069">
        <f t="shared" si="0"/>
        <v>37284</v>
      </c>
      <c r="J10" s="716">
        <f t="shared" si="1"/>
        <v>0.22093698519738791</v>
      </c>
      <c r="K10" s="18"/>
      <c r="L10" s="156"/>
    </row>
    <row r="11" spans="1:15" s="77" customFormat="1" ht="15.75">
      <c r="A11" s="718" t="s">
        <v>385</v>
      </c>
      <c r="B11" s="593">
        <v>3092</v>
      </c>
      <c r="C11" s="593">
        <v>3398</v>
      </c>
      <c r="D11" s="593">
        <v>5619</v>
      </c>
      <c r="E11" s="593">
        <v>7367</v>
      </c>
      <c r="F11" s="593">
        <v>8321</v>
      </c>
      <c r="G11" s="593">
        <v>8898</v>
      </c>
      <c r="H11" s="633">
        <f>10200-939</f>
        <v>9261</v>
      </c>
      <c r="I11" s="1069">
        <f t="shared" si="0"/>
        <v>45956</v>
      </c>
      <c r="J11" s="716">
        <f t="shared" si="1"/>
        <v>0.27232539673133677</v>
      </c>
      <c r="L11" s="156"/>
    </row>
    <row r="12" spans="1:15" s="77" customFormat="1" ht="15.75">
      <c r="A12" s="592" t="s">
        <v>23</v>
      </c>
      <c r="B12" s="709">
        <f>SUM(B4:B11)</f>
        <v>14329</v>
      </c>
      <c r="C12" s="709">
        <f>SUM(C4:C11)</f>
        <v>16871</v>
      </c>
      <c r="D12" s="709">
        <f t="shared" ref="D12:I12" si="2">SUM(D4:D11)</f>
        <v>21189</v>
      </c>
      <c r="E12" s="709">
        <f t="shared" si="2"/>
        <v>26301</v>
      </c>
      <c r="F12" s="709">
        <f t="shared" si="2"/>
        <v>28752</v>
      </c>
      <c r="G12" s="709">
        <f t="shared" si="2"/>
        <v>30331</v>
      </c>
      <c r="H12" s="709">
        <f t="shared" si="2"/>
        <v>30981</v>
      </c>
      <c r="I12" s="1280">
        <f t="shared" si="2"/>
        <v>168754</v>
      </c>
      <c r="J12" s="717">
        <f>SUM(J4:J11)</f>
        <v>1</v>
      </c>
      <c r="K12" s="621"/>
    </row>
    <row r="13" spans="1:15" s="77" customFormat="1"/>
    <row r="14" spans="1:15" s="77" customFormat="1"/>
    <row r="15" spans="1:15" s="77" customFormat="1">
      <c r="O15" s="277"/>
    </row>
    <row r="16" spans="1:15" s="77" customFormat="1"/>
    <row r="17" s="77" customFormat="1"/>
    <row r="18" s="77" customFormat="1"/>
    <row r="19" s="77" customFormat="1"/>
    <row r="20" s="77" customFormat="1"/>
    <row r="21" s="77" customFormat="1"/>
    <row r="22" s="77" customFormat="1"/>
    <row r="23" s="77" customFormat="1"/>
  </sheetData>
  <sortState ref="A4:J12">
    <sortCondition ref="I4"/>
  </sortState>
  <mergeCells count="2">
    <mergeCell ref="A1:N1"/>
    <mergeCell ref="A2:N2"/>
  </mergeCells>
  <printOptions horizontalCentered="1"/>
  <pageMargins left="0.39370078740157483" right="0.39370078740157483" top="0.23622047244094491" bottom="0.23622047244094491" header="0.31496062992125984" footer="0.31496062992125984"/>
  <pageSetup scale="62" orientation="landscape" r:id="rId1"/>
  <drawing r:id="rId2"/>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3">
    <tabColor rgb="FF66FF33"/>
    <pageSetUpPr fitToPage="1"/>
  </sheetPr>
  <dimension ref="A1:M23"/>
  <sheetViews>
    <sheetView showGridLines="0" view="pageBreakPreview" zoomScale="70" zoomScaleNormal="100" zoomScaleSheetLayoutView="70" workbookViewId="0">
      <pane xSplit="1" ySplit="3" topLeftCell="D4" activePane="bottomRight" state="frozen"/>
      <selection pane="topRight" activeCell="B1" sqref="B1"/>
      <selection pane="bottomLeft" activeCell="A4" sqref="A4"/>
      <selection pane="bottomRight" activeCell="A3" sqref="A3"/>
    </sheetView>
  </sheetViews>
  <sheetFormatPr baseColWidth="10" defaultColWidth="11.42578125" defaultRowHeight="15"/>
  <cols>
    <col min="1" max="1" width="47.42578125" style="39" customWidth="1"/>
    <col min="2" max="2" width="15.7109375" style="39" customWidth="1"/>
    <col min="3" max="3" width="15.85546875" style="39" customWidth="1"/>
    <col min="4" max="4" width="15.28515625" style="39" customWidth="1"/>
    <col min="5" max="5" width="16.7109375" style="39" customWidth="1"/>
    <col min="6" max="6" width="15.140625" style="39" customWidth="1"/>
    <col min="7" max="7" width="15" style="39" customWidth="1"/>
    <col min="8" max="8" width="19" style="39" customWidth="1"/>
    <col min="9" max="9" width="14.28515625" style="39" customWidth="1"/>
    <col min="10" max="10" width="25" style="39" customWidth="1"/>
    <col min="11" max="11" width="16.7109375" style="39" customWidth="1"/>
    <col min="12" max="12" width="19.28515625" style="39" customWidth="1"/>
    <col min="13" max="13" width="13" style="39" customWidth="1"/>
    <col min="14" max="16384" width="11.42578125" style="39"/>
  </cols>
  <sheetData>
    <row r="1" spans="1:13" s="77" customFormat="1" ht="74.25" customHeight="1">
      <c r="A1" s="2071"/>
      <c r="B1" s="2071"/>
      <c r="C1" s="2071"/>
      <c r="D1" s="2071"/>
      <c r="E1" s="2071"/>
      <c r="F1" s="2071"/>
      <c r="G1" s="2071"/>
      <c r="H1" s="2071"/>
      <c r="I1" s="2071"/>
      <c r="J1" s="2071"/>
      <c r="K1" s="2071"/>
      <c r="L1" s="2071"/>
      <c r="M1" s="2071"/>
    </row>
    <row r="2" spans="1:13" s="77" customFormat="1" ht="21" customHeight="1">
      <c r="A2" s="134"/>
      <c r="B2" s="134"/>
      <c r="C2" s="134"/>
      <c r="D2" s="134"/>
      <c r="E2" s="134"/>
      <c r="F2" s="134"/>
      <c r="G2" s="134"/>
      <c r="H2" s="134"/>
      <c r="I2" s="134"/>
      <c r="J2" s="134"/>
      <c r="K2" s="134"/>
      <c r="L2" s="134"/>
      <c r="M2" s="134"/>
    </row>
    <row r="3" spans="1:13" s="1053" customFormat="1" ht="23.25" customHeight="1">
      <c r="A3" s="719" t="s">
        <v>399</v>
      </c>
      <c r="B3" s="1220" t="s">
        <v>223</v>
      </c>
      <c r="C3" s="1220" t="s">
        <v>192</v>
      </c>
      <c r="D3" s="1220" t="s">
        <v>224</v>
      </c>
      <c r="E3" s="1289" t="s">
        <v>482</v>
      </c>
      <c r="F3" s="1289" t="s">
        <v>561</v>
      </c>
      <c r="G3" s="1289" t="s">
        <v>569</v>
      </c>
      <c r="H3" s="1289" t="s">
        <v>1007</v>
      </c>
      <c r="I3" s="1290" t="s">
        <v>140</v>
      </c>
      <c r="J3" s="1221" t="s">
        <v>381</v>
      </c>
    </row>
    <row r="4" spans="1:13" s="77" customFormat="1" ht="18.75">
      <c r="A4" s="721" t="s">
        <v>398</v>
      </c>
      <c r="B4" s="1112">
        <v>892</v>
      </c>
      <c r="C4" s="1112">
        <v>730</v>
      </c>
      <c r="D4" s="1112">
        <v>663</v>
      </c>
      <c r="E4" s="1112">
        <v>372</v>
      </c>
      <c r="F4" s="1112">
        <v>726</v>
      </c>
      <c r="G4" s="1112">
        <v>843</v>
      </c>
      <c r="H4" s="1112">
        <f>1039-83</f>
        <v>956</v>
      </c>
      <c r="I4" s="1272">
        <f t="shared" ref="I4:I12" si="0">SUM(B4:H4)</f>
        <v>5182</v>
      </c>
      <c r="J4" s="1275">
        <f t="shared" ref="J4:J12" si="1">I4/$I$13</f>
        <v>3.0707420268556596E-2</v>
      </c>
    </row>
    <row r="5" spans="1:13" s="77" customFormat="1" ht="18.75">
      <c r="A5" s="721" t="s">
        <v>397</v>
      </c>
      <c r="B5" s="1112">
        <v>6315</v>
      </c>
      <c r="C5" s="1112">
        <v>8043</v>
      </c>
      <c r="D5" s="1112">
        <v>9764</v>
      </c>
      <c r="E5" s="1112">
        <v>9145</v>
      </c>
      <c r="F5" s="1112">
        <v>11271</v>
      </c>
      <c r="G5" s="1112">
        <v>12179</v>
      </c>
      <c r="H5" s="1112">
        <f>13564-1084</f>
        <v>12480</v>
      </c>
      <c r="I5" s="1272">
        <f t="shared" si="0"/>
        <v>69197</v>
      </c>
      <c r="J5" s="1275">
        <f t="shared" si="1"/>
        <v>0.41004657667373812</v>
      </c>
    </row>
    <row r="6" spans="1:13" s="77" customFormat="1" ht="18.75">
      <c r="A6" s="721" t="s">
        <v>396</v>
      </c>
      <c r="B6" s="1112">
        <v>110</v>
      </c>
      <c r="C6" s="1112">
        <v>78</v>
      </c>
      <c r="D6" s="1112">
        <v>95</v>
      </c>
      <c r="E6" s="1112">
        <v>60</v>
      </c>
      <c r="F6" s="1112">
        <v>69</v>
      </c>
      <c r="G6" s="1112">
        <v>70</v>
      </c>
      <c r="H6" s="1112">
        <f>97-13</f>
        <v>84</v>
      </c>
      <c r="I6" s="1272">
        <f t="shared" si="0"/>
        <v>566</v>
      </c>
      <c r="J6" s="1275">
        <f t="shared" si="1"/>
        <v>3.3539945719805158E-3</v>
      </c>
    </row>
    <row r="7" spans="1:13" s="77" customFormat="1" ht="18.75">
      <c r="A7" s="721" t="s">
        <v>395</v>
      </c>
      <c r="B7" s="1112">
        <v>475</v>
      </c>
      <c r="C7" s="1112">
        <v>516</v>
      </c>
      <c r="D7" s="1112">
        <v>610</v>
      </c>
      <c r="E7" s="1112">
        <v>550</v>
      </c>
      <c r="F7" s="1112">
        <v>810</v>
      </c>
      <c r="G7" s="1112">
        <v>1067</v>
      </c>
      <c r="H7" s="1112">
        <f>990-64</f>
        <v>926</v>
      </c>
      <c r="I7" s="1272">
        <f t="shared" si="0"/>
        <v>4954</v>
      </c>
      <c r="J7" s="1275">
        <f t="shared" si="1"/>
        <v>2.9356341183023809E-2</v>
      </c>
    </row>
    <row r="8" spans="1:13" s="77" customFormat="1" ht="18.75">
      <c r="A8" s="721" t="s">
        <v>394</v>
      </c>
      <c r="B8" s="1112">
        <v>491</v>
      </c>
      <c r="C8" s="1112">
        <v>567</v>
      </c>
      <c r="D8" s="1112">
        <v>791</v>
      </c>
      <c r="E8" s="1112">
        <v>588</v>
      </c>
      <c r="F8" s="1112">
        <v>968</v>
      </c>
      <c r="G8" s="1112">
        <v>1128</v>
      </c>
      <c r="H8" s="1112">
        <f>1088-106</f>
        <v>982</v>
      </c>
      <c r="I8" s="1272">
        <f t="shared" si="0"/>
        <v>5515</v>
      </c>
      <c r="J8" s="1275">
        <f t="shared" si="1"/>
        <v>3.2680706827690011E-2</v>
      </c>
    </row>
    <row r="9" spans="1:13" s="77" customFormat="1" ht="18.75">
      <c r="A9" s="721" t="s">
        <v>393</v>
      </c>
      <c r="B9" s="1112">
        <v>134</v>
      </c>
      <c r="C9" s="1112">
        <v>151</v>
      </c>
      <c r="D9" s="1112">
        <v>163</v>
      </c>
      <c r="E9" s="1112">
        <v>103</v>
      </c>
      <c r="F9" s="1112">
        <v>180</v>
      </c>
      <c r="G9" s="1112">
        <v>228</v>
      </c>
      <c r="H9" s="1112">
        <f>233-18</f>
        <v>215</v>
      </c>
      <c r="I9" s="1272">
        <f t="shared" si="0"/>
        <v>1174</v>
      </c>
      <c r="J9" s="1275">
        <f t="shared" si="1"/>
        <v>6.9568721334012824E-3</v>
      </c>
    </row>
    <row r="10" spans="1:13" s="77" customFormat="1" ht="18.75">
      <c r="A10" s="721" t="s">
        <v>392</v>
      </c>
      <c r="B10" s="1112">
        <v>1093</v>
      </c>
      <c r="C10" s="1112">
        <v>1015</v>
      </c>
      <c r="D10" s="1112">
        <v>1167</v>
      </c>
      <c r="E10" s="1112">
        <v>1027</v>
      </c>
      <c r="F10" s="1112">
        <v>1628</v>
      </c>
      <c r="G10" s="1112">
        <v>1662</v>
      </c>
      <c r="H10" s="1112">
        <f>1968-173</f>
        <v>1795</v>
      </c>
      <c r="I10" s="1272">
        <f t="shared" si="0"/>
        <v>9387</v>
      </c>
      <c r="J10" s="1275">
        <f t="shared" si="1"/>
        <v>5.562534813989594E-2</v>
      </c>
    </row>
    <row r="11" spans="1:13" s="77" customFormat="1" ht="18.75">
      <c r="A11" s="721" t="s">
        <v>391</v>
      </c>
      <c r="B11" s="1112">
        <v>3053</v>
      </c>
      <c r="C11" s="1112">
        <v>3558</v>
      </c>
      <c r="D11" s="1112">
        <v>6057</v>
      </c>
      <c r="E11" s="1112">
        <v>5508</v>
      </c>
      <c r="F11" s="1112">
        <v>8078</v>
      </c>
      <c r="G11" s="1112">
        <v>9780</v>
      </c>
      <c r="H11" s="1112">
        <f>11075-1003</f>
        <v>10072</v>
      </c>
      <c r="I11" s="1272">
        <f t="shared" si="0"/>
        <v>46106</v>
      </c>
      <c r="J11" s="1275">
        <f t="shared" si="1"/>
        <v>0.27321426455076619</v>
      </c>
    </row>
    <row r="12" spans="1:13" s="77" customFormat="1" ht="18.75">
      <c r="A12" s="721" t="s">
        <v>146</v>
      </c>
      <c r="B12" s="1112">
        <v>1766</v>
      </c>
      <c r="C12" s="1112">
        <v>2213</v>
      </c>
      <c r="D12" s="1112">
        <v>1879</v>
      </c>
      <c r="E12" s="1112">
        <f>26301-17353</f>
        <v>8948</v>
      </c>
      <c r="F12" s="1112">
        <f>28752-23730</f>
        <v>5022</v>
      </c>
      <c r="G12" s="1112">
        <f>30331-26957</f>
        <v>3374</v>
      </c>
      <c r="H12" s="1112">
        <v>3471</v>
      </c>
      <c r="I12" s="1272">
        <f t="shared" si="0"/>
        <v>26673</v>
      </c>
      <c r="J12" s="1275">
        <f t="shared" si="1"/>
        <v>0.15805847565094752</v>
      </c>
    </row>
    <row r="13" spans="1:13" s="77" customFormat="1" ht="18.75">
      <c r="A13" s="720" t="s">
        <v>23</v>
      </c>
      <c r="B13" s="604">
        <f t="shared" ref="B13:J13" si="2">SUM(B4:B12)</f>
        <v>14329</v>
      </c>
      <c r="C13" s="604">
        <f t="shared" si="2"/>
        <v>16871</v>
      </c>
      <c r="D13" s="604">
        <f t="shared" si="2"/>
        <v>21189</v>
      </c>
      <c r="E13" s="604">
        <f t="shared" si="2"/>
        <v>26301</v>
      </c>
      <c r="F13" s="604">
        <f t="shared" si="2"/>
        <v>28752</v>
      </c>
      <c r="G13" s="604">
        <f t="shared" si="2"/>
        <v>30331</v>
      </c>
      <c r="H13" s="604">
        <f t="shared" si="2"/>
        <v>30981</v>
      </c>
      <c r="I13" s="1273">
        <f t="shared" si="2"/>
        <v>168754</v>
      </c>
      <c r="J13" s="1277">
        <f t="shared" si="2"/>
        <v>1</v>
      </c>
    </row>
    <row r="14" spans="1:13" s="77" customFormat="1" ht="15.75">
      <c r="I14" s="600"/>
    </row>
    <row r="15" spans="1:13" s="77" customFormat="1"/>
    <row r="16" spans="1:13" s="77" customFormat="1"/>
    <row r="17" s="77" customFormat="1"/>
    <row r="18" s="77" customFormat="1"/>
    <row r="19" s="77" customFormat="1"/>
    <row r="20" s="77" customFormat="1"/>
    <row r="21" s="77" customFormat="1"/>
    <row r="22" s="77" customFormat="1"/>
    <row r="23" s="77" customFormat="1"/>
  </sheetData>
  <mergeCells count="1">
    <mergeCell ref="A1:M1"/>
  </mergeCells>
  <printOptions horizontalCentered="1"/>
  <pageMargins left="0.39370078740157483" right="0.39370078740157483" top="0.23622047244094491" bottom="0.23622047244094491" header="0.31496062992125984" footer="0.31496062992125984"/>
  <pageSetup scale="52" orientation="landscape" r:id="rId1"/>
  <drawing r:id="rId2"/>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4">
    <tabColor rgb="FF66FF33"/>
    <pageSetUpPr fitToPage="1"/>
  </sheetPr>
  <dimension ref="A1:P22"/>
  <sheetViews>
    <sheetView showGridLines="0" view="pageBreakPreview" zoomScale="70" zoomScaleNormal="100" zoomScaleSheetLayoutView="70" workbookViewId="0">
      <selection activeCell="G6" sqref="G6"/>
    </sheetView>
  </sheetViews>
  <sheetFormatPr baseColWidth="10" defaultColWidth="11.42578125" defaultRowHeight="15"/>
  <cols>
    <col min="1" max="1" width="15.28515625" style="39" customWidth="1"/>
    <col min="2" max="2" width="16.42578125" style="39" customWidth="1"/>
    <col min="3" max="3" width="15.28515625" style="39" customWidth="1"/>
    <col min="4" max="4" width="12.28515625" style="39" customWidth="1"/>
    <col min="5" max="5" width="14.140625" style="39" customWidth="1"/>
    <col min="6" max="7" width="12.28515625" style="39" customWidth="1"/>
    <col min="8" max="8" width="15.7109375" style="39" customWidth="1"/>
    <col min="9" max="11" width="21.28515625" style="39" customWidth="1"/>
    <col min="12" max="13" width="13.28515625" style="39" customWidth="1"/>
    <col min="14" max="14" width="13.7109375" style="39" customWidth="1"/>
    <col min="15" max="16" width="11.7109375" style="39" customWidth="1"/>
    <col min="17" max="16384" width="11.42578125" style="39"/>
  </cols>
  <sheetData>
    <row r="1" spans="1:16" s="77" customFormat="1" ht="75" customHeight="1">
      <c r="A1" s="2062"/>
      <c r="B1" s="2062"/>
      <c r="C1" s="2062"/>
      <c r="D1" s="2062"/>
      <c r="E1" s="2062"/>
      <c r="F1" s="2062"/>
      <c r="G1" s="2062"/>
      <c r="H1" s="2062"/>
      <c r="I1" s="2062"/>
      <c r="J1" s="2062"/>
      <c r="K1" s="2062"/>
      <c r="L1" s="2062"/>
      <c r="M1" s="2062"/>
      <c r="N1" s="2062"/>
      <c r="O1" s="2062"/>
      <c r="P1" s="143"/>
    </row>
    <row r="2" spans="1:16" ht="3.75" customHeight="1">
      <c r="A2" s="177"/>
      <c r="B2" s="177"/>
      <c r="C2" s="1115"/>
      <c r="D2" s="177"/>
      <c r="E2" s="177"/>
      <c r="F2" s="177"/>
      <c r="G2" s="177"/>
      <c r="H2" s="177"/>
      <c r="I2" s="177"/>
      <c r="J2" s="177"/>
      <c r="K2" s="177"/>
      <c r="L2" s="177"/>
      <c r="M2" s="177"/>
      <c r="N2" s="177"/>
      <c r="O2" s="177"/>
      <c r="P2" s="178"/>
    </row>
    <row r="3" spans="1:16" s="77" customFormat="1" ht="39" customHeight="1">
      <c r="A3" s="697" t="s">
        <v>0</v>
      </c>
      <c r="B3" s="601" t="s">
        <v>411</v>
      </c>
      <c r="C3" s="601" t="s">
        <v>737</v>
      </c>
      <c r="D3" s="618" t="s">
        <v>42</v>
      </c>
    </row>
    <row r="4" spans="1:16" s="77" customFormat="1" ht="18.75" customHeight="1">
      <c r="A4" s="1887" t="s">
        <v>223</v>
      </c>
      <c r="B4" s="2012">
        <v>10456</v>
      </c>
      <c r="C4" s="2012">
        <v>14329</v>
      </c>
      <c r="D4" s="2013">
        <f t="shared" ref="D4:D10" si="0">+B4/C4</f>
        <v>0.72970898178519084</v>
      </c>
    </row>
    <row r="5" spans="1:16" s="77" customFormat="1" ht="18.75" customHeight="1">
      <c r="A5" s="1888" t="s">
        <v>192</v>
      </c>
      <c r="B5" s="2012">
        <v>13140</v>
      </c>
      <c r="C5" s="2012">
        <v>16871</v>
      </c>
      <c r="D5" s="2013">
        <f t="shared" si="0"/>
        <v>0.77885128326714481</v>
      </c>
    </row>
    <row r="6" spans="1:16" s="77" customFormat="1" ht="18.75" customHeight="1">
      <c r="A6" s="1888" t="s">
        <v>224</v>
      </c>
      <c r="B6" s="2012">
        <v>17313</v>
      </c>
      <c r="C6" s="2012">
        <v>21189</v>
      </c>
      <c r="D6" s="2013">
        <f t="shared" si="0"/>
        <v>0.8170748973523998</v>
      </c>
      <c r="G6" s="839"/>
    </row>
    <row r="7" spans="1:16" s="77" customFormat="1" ht="18.75" customHeight="1">
      <c r="A7" s="1888" t="s">
        <v>482</v>
      </c>
      <c r="B7" s="2012">
        <v>20883</v>
      </c>
      <c r="C7" s="2012">
        <v>26301</v>
      </c>
      <c r="D7" s="2013">
        <f t="shared" si="0"/>
        <v>0.79400022812820803</v>
      </c>
    </row>
    <row r="8" spans="1:16" s="77" customFormat="1" ht="18.75" customHeight="1">
      <c r="A8" s="1888" t="s">
        <v>561</v>
      </c>
      <c r="B8" s="2012">
        <v>22389</v>
      </c>
      <c r="C8" s="2012">
        <v>28752</v>
      </c>
      <c r="D8" s="2013">
        <f t="shared" si="0"/>
        <v>0.77869365609348917</v>
      </c>
      <c r="F8" s="156"/>
      <c r="G8" s="599"/>
      <c r="H8" s="599"/>
    </row>
    <row r="9" spans="1:16" s="77" customFormat="1" ht="18.75" customHeight="1">
      <c r="A9" s="1888" t="s">
        <v>569</v>
      </c>
      <c r="B9" s="2012">
        <v>25583</v>
      </c>
      <c r="C9" s="2012">
        <v>30331</v>
      </c>
      <c r="D9" s="2013">
        <f t="shared" si="0"/>
        <v>0.8434604859714484</v>
      </c>
      <c r="G9" s="599"/>
      <c r="H9" s="599"/>
    </row>
    <row r="10" spans="1:16" s="77" customFormat="1" ht="18.75" customHeight="1">
      <c r="A10" s="1889" t="s">
        <v>1006</v>
      </c>
      <c r="B10" s="2012">
        <f>29265-1961</f>
        <v>27304</v>
      </c>
      <c r="C10" s="2012">
        <f>+'V.4.19. EC. x  lugar de accid.'!H13</f>
        <v>30981</v>
      </c>
      <c r="D10" s="2013">
        <f t="shared" si="0"/>
        <v>0.88131435395887803</v>
      </c>
      <c r="G10" s="599"/>
      <c r="H10" s="599"/>
    </row>
    <row r="11" spans="1:16" s="996" customFormat="1" ht="19.5" customHeight="1">
      <c r="A11" s="1890" t="s">
        <v>23</v>
      </c>
      <c r="B11" s="2014">
        <f>SUM(B4:B10)</f>
        <v>137068</v>
      </c>
      <c r="C11" s="2014">
        <f>SUM(C4:C10)</f>
        <v>168754</v>
      </c>
      <c r="D11" s="2015">
        <f>AVERAGE(D4:D10)</f>
        <v>0.80330055522239419</v>
      </c>
      <c r="G11" s="622"/>
      <c r="H11" s="622"/>
    </row>
    <row r="12" spans="1:16" s="77" customFormat="1" ht="15.75">
      <c r="A12" s="142"/>
      <c r="B12" s="141"/>
      <c r="C12" s="141"/>
      <c r="D12" s="141"/>
      <c r="E12" s="141"/>
      <c r="F12" s="141"/>
      <c r="G12" s="599"/>
      <c r="H12" s="599"/>
    </row>
    <row r="13" spans="1:16" s="77" customFormat="1" ht="15.75">
      <c r="A13" s="142"/>
      <c r="B13" s="141"/>
      <c r="C13" s="141"/>
      <c r="D13" s="141"/>
      <c r="E13" s="141"/>
      <c r="F13" s="141"/>
      <c r="G13" s="599"/>
      <c r="H13" s="599"/>
    </row>
    <row r="14" spans="1:16" s="77" customFormat="1" ht="15.75">
      <c r="A14" s="142"/>
      <c r="B14" s="141"/>
      <c r="C14" s="141"/>
      <c r="D14" s="141"/>
      <c r="E14" s="141"/>
      <c r="F14" s="141"/>
      <c r="G14" s="599"/>
      <c r="H14" s="599"/>
    </row>
    <row r="15" spans="1:16" s="77" customFormat="1">
      <c r="A15" s="142"/>
      <c r="B15" s="141"/>
      <c r="C15" s="141"/>
      <c r="D15" s="141"/>
      <c r="E15" s="141"/>
      <c r="F15" s="141"/>
      <c r="G15" s="141"/>
      <c r="H15" s="141"/>
    </row>
    <row r="16" spans="1:16" s="77" customFormat="1"/>
    <row r="17" s="77" customFormat="1"/>
    <row r="18" s="77" customFormat="1"/>
    <row r="19" s="77" customFormat="1"/>
    <row r="20" s="77" customFormat="1"/>
    <row r="21" s="77" customFormat="1"/>
    <row r="22" s="77" customFormat="1"/>
  </sheetData>
  <mergeCells count="1">
    <mergeCell ref="A1:O1"/>
  </mergeCells>
  <printOptions horizontalCentered="1"/>
  <pageMargins left="0.39370078740157483" right="0.39370078740157483" top="0.23622047244094491" bottom="0.23622047244094491" header="0.31496062992125984" footer="0.31496062992125984"/>
  <pageSetup scale="57" orientation="landscape" r:id="rId1"/>
  <drawing r:id="rId2"/>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5">
    <tabColor rgb="FF66FF33"/>
    <pageSetUpPr fitToPage="1"/>
  </sheetPr>
  <dimension ref="A1:M24"/>
  <sheetViews>
    <sheetView showGridLines="0" view="pageBreakPreview" zoomScale="70" zoomScaleNormal="100" zoomScaleSheetLayoutView="70" workbookViewId="0">
      <selection activeCell="A3" sqref="A3"/>
    </sheetView>
  </sheetViews>
  <sheetFormatPr baseColWidth="10" defaultColWidth="11.42578125" defaultRowHeight="15"/>
  <cols>
    <col min="1" max="1" width="21" style="39" customWidth="1"/>
    <col min="2" max="2" width="13.28515625" style="39" customWidth="1"/>
    <col min="3" max="3" width="17.28515625" style="39" customWidth="1"/>
    <col min="4" max="4" width="13.85546875" style="187" customWidth="1"/>
    <col min="5" max="5" width="18.7109375" style="39" customWidth="1"/>
    <col min="6" max="6" width="17.85546875" style="39" customWidth="1"/>
    <col min="7" max="7" width="11.7109375" style="39" customWidth="1"/>
    <col min="8" max="8" width="13.7109375" style="39" customWidth="1"/>
    <col min="9" max="9" width="20" style="39" customWidth="1"/>
    <col min="10" max="10" width="18.85546875" style="39" customWidth="1"/>
    <col min="11" max="11" width="22.85546875" style="39" customWidth="1"/>
    <col min="12" max="12" width="14.140625" style="39" customWidth="1"/>
    <col min="13" max="13" width="11.42578125" style="39" customWidth="1"/>
    <col min="14" max="16384" width="11.42578125" style="39"/>
  </cols>
  <sheetData>
    <row r="1" spans="1:13" s="77" customFormat="1" ht="75.75" customHeight="1">
      <c r="A1" s="2183"/>
      <c r="B1" s="2183"/>
      <c r="C1" s="2183"/>
      <c r="D1" s="2183"/>
      <c r="E1" s="2183"/>
      <c r="F1" s="2183"/>
      <c r="G1" s="2183"/>
      <c r="H1" s="2183"/>
      <c r="I1" s="2183"/>
      <c r="J1" s="2183"/>
      <c r="K1" s="2183"/>
      <c r="L1" s="2183"/>
      <c r="M1" s="143"/>
    </row>
    <row r="2" spans="1:13" ht="3.75" customHeight="1">
      <c r="A2" s="2194"/>
      <c r="B2" s="2194"/>
      <c r="C2" s="2194"/>
      <c r="D2" s="2194"/>
      <c r="E2" s="2194"/>
      <c r="F2" s="2194"/>
      <c r="G2" s="2194"/>
      <c r="H2" s="2194"/>
      <c r="I2" s="2194"/>
      <c r="J2" s="2194"/>
      <c r="K2" s="2194"/>
      <c r="L2" s="2194"/>
      <c r="M2" s="178"/>
    </row>
    <row r="3" spans="1:13" s="77" customFormat="1" ht="24" customHeight="1">
      <c r="A3" s="1219" t="s">
        <v>0</v>
      </c>
      <c r="B3" s="1220" t="s">
        <v>357</v>
      </c>
      <c r="C3" s="1220" t="s">
        <v>356</v>
      </c>
      <c r="D3" s="1290" t="s">
        <v>140</v>
      </c>
      <c r="E3" s="1891" t="s">
        <v>402</v>
      </c>
      <c r="F3" s="1221" t="s">
        <v>401</v>
      </c>
    </row>
    <row r="4" spans="1:13" s="77" customFormat="1" ht="18.75">
      <c r="A4" s="365" t="s">
        <v>223</v>
      </c>
      <c r="B4" s="1222">
        <v>53</v>
      </c>
      <c r="C4" s="1223">
        <v>45</v>
      </c>
      <c r="D4" s="1894">
        <f t="shared" ref="D4:D9" si="0">SUM(B4:C4)</f>
        <v>98</v>
      </c>
      <c r="E4" s="1892">
        <f t="shared" ref="E4:E11" si="1">B4/D4</f>
        <v>0.54081632653061229</v>
      </c>
      <c r="F4" s="1224">
        <f t="shared" ref="F4:F11" si="2">C4/D4</f>
        <v>0.45918367346938777</v>
      </c>
      <c r="G4" s="18"/>
    </row>
    <row r="5" spans="1:13" s="77" customFormat="1" ht="18.75">
      <c r="A5" s="365" t="s">
        <v>192</v>
      </c>
      <c r="B5" s="1222">
        <v>95</v>
      </c>
      <c r="C5" s="1223">
        <v>153</v>
      </c>
      <c r="D5" s="1894">
        <f t="shared" si="0"/>
        <v>248</v>
      </c>
      <c r="E5" s="1892">
        <f t="shared" si="1"/>
        <v>0.38306451612903225</v>
      </c>
      <c r="F5" s="1224">
        <f t="shared" si="2"/>
        <v>0.61693548387096775</v>
      </c>
      <c r="G5" s="18"/>
      <c r="M5" s="39"/>
    </row>
    <row r="6" spans="1:13" s="77" customFormat="1" ht="18.75">
      <c r="A6" s="365" t="s">
        <v>224</v>
      </c>
      <c r="B6" s="1222">
        <v>226</v>
      </c>
      <c r="C6" s="1223">
        <v>169</v>
      </c>
      <c r="D6" s="1894">
        <f t="shared" si="0"/>
        <v>395</v>
      </c>
      <c r="E6" s="1892">
        <f t="shared" si="1"/>
        <v>0.57215189873417727</v>
      </c>
      <c r="F6" s="1224">
        <f t="shared" si="2"/>
        <v>0.42784810126582279</v>
      </c>
      <c r="G6" s="18"/>
      <c r="M6" s="39"/>
    </row>
    <row r="7" spans="1:13" s="77" customFormat="1" ht="18.75">
      <c r="A7" s="365" t="s">
        <v>482</v>
      </c>
      <c r="B7" s="1222">
        <v>191</v>
      </c>
      <c r="C7" s="1223">
        <v>251</v>
      </c>
      <c r="D7" s="1894">
        <f t="shared" si="0"/>
        <v>442</v>
      </c>
      <c r="E7" s="1892">
        <f t="shared" si="1"/>
        <v>0.4321266968325792</v>
      </c>
      <c r="F7" s="1224">
        <f t="shared" si="2"/>
        <v>0.5678733031674208</v>
      </c>
      <c r="G7" s="18"/>
      <c r="M7" s="39"/>
    </row>
    <row r="8" spans="1:13" s="77" customFormat="1" ht="18.75">
      <c r="A8" s="365" t="s">
        <v>561</v>
      </c>
      <c r="B8" s="1222">
        <v>118</v>
      </c>
      <c r="C8" s="1223">
        <v>384</v>
      </c>
      <c r="D8" s="1894">
        <f t="shared" si="0"/>
        <v>502</v>
      </c>
      <c r="E8" s="1892">
        <f>B8/D8</f>
        <v>0.23505976095617531</v>
      </c>
      <c r="F8" s="1224">
        <f>C8/D8</f>
        <v>0.76494023904382469</v>
      </c>
      <c r="G8" s="18"/>
      <c r="M8" s="39"/>
    </row>
    <row r="9" spans="1:13" s="77" customFormat="1" ht="18.75">
      <c r="A9" s="365" t="s">
        <v>569</v>
      </c>
      <c r="B9" s="1222">
        <v>122</v>
      </c>
      <c r="C9" s="1223">
        <v>300</v>
      </c>
      <c r="D9" s="1894">
        <f t="shared" si="0"/>
        <v>422</v>
      </c>
      <c r="E9" s="1892">
        <f>B9/D9</f>
        <v>0.2890995260663507</v>
      </c>
      <c r="F9" s="1224">
        <f>C9/D9</f>
        <v>0.7109004739336493</v>
      </c>
      <c r="G9" s="18"/>
      <c r="M9" s="39"/>
    </row>
    <row r="10" spans="1:13" s="77" customFormat="1" ht="18.75">
      <c r="A10" s="365" t="s">
        <v>1016</v>
      </c>
      <c r="B10" s="1222">
        <f>102-10</f>
        <v>92</v>
      </c>
      <c r="C10" s="1223">
        <f>243-15</f>
        <v>228</v>
      </c>
      <c r="D10" s="1894">
        <f>SUM(B10:C10)</f>
        <v>320</v>
      </c>
      <c r="E10" s="1892">
        <f>B10/D10</f>
        <v>0.28749999999999998</v>
      </c>
      <c r="F10" s="1224">
        <f>C10/D10</f>
        <v>0.71250000000000002</v>
      </c>
      <c r="G10" s="18"/>
      <c r="M10" s="39"/>
    </row>
    <row r="11" spans="1:13" s="77" customFormat="1" ht="18.75">
      <c r="A11" s="720" t="s">
        <v>23</v>
      </c>
      <c r="B11" s="1291">
        <f>SUM(B4:B10)</f>
        <v>897</v>
      </c>
      <c r="C11" s="1291">
        <f>SUM(C4:C10)</f>
        <v>1530</v>
      </c>
      <c r="D11" s="1895">
        <f>SUM(D4:D10)</f>
        <v>2427</v>
      </c>
      <c r="E11" s="1893">
        <f t="shared" si="1"/>
        <v>0.36959208899876389</v>
      </c>
      <c r="F11" s="1225">
        <f t="shared" si="2"/>
        <v>0.63040791100123605</v>
      </c>
      <c r="G11" s="18"/>
      <c r="M11" s="39"/>
    </row>
    <row r="12" spans="1:13" s="77" customFormat="1">
      <c r="A12" s="142"/>
      <c r="B12" s="141"/>
      <c r="C12" s="141"/>
      <c r="D12" s="1885"/>
      <c r="M12" s="39"/>
    </row>
    <row r="13" spans="1:13" s="77" customFormat="1">
      <c r="A13" s="142"/>
      <c r="B13" s="141"/>
      <c r="C13" s="141"/>
      <c r="D13" s="1885"/>
      <c r="L13" s="39"/>
      <c r="M13" s="39"/>
    </row>
    <row r="14" spans="1:13" s="77" customFormat="1">
      <c r="A14" s="142"/>
      <c r="B14" s="141"/>
      <c r="C14" s="141"/>
      <c r="D14" s="1885"/>
      <c r="L14" s="39"/>
      <c r="M14" s="39"/>
    </row>
    <row r="15" spans="1:13" s="77" customFormat="1">
      <c r="A15" s="142"/>
      <c r="B15" s="141"/>
      <c r="C15" s="141"/>
      <c r="D15" s="1885"/>
    </row>
    <row r="16" spans="1:13" s="77" customFormat="1">
      <c r="D16" s="1885"/>
    </row>
    <row r="17" spans="4:12" s="77" customFormat="1">
      <c r="D17" s="1885"/>
    </row>
    <row r="18" spans="4:12" s="77" customFormat="1">
      <c r="D18" s="1885"/>
    </row>
    <row r="19" spans="4:12" s="77" customFormat="1">
      <c r="D19" s="1885"/>
    </row>
    <row r="20" spans="4:12" s="77" customFormat="1">
      <c r="D20" s="1885"/>
    </row>
    <row r="21" spans="4:12" s="77" customFormat="1">
      <c r="D21" s="1885"/>
    </row>
    <row r="22" spans="4:12" s="77" customFormat="1">
      <c r="D22" s="1885"/>
    </row>
    <row r="24" spans="4:12">
      <c r="L24" s="140"/>
    </row>
  </sheetData>
  <mergeCells count="2">
    <mergeCell ref="A1:L1"/>
    <mergeCell ref="A2:L2"/>
  </mergeCells>
  <printOptions horizontalCentered="1"/>
  <pageMargins left="0.39370078740157483" right="0.39370078740157483" top="0.23622047244094491" bottom="0.23622047244094491" header="0.31496062992125984" footer="0.31496062992125984"/>
  <pageSetup scale="64" orientation="landscape" r:id="rId1"/>
  <drawing r:id="rId2"/>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6">
    <tabColor rgb="FF66FF33"/>
    <pageSetUpPr fitToPage="1"/>
  </sheetPr>
  <dimension ref="A1:M24"/>
  <sheetViews>
    <sheetView showGridLines="0" view="pageBreakPreview" zoomScale="70" zoomScaleNormal="100" zoomScaleSheetLayoutView="70" workbookViewId="0">
      <selection activeCell="A3" sqref="A3"/>
    </sheetView>
  </sheetViews>
  <sheetFormatPr baseColWidth="10" defaultColWidth="11.42578125" defaultRowHeight="15"/>
  <cols>
    <col min="1" max="1" width="16" style="39" customWidth="1"/>
    <col min="2" max="3" width="12.28515625" style="39" customWidth="1"/>
    <col min="4" max="4" width="14.42578125" style="39" customWidth="1"/>
    <col min="5" max="5" width="16.5703125" style="39" customWidth="1"/>
    <col min="6" max="6" width="17.140625" style="39" customWidth="1"/>
    <col min="7" max="7" width="11.7109375" style="39" customWidth="1"/>
    <col min="8" max="8" width="13.7109375" style="39" customWidth="1"/>
    <col min="9" max="9" width="13.42578125" style="39" customWidth="1"/>
    <col min="10" max="11" width="11.42578125" style="39"/>
    <col min="12" max="12" width="16.28515625" style="39" customWidth="1"/>
    <col min="13" max="13" width="11.42578125" style="39" customWidth="1"/>
    <col min="14" max="16384" width="11.42578125" style="39"/>
  </cols>
  <sheetData>
    <row r="1" spans="1:13" s="77" customFormat="1" ht="66" customHeight="1">
      <c r="A1" s="2195"/>
      <c r="B1" s="2195"/>
      <c r="C1" s="2195"/>
      <c r="D1" s="2195"/>
      <c r="E1" s="2195"/>
      <c r="F1" s="2195"/>
      <c r="G1" s="2195"/>
      <c r="H1" s="2195"/>
      <c r="I1" s="2195"/>
      <c r="J1" s="2195"/>
      <c r="K1" s="2195"/>
      <c r="L1" s="2195"/>
      <c r="M1" s="143"/>
    </row>
    <row r="2" spans="1:13" ht="8.25" customHeight="1">
      <c r="A2" s="193"/>
      <c r="B2" s="193"/>
      <c r="C2" s="193"/>
      <c r="D2" s="193"/>
      <c r="E2" s="193"/>
      <c r="F2" s="193"/>
      <c r="G2" s="193"/>
      <c r="H2" s="193"/>
      <c r="I2" s="193"/>
      <c r="J2" s="193"/>
      <c r="K2" s="193"/>
      <c r="L2" s="193"/>
      <c r="M2" s="178"/>
    </row>
    <row r="3" spans="1:13" s="77" customFormat="1" ht="21.75" customHeight="1">
      <c r="A3" s="705" t="s">
        <v>0</v>
      </c>
      <c r="B3" s="1896" t="s">
        <v>357</v>
      </c>
      <c r="C3" s="1896" t="s">
        <v>356</v>
      </c>
      <c r="D3" s="619" t="s">
        <v>140</v>
      </c>
      <c r="E3" s="1897" t="s">
        <v>402</v>
      </c>
      <c r="F3" s="1898" t="s">
        <v>401</v>
      </c>
    </row>
    <row r="4" spans="1:13" s="77" customFormat="1" ht="15.75">
      <c r="A4" s="689" t="s">
        <v>223</v>
      </c>
      <c r="B4" s="1899">
        <v>65</v>
      </c>
      <c r="C4" s="1900">
        <v>86</v>
      </c>
      <c r="D4" s="1901">
        <f t="shared" ref="D4:D10" si="0">SUM(B4:C4)</f>
        <v>151</v>
      </c>
      <c r="E4" s="1902">
        <f>B5/D4</f>
        <v>0.58940397350993379</v>
      </c>
      <c r="F4" s="1903">
        <f>C5/D4</f>
        <v>0.37748344370860926</v>
      </c>
      <c r="G4" s="18"/>
    </row>
    <row r="5" spans="1:13" s="77" customFormat="1" ht="15.75">
      <c r="A5" s="689" t="s">
        <v>192</v>
      </c>
      <c r="B5" s="1899">
        <v>89</v>
      </c>
      <c r="C5" s="1900">
        <v>57</v>
      </c>
      <c r="D5" s="1901">
        <f t="shared" si="0"/>
        <v>146</v>
      </c>
      <c r="E5" s="1902">
        <f t="shared" ref="E5:E11" si="1">B5/D5</f>
        <v>0.6095890410958904</v>
      </c>
      <c r="F5" s="1903">
        <f t="shared" ref="F5:F11" si="2">C5/D5</f>
        <v>0.3904109589041096</v>
      </c>
      <c r="G5" s="18"/>
      <c r="M5" s="39"/>
    </row>
    <row r="6" spans="1:13" s="77" customFormat="1" ht="15.75">
      <c r="A6" s="689" t="s">
        <v>224</v>
      </c>
      <c r="B6" s="1899">
        <v>86</v>
      </c>
      <c r="C6" s="1900">
        <v>86</v>
      </c>
      <c r="D6" s="1901">
        <f t="shared" si="0"/>
        <v>172</v>
      </c>
      <c r="E6" s="1902">
        <f t="shared" si="1"/>
        <v>0.5</v>
      </c>
      <c r="F6" s="1903">
        <f t="shared" si="2"/>
        <v>0.5</v>
      </c>
      <c r="G6" s="18"/>
      <c r="M6" s="39"/>
    </row>
    <row r="7" spans="1:13" s="77" customFormat="1" ht="15.75">
      <c r="A7" s="678" t="s">
        <v>482</v>
      </c>
      <c r="B7" s="1899">
        <v>45</v>
      </c>
      <c r="C7" s="1900">
        <v>77</v>
      </c>
      <c r="D7" s="1901">
        <f t="shared" si="0"/>
        <v>122</v>
      </c>
      <c r="E7" s="1902">
        <f t="shared" si="1"/>
        <v>0.36885245901639346</v>
      </c>
      <c r="F7" s="1903">
        <f t="shared" si="2"/>
        <v>0.63114754098360659</v>
      </c>
      <c r="G7" s="18"/>
      <c r="M7" s="39"/>
    </row>
    <row r="8" spans="1:13" s="77" customFormat="1" ht="15.75">
      <c r="A8" s="678" t="s">
        <v>561</v>
      </c>
      <c r="B8" s="1899">
        <v>79</v>
      </c>
      <c r="C8" s="1900">
        <v>133</v>
      </c>
      <c r="D8" s="1901">
        <f t="shared" si="0"/>
        <v>212</v>
      </c>
      <c r="E8" s="1902">
        <f t="shared" si="1"/>
        <v>0.37264150943396224</v>
      </c>
      <c r="F8" s="1903">
        <f t="shared" si="2"/>
        <v>0.62735849056603776</v>
      </c>
      <c r="G8" s="18"/>
      <c r="M8" s="39"/>
    </row>
    <row r="9" spans="1:13" s="77" customFormat="1" ht="15.75">
      <c r="A9" s="678" t="s">
        <v>569</v>
      </c>
      <c r="B9" s="1899">
        <v>66</v>
      </c>
      <c r="C9" s="1900">
        <v>115</v>
      </c>
      <c r="D9" s="1901">
        <f t="shared" si="0"/>
        <v>181</v>
      </c>
      <c r="E9" s="1902">
        <f t="shared" si="1"/>
        <v>0.36464088397790057</v>
      </c>
      <c r="F9" s="1903">
        <f t="shared" si="2"/>
        <v>0.63535911602209949</v>
      </c>
      <c r="G9" s="18"/>
      <c r="M9" s="39"/>
    </row>
    <row r="10" spans="1:13" s="77" customFormat="1" ht="15.75">
      <c r="A10" s="707" t="s">
        <v>1007</v>
      </c>
      <c r="B10" s="1899">
        <f>99-8</f>
        <v>91</v>
      </c>
      <c r="C10" s="1900">
        <f>176-13</f>
        <v>163</v>
      </c>
      <c r="D10" s="1901">
        <f t="shared" si="0"/>
        <v>254</v>
      </c>
      <c r="E10" s="1902">
        <f t="shared" si="1"/>
        <v>0.35826771653543305</v>
      </c>
      <c r="F10" s="1903">
        <f t="shared" si="2"/>
        <v>0.6417322834645669</v>
      </c>
      <c r="G10" s="18"/>
      <c r="M10" s="39"/>
    </row>
    <row r="11" spans="1:13" s="77" customFormat="1" ht="15.75">
      <c r="A11" s="706" t="s">
        <v>23</v>
      </c>
      <c r="B11" s="1904">
        <f>SUM(B4:B10)</f>
        <v>521</v>
      </c>
      <c r="C11" s="1904">
        <f>SUM(C4:C10)</f>
        <v>717</v>
      </c>
      <c r="D11" s="1905">
        <f>SUM(D4:D10)</f>
        <v>1238</v>
      </c>
      <c r="E11" s="1906">
        <f t="shared" si="1"/>
        <v>0.42084006462035539</v>
      </c>
      <c r="F11" s="1907">
        <f t="shared" si="2"/>
        <v>0.57915993537964461</v>
      </c>
      <c r="G11" s="18"/>
      <c r="M11" s="39"/>
    </row>
    <row r="12" spans="1:13" s="77" customFormat="1">
      <c r="A12" s="142"/>
      <c r="B12" s="141"/>
      <c r="C12" s="141"/>
      <c r="M12" s="39"/>
    </row>
    <row r="13" spans="1:13" s="77" customFormat="1">
      <c r="A13" s="142"/>
      <c r="B13" s="141"/>
      <c r="C13" s="141"/>
      <c r="L13" s="39"/>
      <c r="M13" s="39"/>
    </row>
    <row r="14" spans="1:13" s="77" customFormat="1">
      <c r="A14" s="142"/>
      <c r="B14" s="141"/>
      <c r="C14" s="141"/>
      <c r="L14" s="39"/>
      <c r="M14" s="39"/>
    </row>
    <row r="15" spans="1:13" s="77" customFormat="1">
      <c r="A15" s="142"/>
      <c r="B15" s="141"/>
      <c r="C15" s="141"/>
    </row>
    <row r="16" spans="1:13" s="77" customFormat="1"/>
    <row r="17" spans="12:12" s="77" customFormat="1"/>
    <row r="18" spans="12:12" s="77" customFormat="1"/>
    <row r="19" spans="12:12" s="77" customFormat="1"/>
    <row r="20" spans="12:12" s="77" customFormat="1"/>
    <row r="21" spans="12:12" s="77" customFormat="1"/>
    <row r="22" spans="12:12" s="77" customFormat="1"/>
    <row r="24" spans="12:12">
      <c r="L24" s="140"/>
    </row>
  </sheetData>
  <mergeCells count="1">
    <mergeCell ref="A1:L1"/>
  </mergeCells>
  <printOptions horizontalCentered="1"/>
  <pageMargins left="0.39370078740157483" right="0.39370078740157483" top="0.23622047244094491" bottom="0.23622047244094491" header="0.31496062992125984" footer="0.31496062992125984"/>
  <pageSetup scale="77" orientation="landscape" r:id="rId1"/>
  <drawing r:id="rId2"/>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7">
    <tabColor rgb="FF66FF33"/>
    <pageSetUpPr fitToPage="1"/>
  </sheetPr>
  <dimension ref="A1:W24"/>
  <sheetViews>
    <sheetView showGridLines="0" view="pageBreakPreview" zoomScale="70" zoomScaleNormal="100" zoomScaleSheetLayoutView="70" workbookViewId="0">
      <selection activeCell="A3" sqref="A3"/>
    </sheetView>
  </sheetViews>
  <sheetFormatPr baseColWidth="10" defaultColWidth="11.42578125" defaultRowHeight="15"/>
  <cols>
    <col min="1" max="1" width="15.5703125" style="39" customWidth="1"/>
    <col min="2" max="4" width="12.28515625" style="39" customWidth="1"/>
    <col min="5" max="5" width="14.85546875" style="39" hidden="1" customWidth="1"/>
    <col min="6" max="6" width="14.42578125" style="39" customWidth="1"/>
    <col min="7" max="8" width="13.28515625" style="39" customWidth="1"/>
    <col min="9" max="9" width="13.42578125" style="39" customWidth="1"/>
    <col min="10" max="10" width="15.28515625" style="39" customWidth="1"/>
    <col min="11" max="11" width="19.140625" style="39" customWidth="1"/>
    <col min="12" max="12" width="22.28515625" style="39" customWidth="1"/>
    <col min="13" max="13" width="23.5703125" style="39" customWidth="1"/>
    <col min="14" max="14" width="11.42578125" style="39"/>
    <col min="15" max="15" width="16.28515625" style="39" customWidth="1"/>
    <col min="16" max="16" width="11.42578125" style="39" customWidth="1"/>
    <col min="17" max="16384" width="11.42578125" style="39"/>
  </cols>
  <sheetData>
    <row r="1" spans="1:23" s="77" customFormat="1" ht="67.5" customHeight="1">
      <c r="A1" s="2182"/>
      <c r="B1" s="2182"/>
      <c r="C1" s="2182"/>
      <c r="D1" s="2182"/>
      <c r="E1" s="2182"/>
      <c r="F1" s="2182"/>
      <c r="G1" s="2182"/>
      <c r="H1" s="2182"/>
      <c r="I1" s="2182"/>
      <c r="J1" s="2182"/>
      <c r="K1" s="2182"/>
      <c r="L1" s="2182"/>
      <c r="M1" s="2182"/>
      <c r="N1" s="143"/>
      <c r="O1" s="143"/>
      <c r="P1" s="143"/>
    </row>
    <row r="2" spans="1:23" ht="9" customHeight="1">
      <c r="A2" s="176"/>
      <c r="B2" s="176"/>
      <c r="C2" s="176"/>
      <c r="D2" s="176"/>
      <c r="E2" s="176"/>
      <c r="F2" s="176"/>
      <c r="G2" s="176"/>
      <c r="H2" s="176"/>
      <c r="I2" s="176"/>
      <c r="J2" s="176"/>
      <c r="K2" s="176"/>
      <c r="L2" s="176"/>
      <c r="M2" s="176"/>
      <c r="N2" s="178"/>
      <c r="O2" s="178"/>
      <c r="P2" s="178"/>
    </row>
    <row r="3" spans="1:23" s="77" customFormat="1" ht="31.5">
      <c r="A3" s="697" t="s">
        <v>0</v>
      </c>
      <c r="B3" s="601" t="s">
        <v>247</v>
      </c>
      <c r="C3" s="601" t="s">
        <v>246</v>
      </c>
      <c r="D3" s="601" t="s">
        <v>245</v>
      </c>
      <c r="E3" s="601" t="s">
        <v>244</v>
      </c>
      <c r="F3" s="618" t="s">
        <v>140</v>
      </c>
      <c r="G3" s="623" t="s">
        <v>243</v>
      </c>
      <c r="H3" s="601" t="s">
        <v>242</v>
      </c>
      <c r="I3" s="601" t="s">
        <v>241</v>
      </c>
      <c r="J3" s="602" t="s">
        <v>240</v>
      </c>
    </row>
    <row r="4" spans="1:23" s="77" customFormat="1" ht="15.75">
      <c r="A4" s="704" t="s">
        <v>223</v>
      </c>
      <c r="B4" s="1211">
        <v>34</v>
      </c>
      <c r="C4" s="1211">
        <v>28</v>
      </c>
      <c r="D4" s="1211">
        <v>2</v>
      </c>
      <c r="E4" s="1211">
        <v>1</v>
      </c>
      <c r="F4" s="1913">
        <f t="shared" ref="F4:F9" si="0">SUM(B4:E4)</f>
        <v>65</v>
      </c>
      <c r="G4" s="1908">
        <f t="shared" ref="G4:G11" si="1">B4/F4</f>
        <v>0.52307692307692311</v>
      </c>
      <c r="H4" s="712">
        <f t="shared" ref="H4:H11" si="2">C4/F4</f>
        <v>0.43076923076923079</v>
      </c>
      <c r="I4" s="712">
        <f t="shared" ref="I4:I11" si="3">D4/F4</f>
        <v>3.0769230769230771E-2</v>
      </c>
      <c r="J4" s="713">
        <f t="shared" ref="J4:J11" si="4">E4/F4</f>
        <v>1.5384615384615385E-2</v>
      </c>
    </row>
    <row r="5" spans="1:23" s="77" customFormat="1" ht="15.75">
      <c r="A5" s="704" t="s">
        <v>192</v>
      </c>
      <c r="B5" s="1211">
        <v>20</v>
      </c>
      <c r="C5" s="1211">
        <v>64</v>
      </c>
      <c r="D5" s="1211">
        <v>5</v>
      </c>
      <c r="E5" s="1211">
        <v>0</v>
      </c>
      <c r="F5" s="1913">
        <f t="shared" si="0"/>
        <v>89</v>
      </c>
      <c r="G5" s="1908">
        <f t="shared" si="1"/>
        <v>0.2247191011235955</v>
      </c>
      <c r="H5" s="712">
        <f t="shared" si="2"/>
        <v>0.7191011235955056</v>
      </c>
      <c r="I5" s="712">
        <f t="shared" si="3"/>
        <v>5.6179775280898875E-2</v>
      </c>
      <c r="J5" s="713">
        <f t="shared" si="4"/>
        <v>0</v>
      </c>
      <c r="P5" s="39"/>
    </row>
    <row r="6" spans="1:23" s="77" customFormat="1" ht="15.75">
      <c r="A6" s="447" t="s">
        <v>224</v>
      </c>
      <c r="B6" s="454">
        <v>29</v>
      </c>
      <c r="C6" s="454">
        <v>54</v>
      </c>
      <c r="D6" s="454">
        <v>3</v>
      </c>
      <c r="E6" s="454">
        <v>0</v>
      </c>
      <c r="F6" s="1914">
        <f t="shared" si="0"/>
        <v>86</v>
      </c>
      <c r="G6" s="1908">
        <f t="shared" si="1"/>
        <v>0.33720930232558138</v>
      </c>
      <c r="H6" s="712">
        <f t="shared" si="2"/>
        <v>0.62790697674418605</v>
      </c>
      <c r="I6" s="712">
        <f t="shared" si="3"/>
        <v>3.4883720930232558E-2</v>
      </c>
      <c r="J6" s="713">
        <f t="shared" si="4"/>
        <v>0</v>
      </c>
    </row>
    <row r="7" spans="1:23" s="77" customFormat="1" ht="15.75">
      <c r="A7" s="447" t="s">
        <v>482</v>
      </c>
      <c r="B7" s="454">
        <v>15</v>
      </c>
      <c r="C7" s="454">
        <v>26</v>
      </c>
      <c r="D7" s="454">
        <v>4</v>
      </c>
      <c r="E7" s="454"/>
      <c r="F7" s="1914">
        <f t="shared" si="0"/>
        <v>45</v>
      </c>
      <c r="G7" s="1908">
        <f t="shared" si="1"/>
        <v>0.33333333333333331</v>
      </c>
      <c r="H7" s="712">
        <f t="shared" si="2"/>
        <v>0.57777777777777772</v>
      </c>
      <c r="I7" s="712">
        <f t="shared" si="3"/>
        <v>8.8888888888888892E-2</v>
      </c>
      <c r="J7" s="713">
        <f t="shared" si="4"/>
        <v>0</v>
      </c>
    </row>
    <row r="8" spans="1:23" s="77" customFormat="1" ht="15.75">
      <c r="A8" s="447" t="s">
        <v>561</v>
      </c>
      <c r="B8" s="454">
        <v>40</v>
      </c>
      <c r="C8" s="454">
        <v>38</v>
      </c>
      <c r="D8" s="454">
        <v>1</v>
      </c>
      <c r="E8" s="454"/>
      <c r="F8" s="1914">
        <f t="shared" si="0"/>
        <v>79</v>
      </c>
      <c r="G8" s="1908">
        <f t="shared" si="1"/>
        <v>0.50632911392405067</v>
      </c>
      <c r="H8" s="712">
        <f t="shared" si="2"/>
        <v>0.48101265822784811</v>
      </c>
      <c r="I8" s="712">
        <f t="shared" si="3"/>
        <v>1.2658227848101266E-2</v>
      </c>
      <c r="J8" s="713">
        <f t="shared" si="4"/>
        <v>0</v>
      </c>
    </row>
    <row r="9" spans="1:23" s="77" customFormat="1" ht="15.75">
      <c r="A9" s="447" t="s">
        <v>569</v>
      </c>
      <c r="B9" s="454">
        <v>31</v>
      </c>
      <c r="C9" s="454">
        <v>32</v>
      </c>
      <c r="D9" s="454">
        <v>3</v>
      </c>
      <c r="E9" s="454"/>
      <c r="F9" s="1914">
        <f t="shared" si="0"/>
        <v>66</v>
      </c>
      <c r="G9" s="1908">
        <f t="shared" si="1"/>
        <v>0.46969696969696972</v>
      </c>
      <c r="H9" s="712">
        <f t="shared" si="2"/>
        <v>0.48484848484848486</v>
      </c>
      <c r="I9" s="712">
        <f t="shared" si="3"/>
        <v>4.5454545454545456E-2</v>
      </c>
      <c r="J9" s="713">
        <f t="shared" si="4"/>
        <v>0</v>
      </c>
    </row>
    <row r="10" spans="1:23" s="77" customFormat="1" ht="15.75">
      <c r="A10" s="447" t="s">
        <v>1006</v>
      </c>
      <c r="B10" s="454">
        <v>47</v>
      </c>
      <c r="C10" s="454">
        <v>44</v>
      </c>
      <c r="D10" s="454">
        <v>0</v>
      </c>
      <c r="E10" s="454"/>
      <c r="F10" s="1914">
        <f>SUM(B10:E10)</f>
        <v>91</v>
      </c>
      <c r="G10" s="1908">
        <f t="shared" si="1"/>
        <v>0.51648351648351654</v>
      </c>
      <c r="H10" s="712">
        <f t="shared" si="2"/>
        <v>0.48351648351648352</v>
      </c>
      <c r="I10" s="712">
        <f t="shared" si="3"/>
        <v>0</v>
      </c>
      <c r="J10" s="713">
        <f t="shared" si="4"/>
        <v>0</v>
      </c>
    </row>
    <row r="11" spans="1:23" s="77" customFormat="1" ht="15.75">
      <c r="A11" s="618" t="s">
        <v>23</v>
      </c>
      <c r="B11" s="708">
        <f>SUM(B4:B10)</f>
        <v>216</v>
      </c>
      <c r="C11" s="708">
        <f>SUM(C4:C10)</f>
        <v>286</v>
      </c>
      <c r="D11" s="708">
        <f>SUM(D4:D10)</f>
        <v>18</v>
      </c>
      <c r="E11" s="708">
        <f>SUM(E4:E10)</f>
        <v>1</v>
      </c>
      <c r="F11" s="1910">
        <f>SUM(F4:F10)</f>
        <v>521</v>
      </c>
      <c r="G11" s="1909">
        <f t="shared" si="1"/>
        <v>0.41458733205374282</v>
      </c>
      <c r="H11" s="710">
        <f t="shared" si="2"/>
        <v>0.54894433781190022</v>
      </c>
      <c r="I11" s="710">
        <f t="shared" si="3"/>
        <v>3.4548944337811902E-2</v>
      </c>
      <c r="J11" s="711">
        <f t="shared" si="4"/>
        <v>1.9193857965451055E-3</v>
      </c>
    </row>
    <row r="12" spans="1:23" s="77" customFormat="1" ht="17.25" customHeight="1">
      <c r="A12" s="142" t="s">
        <v>1017</v>
      </c>
      <c r="B12" s="141"/>
      <c r="C12" s="141"/>
      <c r="D12" s="141"/>
      <c r="E12" s="141"/>
      <c r="P12" s="199"/>
      <c r="Q12" s="199"/>
      <c r="R12" s="199"/>
      <c r="S12" s="199"/>
      <c r="T12" s="199"/>
      <c r="U12" s="199"/>
      <c r="V12" s="199"/>
      <c r="W12" s="199"/>
    </row>
    <row r="13" spans="1:23" s="77" customFormat="1">
      <c r="A13" s="142"/>
      <c r="B13" s="141"/>
      <c r="C13" s="141"/>
      <c r="D13" s="141"/>
      <c r="E13" s="141"/>
      <c r="O13" s="39"/>
      <c r="P13" s="199"/>
      <c r="Q13" s="199"/>
      <c r="R13" s="199"/>
      <c r="S13" s="199"/>
      <c r="T13" s="199"/>
      <c r="U13" s="199"/>
      <c r="V13" s="199"/>
      <c r="W13" s="199"/>
    </row>
    <row r="14" spans="1:23" s="77" customFormat="1">
      <c r="A14" s="142"/>
      <c r="B14" s="141"/>
      <c r="C14" s="141"/>
      <c r="D14" s="141"/>
      <c r="E14" s="141"/>
      <c r="O14" s="39"/>
      <c r="P14" s="199"/>
      <c r="Q14" s="199"/>
      <c r="R14" s="199"/>
      <c r="S14" s="199"/>
      <c r="T14" s="199"/>
      <c r="U14" s="199"/>
      <c r="V14" s="199"/>
      <c r="W14" s="199"/>
    </row>
    <row r="15" spans="1:23" s="77" customFormat="1">
      <c r="A15" s="142"/>
      <c r="B15" s="141"/>
      <c r="C15" s="141"/>
      <c r="D15" s="141"/>
      <c r="E15" s="141"/>
      <c r="P15" s="199"/>
      <c r="Q15" s="199"/>
      <c r="R15" s="199"/>
      <c r="S15" s="199"/>
      <c r="T15" s="199"/>
      <c r="U15" s="199"/>
      <c r="V15" s="199"/>
      <c r="W15" s="199"/>
    </row>
    <row r="16" spans="1:23" s="77" customFormat="1"/>
    <row r="17" spans="15:15" s="77" customFormat="1"/>
    <row r="18" spans="15:15" s="77" customFormat="1"/>
    <row r="19" spans="15:15" s="77" customFormat="1"/>
    <row r="20" spans="15:15" s="77" customFormat="1"/>
    <row r="21" spans="15:15" s="77" customFormat="1"/>
    <row r="22" spans="15:15" s="77" customFormat="1"/>
    <row r="24" spans="15:15">
      <c r="O24" s="140"/>
    </row>
  </sheetData>
  <mergeCells count="1">
    <mergeCell ref="A1:M1"/>
  </mergeCells>
  <printOptions horizontalCentered="1"/>
  <pageMargins left="0.39370078740157483" right="0.39370078740157483" top="0.23622047244094491" bottom="0.23622047244094491" header="0.31496062992125984" footer="0.31496062992125984"/>
  <pageSetup scale="70" orientation="landscape" r:id="rId1"/>
  <drawing r:id="rId2"/>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8">
    <tabColor rgb="FF66FF33"/>
    <pageSetUpPr fitToPage="1"/>
  </sheetPr>
  <dimension ref="A1:M22"/>
  <sheetViews>
    <sheetView showGridLines="0" view="pageBreakPreview" zoomScale="70" zoomScaleNormal="100" zoomScaleSheetLayoutView="70" workbookViewId="0">
      <selection activeCell="A3" sqref="A3"/>
    </sheetView>
  </sheetViews>
  <sheetFormatPr baseColWidth="10" defaultColWidth="11.42578125" defaultRowHeight="15"/>
  <cols>
    <col min="1" max="1" width="17.7109375" style="39" customWidth="1"/>
    <col min="2" max="6" width="11.42578125" style="39" customWidth="1"/>
    <col min="7" max="7" width="16.7109375" style="39" customWidth="1"/>
    <col min="8" max="8" width="17.5703125" style="39" customWidth="1"/>
    <col min="9" max="10" width="14.85546875" style="39" customWidth="1"/>
    <col min="11" max="11" width="18.140625" style="39" customWidth="1"/>
    <col min="12" max="12" width="17.140625" style="39" customWidth="1"/>
    <col min="13" max="16384" width="11.42578125" style="39"/>
  </cols>
  <sheetData>
    <row r="1" spans="1:13" s="77" customFormat="1" ht="69" customHeight="1">
      <c r="A1" s="2195"/>
      <c r="B1" s="2195"/>
      <c r="C1" s="2195"/>
      <c r="D1" s="2195"/>
      <c r="E1" s="2195"/>
      <c r="F1" s="2195"/>
      <c r="G1" s="2195"/>
      <c r="H1" s="2195"/>
      <c r="I1" s="2195"/>
      <c r="J1" s="2195"/>
      <c r="K1" s="2195"/>
      <c r="L1" s="2195"/>
      <c r="M1" s="143"/>
    </row>
    <row r="2" spans="1:13" ht="3" customHeight="1">
      <c r="A2" s="193"/>
      <c r="B2" s="193"/>
      <c r="C2" s="193"/>
      <c r="D2" s="193"/>
      <c r="E2" s="193"/>
      <c r="F2" s="193"/>
      <c r="G2" s="193"/>
      <c r="H2" s="193"/>
      <c r="I2" s="193"/>
      <c r="J2" s="193"/>
      <c r="K2" s="193"/>
      <c r="L2" s="193"/>
      <c r="M2" s="178"/>
    </row>
    <row r="3" spans="1:13" s="77" customFormat="1" ht="24" customHeight="1">
      <c r="A3" s="697" t="s">
        <v>0</v>
      </c>
      <c r="B3" s="601" t="s">
        <v>370</v>
      </c>
      <c r="C3" s="601" t="s">
        <v>369</v>
      </c>
      <c r="D3" s="601" t="s">
        <v>368</v>
      </c>
      <c r="E3" s="601" t="s">
        <v>367</v>
      </c>
      <c r="F3" s="618" t="s">
        <v>140</v>
      </c>
      <c r="G3" s="623" t="s">
        <v>403</v>
      </c>
      <c r="H3" s="601" t="s">
        <v>363</v>
      </c>
      <c r="I3" s="601" t="s">
        <v>362</v>
      </c>
      <c r="J3" s="602" t="s">
        <v>361</v>
      </c>
    </row>
    <row r="4" spans="1:13" s="77" customFormat="1" ht="16.5" customHeight="1">
      <c r="A4" s="704" t="s">
        <v>223</v>
      </c>
      <c r="B4" s="622">
        <v>11</v>
      </c>
      <c r="C4" s="622">
        <v>50</v>
      </c>
      <c r="D4" s="622">
        <v>2</v>
      </c>
      <c r="E4" s="622">
        <v>2</v>
      </c>
      <c r="F4" s="1911">
        <f t="shared" ref="F4:F10" si="0">SUM(B4:E4)</f>
        <v>65</v>
      </c>
      <c r="G4" s="1908">
        <f t="shared" ref="G4:G11" si="1">B4/F4</f>
        <v>0.16923076923076924</v>
      </c>
      <c r="H4" s="712">
        <f t="shared" ref="H4:H11" si="2">C4/F4</f>
        <v>0.76923076923076927</v>
      </c>
      <c r="I4" s="712">
        <f t="shared" ref="I4:I11" si="3">D4/F4</f>
        <v>3.0769230769230771E-2</v>
      </c>
      <c r="J4" s="713">
        <f t="shared" ref="J4:J11" si="4">E4/F4</f>
        <v>3.0769230769230771E-2</v>
      </c>
    </row>
    <row r="5" spans="1:13" s="77" customFormat="1" ht="16.5" customHeight="1">
      <c r="A5" s="704" t="s">
        <v>192</v>
      </c>
      <c r="B5" s="622">
        <v>7</v>
      </c>
      <c r="C5" s="622">
        <v>60</v>
      </c>
      <c r="D5" s="622">
        <v>14</v>
      </c>
      <c r="E5" s="622">
        <v>8</v>
      </c>
      <c r="F5" s="1911">
        <f t="shared" si="0"/>
        <v>89</v>
      </c>
      <c r="G5" s="1908">
        <f t="shared" si="1"/>
        <v>7.8651685393258425E-2</v>
      </c>
      <c r="H5" s="712">
        <f t="shared" si="2"/>
        <v>0.6741573033707865</v>
      </c>
      <c r="I5" s="712">
        <f t="shared" si="3"/>
        <v>0.15730337078651685</v>
      </c>
      <c r="J5" s="713">
        <f t="shared" si="4"/>
        <v>8.98876404494382E-2</v>
      </c>
    </row>
    <row r="6" spans="1:13" s="77" customFormat="1" ht="16.5" customHeight="1">
      <c r="A6" s="447" t="s">
        <v>224</v>
      </c>
      <c r="B6" s="593">
        <v>6</v>
      </c>
      <c r="C6" s="593">
        <v>64</v>
      </c>
      <c r="D6" s="593">
        <v>10</v>
      </c>
      <c r="E6" s="593">
        <v>6</v>
      </c>
      <c r="F6" s="1912">
        <f t="shared" si="0"/>
        <v>86</v>
      </c>
      <c r="G6" s="1908">
        <f t="shared" si="1"/>
        <v>6.9767441860465115E-2</v>
      </c>
      <c r="H6" s="712">
        <f t="shared" si="2"/>
        <v>0.7441860465116279</v>
      </c>
      <c r="I6" s="712">
        <f t="shared" si="3"/>
        <v>0.11627906976744186</v>
      </c>
      <c r="J6" s="713">
        <f t="shared" si="4"/>
        <v>6.9767441860465115E-2</v>
      </c>
    </row>
    <row r="7" spans="1:13" s="77" customFormat="1" ht="16.5" customHeight="1">
      <c r="A7" s="447" t="s">
        <v>482</v>
      </c>
      <c r="B7" s="593">
        <v>6</v>
      </c>
      <c r="C7" s="593">
        <v>26</v>
      </c>
      <c r="D7" s="593">
        <v>10</v>
      </c>
      <c r="E7" s="593">
        <v>3</v>
      </c>
      <c r="F7" s="1912">
        <f t="shared" si="0"/>
        <v>45</v>
      </c>
      <c r="G7" s="1908">
        <f t="shared" si="1"/>
        <v>0.13333333333333333</v>
      </c>
      <c r="H7" s="712">
        <f t="shared" si="2"/>
        <v>0.57777777777777772</v>
      </c>
      <c r="I7" s="712">
        <f t="shared" si="3"/>
        <v>0.22222222222222221</v>
      </c>
      <c r="J7" s="713">
        <f t="shared" si="4"/>
        <v>6.6666666666666666E-2</v>
      </c>
    </row>
    <row r="8" spans="1:13" s="77" customFormat="1" ht="16.5" customHeight="1">
      <c r="A8" s="447" t="s">
        <v>561</v>
      </c>
      <c r="B8" s="593">
        <v>8</v>
      </c>
      <c r="C8" s="593">
        <v>58</v>
      </c>
      <c r="D8" s="593">
        <v>8</v>
      </c>
      <c r="E8" s="593">
        <v>5</v>
      </c>
      <c r="F8" s="1912">
        <f t="shared" si="0"/>
        <v>79</v>
      </c>
      <c r="G8" s="1908">
        <f t="shared" si="1"/>
        <v>0.10126582278481013</v>
      </c>
      <c r="H8" s="712">
        <f t="shared" si="2"/>
        <v>0.73417721518987344</v>
      </c>
      <c r="I8" s="712">
        <f t="shared" si="3"/>
        <v>0.10126582278481013</v>
      </c>
      <c r="J8" s="713">
        <f t="shared" si="4"/>
        <v>6.3291139240506333E-2</v>
      </c>
    </row>
    <row r="9" spans="1:13" s="77" customFormat="1" ht="16.5" customHeight="1">
      <c r="A9" s="447" t="s">
        <v>569</v>
      </c>
      <c r="B9" s="593">
        <v>7</v>
      </c>
      <c r="C9" s="593">
        <v>49</v>
      </c>
      <c r="D9" s="593">
        <v>8</v>
      </c>
      <c r="E9" s="593">
        <v>2</v>
      </c>
      <c r="F9" s="1912">
        <f t="shared" si="0"/>
        <v>66</v>
      </c>
      <c r="G9" s="1908">
        <f t="shared" si="1"/>
        <v>0.10606060606060606</v>
      </c>
      <c r="H9" s="712">
        <f t="shared" si="2"/>
        <v>0.74242424242424243</v>
      </c>
      <c r="I9" s="712">
        <f t="shared" si="3"/>
        <v>0.12121212121212122</v>
      </c>
      <c r="J9" s="713">
        <f t="shared" si="4"/>
        <v>3.0303030303030304E-2</v>
      </c>
    </row>
    <row r="10" spans="1:13" s="77" customFormat="1" ht="16.5" customHeight="1">
      <c r="A10" s="447" t="s">
        <v>1006</v>
      </c>
      <c r="B10" s="593">
        <v>19</v>
      </c>
      <c r="C10" s="593">
        <v>61</v>
      </c>
      <c r="D10" s="593">
        <v>5</v>
      </c>
      <c r="E10" s="593">
        <v>6</v>
      </c>
      <c r="F10" s="1912">
        <f t="shared" si="0"/>
        <v>91</v>
      </c>
      <c r="G10" s="1908">
        <f t="shared" si="1"/>
        <v>0.2087912087912088</v>
      </c>
      <c r="H10" s="712">
        <f t="shared" si="2"/>
        <v>0.67032967032967028</v>
      </c>
      <c r="I10" s="712">
        <f t="shared" si="3"/>
        <v>5.4945054945054944E-2</v>
      </c>
      <c r="J10" s="713">
        <f t="shared" si="4"/>
        <v>6.5934065934065936E-2</v>
      </c>
    </row>
    <row r="11" spans="1:13" s="77" customFormat="1" ht="21" customHeight="1">
      <c r="A11" s="618" t="s">
        <v>23</v>
      </c>
      <c r="B11" s="708">
        <f>SUM(B4:B10)</f>
        <v>64</v>
      </c>
      <c r="C11" s="708">
        <f>SUM(C4:C10)</f>
        <v>368</v>
      </c>
      <c r="D11" s="708">
        <f>SUM(D4:D10)</f>
        <v>57</v>
      </c>
      <c r="E11" s="708">
        <f>SUM(E4:E10)</f>
        <v>32</v>
      </c>
      <c r="F11" s="1910">
        <f>SUM(F4:F10)</f>
        <v>521</v>
      </c>
      <c r="G11" s="1909">
        <f t="shared" si="1"/>
        <v>0.12284069097888675</v>
      </c>
      <c r="H11" s="710">
        <f t="shared" si="2"/>
        <v>0.7063339731285988</v>
      </c>
      <c r="I11" s="710">
        <f t="shared" si="3"/>
        <v>0.10940499040307101</v>
      </c>
      <c r="J11" s="711">
        <f t="shared" si="4"/>
        <v>6.1420345489443376E-2</v>
      </c>
    </row>
    <row r="12" spans="1:13" s="77" customFormat="1">
      <c r="A12" s="142"/>
      <c r="B12" s="141"/>
      <c r="C12" s="141"/>
      <c r="D12" s="141"/>
      <c r="E12" s="141"/>
    </row>
    <row r="13" spans="1:13" s="77" customFormat="1">
      <c r="A13" s="142"/>
      <c r="B13" s="141"/>
      <c r="C13" s="141"/>
      <c r="D13" s="141"/>
      <c r="E13" s="141"/>
    </row>
    <row r="14" spans="1:13" s="77" customFormat="1">
      <c r="A14" s="142"/>
      <c r="B14" s="141"/>
      <c r="C14" s="141"/>
      <c r="D14" s="141"/>
      <c r="E14" s="141"/>
    </row>
    <row r="15" spans="1:13" s="77" customFormat="1">
      <c r="A15" s="142"/>
      <c r="B15" s="141"/>
      <c r="C15" s="141"/>
      <c r="D15" s="141"/>
      <c r="E15" s="141"/>
    </row>
    <row r="16" spans="1:13" s="77" customFormat="1"/>
    <row r="17" s="77" customFormat="1"/>
    <row r="18" s="77" customFormat="1"/>
    <row r="19" s="77" customFormat="1"/>
    <row r="20" s="77" customFormat="1"/>
    <row r="21" s="77" customFormat="1"/>
    <row r="22" s="77" customFormat="1"/>
  </sheetData>
  <mergeCells count="1">
    <mergeCell ref="A1:L1"/>
  </mergeCells>
  <printOptions horizontalCentered="1"/>
  <pageMargins left="0.39370078740157483" right="0.39370078740157483" top="0.23622047244094491" bottom="0.23622047244094491" header="0.31496062992125984" footer="0.31496062992125984"/>
  <pageSetup scale="75" orientation="landscape" r:id="rId1"/>
  <drawing r:id="rId2"/>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9">
    <tabColor rgb="FF66FF33"/>
  </sheetPr>
  <dimension ref="A1:R24"/>
  <sheetViews>
    <sheetView showGridLines="0" view="pageBreakPreview" zoomScale="70" zoomScaleNormal="100" zoomScaleSheetLayoutView="70" workbookViewId="0">
      <selection activeCell="A3" sqref="A3"/>
    </sheetView>
  </sheetViews>
  <sheetFormatPr baseColWidth="10" defaultColWidth="11.42578125" defaultRowHeight="15"/>
  <cols>
    <col min="1" max="1" width="18.42578125" style="39" customWidth="1"/>
    <col min="2" max="3" width="12.28515625" style="39" customWidth="1"/>
    <col min="4" max="4" width="14.140625" style="39" customWidth="1"/>
    <col min="5" max="5" width="10.5703125" style="39" customWidth="1"/>
    <col min="6" max="6" width="9.7109375" style="39" customWidth="1"/>
    <col min="7" max="7" width="15.7109375" style="39" customWidth="1"/>
    <col min="8" max="8" width="13.7109375" style="39" customWidth="1"/>
    <col min="9" max="9" width="16.42578125" style="39" customWidth="1"/>
    <col min="10" max="10" width="13.28515625" style="39" customWidth="1"/>
    <col min="11" max="11" width="13.7109375" style="39" customWidth="1"/>
    <col min="12" max="13" width="11.7109375" style="39" customWidth="1"/>
    <col min="14" max="14" width="15.28515625" style="39" customWidth="1"/>
    <col min="15" max="16" width="11.42578125" style="39"/>
    <col min="17" max="17" width="16.28515625" style="39" customWidth="1"/>
    <col min="18" max="18" width="11.42578125" style="39" customWidth="1"/>
    <col min="19" max="16384" width="11.42578125" style="39"/>
  </cols>
  <sheetData>
    <row r="1" spans="1:18" s="77" customFormat="1" ht="78.75" customHeight="1">
      <c r="A1" s="2183"/>
      <c r="B1" s="2183"/>
      <c r="C1" s="2183"/>
      <c r="D1" s="2183"/>
      <c r="E1" s="2183"/>
      <c r="F1" s="2183"/>
      <c r="G1" s="2183"/>
      <c r="H1" s="2183"/>
      <c r="I1" s="2183"/>
      <c r="J1" s="2183"/>
      <c r="K1" s="2183"/>
      <c r="L1" s="2183"/>
      <c r="M1" s="2183"/>
      <c r="N1" s="2183"/>
      <c r="O1" s="143"/>
      <c r="P1" s="143"/>
      <c r="Q1" s="143"/>
      <c r="R1" s="143"/>
    </row>
    <row r="2" spans="1:18" s="77" customFormat="1" ht="4.5" customHeight="1">
      <c r="A2" s="620"/>
      <c r="B2" s="176"/>
      <c r="C2" s="176"/>
      <c r="D2" s="176"/>
      <c r="E2" s="176"/>
      <c r="F2" s="176"/>
      <c r="G2" s="176"/>
      <c r="H2" s="176"/>
      <c r="I2" s="176"/>
      <c r="J2" s="176"/>
      <c r="K2" s="176"/>
      <c r="L2" s="176"/>
      <c r="M2" s="176"/>
      <c r="N2" s="176"/>
      <c r="O2" s="143"/>
      <c r="P2" s="143"/>
      <c r="Q2" s="143"/>
      <c r="R2" s="143"/>
    </row>
    <row r="3" spans="1:18" s="77" customFormat="1" ht="44.25" customHeight="1">
      <c r="A3" s="697" t="s">
        <v>0</v>
      </c>
      <c r="B3" s="601" t="s">
        <v>380</v>
      </c>
      <c r="C3" s="601" t="s">
        <v>379</v>
      </c>
      <c r="D3" s="601" t="s">
        <v>378</v>
      </c>
      <c r="E3" s="601" t="s">
        <v>377</v>
      </c>
      <c r="F3" s="601" t="s">
        <v>376</v>
      </c>
      <c r="G3" s="601" t="s">
        <v>365</v>
      </c>
      <c r="H3" s="618" t="s">
        <v>140</v>
      </c>
      <c r="I3" s="703" t="s">
        <v>375</v>
      </c>
      <c r="J3" s="703" t="s">
        <v>374</v>
      </c>
      <c r="K3" s="601" t="s">
        <v>373</v>
      </c>
      <c r="L3" s="601" t="s">
        <v>372</v>
      </c>
      <c r="M3" s="601" t="s">
        <v>371</v>
      </c>
      <c r="N3" s="602" t="s">
        <v>240</v>
      </c>
    </row>
    <row r="4" spans="1:18" s="77" customFormat="1" ht="15.75">
      <c r="A4" s="603" t="s">
        <v>223</v>
      </c>
      <c r="B4" s="599">
        <v>13</v>
      </c>
      <c r="C4" s="599">
        <v>4</v>
      </c>
      <c r="D4" s="599">
        <v>6</v>
      </c>
      <c r="E4" s="599">
        <v>28</v>
      </c>
      <c r="F4" s="599">
        <v>14</v>
      </c>
      <c r="G4" s="599">
        <v>0</v>
      </c>
      <c r="H4" s="1750">
        <f t="shared" ref="H4:H10" si="0">SUM(B4:G4)</f>
        <v>65</v>
      </c>
      <c r="I4" s="714">
        <f t="shared" ref="I4:I11" si="1">B4/H4</f>
        <v>0.2</v>
      </c>
      <c r="J4" s="714">
        <f t="shared" ref="J4:J11" si="2">C4/H4</f>
        <v>6.1538461538461542E-2</v>
      </c>
      <c r="K4" s="714">
        <f t="shared" ref="K4:K11" si="3">D4/H4</f>
        <v>9.2307692307692313E-2</v>
      </c>
      <c r="L4" s="714">
        <f t="shared" ref="L4:L11" si="4">E4/H4</f>
        <v>0.43076923076923079</v>
      </c>
      <c r="M4" s="714">
        <f t="shared" ref="M4:M11" si="5">F4/H4</f>
        <v>0.2153846153846154</v>
      </c>
      <c r="N4" s="715">
        <f t="shared" ref="N4:N11" si="6">G4/H4</f>
        <v>0</v>
      </c>
    </row>
    <row r="5" spans="1:18" s="77" customFormat="1" ht="15.75">
      <c r="A5" s="603" t="s">
        <v>192</v>
      </c>
      <c r="B5" s="599">
        <v>7</v>
      </c>
      <c r="C5" s="599">
        <v>8</v>
      </c>
      <c r="D5" s="599">
        <v>0</v>
      </c>
      <c r="E5" s="599">
        <v>55</v>
      </c>
      <c r="F5" s="599">
        <v>17</v>
      </c>
      <c r="G5" s="599">
        <v>2</v>
      </c>
      <c r="H5" s="1750">
        <f t="shared" si="0"/>
        <v>89</v>
      </c>
      <c r="I5" s="714">
        <f t="shared" si="1"/>
        <v>7.8651685393258425E-2</v>
      </c>
      <c r="J5" s="714">
        <f t="shared" si="2"/>
        <v>8.98876404494382E-2</v>
      </c>
      <c r="K5" s="714">
        <f t="shared" si="3"/>
        <v>0</v>
      </c>
      <c r="L5" s="714">
        <f t="shared" si="4"/>
        <v>0.6179775280898876</v>
      </c>
      <c r="M5" s="714">
        <f t="shared" si="5"/>
        <v>0.19101123595505617</v>
      </c>
      <c r="N5" s="715">
        <f t="shared" si="6"/>
        <v>2.247191011235955E-2</v>
      </c>
      <c r="R5" s="39"/>
    </row>
    <row r="6" spans="1:18" s="77" customFormat="1" ht="15.75">
      <c r="A6" s="603" t="s">
        <v>224</v>
      </c>
      <c r="B6" s="599">
        <v>14</v>
      </c>
      <c r="C6" s="599">
        <v>6</v>
      </c>
      <c r="D6" s="599">
        <v>1</v>
      </c>
      <c r="E6" s="599">
        <v>55</v>
      </c>
      <c r="F6" s="599">
        <v>4</v>
      </c>
      <c r="G6" s="599">
        <v>6</v>
      </c>
      <c r="H6" s="1750">
        <f t="shared" si="0"/>
        <v>86</v>
      </c>
      <c r="I6" s="714">
        <f t="shared" si="1"/>
        <v>0.16279069767441862</v>
      </c>
      <c r="J6" s="714">
        <f t="shared" si="2"/>
        <v>6.9767441860465115E-2</v>
      </c>
      <c r="K6" s="714">
        <f t="shared" si="3"/>
        <v>1.1627906976744186E-2</v>
      </c>
      <c r="L6" s="714">
        <f t="shared" si="4"/>
        <v>0.63953488372093026</v>
      </c>
      <c r="M6" s="714">
        <f t="shared" si="5"/>
        <v>4.6511627906976744E-2</v>
      </c>
      <c r="N6" s="715">
        <f t="shared" si="6"/>
        <v>6.9767441860465115E-2</v>
      </c>
    </row>
    <row r="7" spans="1:18" s="77" customFormat="1" ht="15.75">
      <c r="A7" s="603" t="s">
        <v>482</v>
      </c>
      <c r="B7" s="281">
        <v>1</v>
      </c>
      <c r="C7" s="281">
        <v>0</v>
      </c>
      <c r="D7" s="281">
        <v>0</v>
      </c>
      <c r="E7" s="281">
        <v>36</v>
      </c>
      <c r="F7" s="281">
        <v>1</v>
      </c>
      <c r="G7" s="281">
        <v>7</v>
      </c>
      <c r="H7" s="1278">
        <f t="shared" si="0"/>
        <v>45</v>
      </c>
      <c r="I7" s="714">
        <f t="shared" si="1"/>
        <v>2.2222222222222223E-2</v>
      </c>
      <c r="J7" s="714">
        <f t="shared" si="2"/>
        <v>0</v>
      </c>
      <c r="K7" s="714">
        <f t="shared" si="3"/>
        <v>0</v>
      </c>
      <c r="L7" s="714">
        <f t="shared" si="4"/>
        <v>0.8</v>
      </c>
      <c r="M7" s="714">
        <f t="shared" si="5"/>
        <v>2.2222222222222223E-2</v>
      </c>
      <c r="N7" s="715">
        <f t="shared" si="6"/>
        <v>0.15555555555555556</v>
      </c>
    </row>
    <row r="8" spans="1:18" s="77" customFormat="1" ht="15.75">
      <c r="A8" s="603" t="s">
        <v>561</v>
      </c>
      <c r="B8" s="281">
        <v>2</v>
      </c>
      <c r="C8" s="281">
        <v>2</v>
      </c>
      <c r="D8" s="281">
        <v>1</v>
      </c>
      <c r="E8" s="281">
        <v>64</v>
      </c>
      <c r="F8" s="281">
        <v>7</v>
      </c>
      <c r="G8" s="281">
        <v>3</v>
      </c>
      <c r="H8" s="1278">
        <f t="shared" si="0"/>
        <v>79</v>
      </c>
      <c r="I8" s="714">
        <f t="shared" si="1"/>
        <v>2.5316455696202531E-2</v>
      </c>
      <c r="J8" s="714">
        <f t="shared" si="2"/>
        <v>2.5316455696202531E-2</v>
      </c>
      <c r="K8" s="714">
        <f t="shared" si="3"/>
        <v>1.2658227848101266E-2</v>
      </c>
      <c r="L8" s="714">
        <f t="shared" si="4"/>
        <v>0.810126582278481</v>
      </c>
      <c r="M8" s="714">
        <f t="shared" si="5"/>
        <v>8.8607594936708861E-2</v>
      </c>
      <c r="N8" s="715">
        <f t="shared" si="6"/>
        <v>3.7974683544303799E-2</v>
      </c>
    </row>
    <row r="9" spans="1:18" s="77" customFormat="1" ht="15.75">
      <c r="A9" s="603" t="s">
        <v>569</v>
      </c>
      <c r="B9" s="281">
        <v>2</v>
      </c>
      <c r="C9" s="281">
        <v>12</v>
      </c>
      <c r="D9" s="281">
        <v>1</v>
      </c>
      <c r="E9" s="281">
        <v>46</v>
      </c>
      <c r="F9" s="281">
        <v>5</v>
      </c>
      <c r="G9" s="281">
        <v>0</v>
      </c>
      <c r="H9" s="1278">
        <f t="shared" si="0"/>
        <v>66</v>
      </c>
      <c r="I9" s="714">
        <f t="shared" si="1"/>
        <v>3.0303030303030304E-2</v>
      </c>
      <c r="J9" s="714">
        <f t="shared" si="2"/>
        <v>0.18181818181818182</v>
      </c>
      <c r="K9" s="714">
        <f t="shared" si="3"/>
        <v>1.5151515151515152E-2</v>
      </c>
      <c r="L9" s="714">
        <f t="shared" si="4"/>
        <v>0.69696969696969702</v>
      </c>
      <c r="M9" s="714">
        <f t="shared" si="5"/>
        <v>7.575757575757576E-2</v>
      </c>
      <c r="N9" s="715">
        <f t="shared" si="6"/>
        <v>0</v>
      </c>
    </row>
    <row r="10" spans="1:18" s="77" customFormat="1" ht="15.75">
      <c r="A10" s="603" t="s">
        <v>1006</v>
      </c>
      <c r="B10" s="281">
        <v>2</v>
      </c>
      <c r="C10" s="281">
        <v>4</v>
      </c>
      <c r="D10" s="281">
        <v>0</v>
      </c>
      <c r="E10" s="281">
        <v>77</v>
      </c>
      <c r="F10" s="281">
        <v>8</v>
      </c>
      <c r="G10" s="281">
        <v>0</v>
      </c>
      <c r="H10" s="1278">
        <f t="shared" si="0"/>
        <v>91</v>
      </c>
      <c r="I10" s="714">
        <f t="shared" si="1"/>
        <v>2.197802197802198E-2</v>
      </c>
      <c r="J10" s="714">
        <f t="shared" si="2"/>
        <v>4.3956043956043959E-2</v>
      </c>
      <c r="K10" s="714">
        <f t="shared" si="3"/>
        <v>0</v>
      </c>
      <c r="L10" s="714">
        <f t="shared" si="4"/>
        <v>0.84615384615384615</v>
      </c>
      <c r="M10" s="714">
        <f t="shared" si="5"/>
        <v>8.7912087912087919E-2</v>
      </c>
      <c r="N10" s="715">
        <f t="shared" si="6"/>
        <v>0</v>
      </c>
    </row>
    <row r="11" spans="1:18" s="77" customFormat="1" ht="15.75">
      <c r="A11" s="598" t="s">
        <v>23</v>
      </c>
      <c r="B11" s="604">
        <f>SUM(B4:B10)</f>
        <v>41</v>
      </c>
      <c r="C11" s="604">
        <f t="shared" ref="C11:H11" si="7">SUM(C4:C10)</f>
        <v>36</v>
      </c>
      <c r="D11" s="604">
        <f t="shared" si="7"/>
        <v>9</v>
      </c>
      <c r="E11" s="604">
        <f t="shared" si="7"/>
        <v>361</v>
      </c>
      <c r="F11" s="604">
        <f t="shared" si="7"/>
        <v>56</v>
      </c>
      <c r="G11" s="604">
        <f t="shared" si="7"/>
        <v>18</v>
      </c>
      <c r="H11" s="1273">
        <f t="shared" si="7"/>
        <v>521</v>
      </c>
      <c r="I11" s="605">
        <f t="shared" si="1"/>
        <v>7.8694817658349334E-2</v>
      </c>
      <c r="J11" s="605">
        <f t="shared" si="2"/>
        <v>6.9097888675623803E-2</v>
      </c>
      <c r="K11" s="605">
        <f t="shared" si="3"/>
        <v>1.7274472168905951E-2</v>
      </c>
      <c r="L11" s="605">
        <f t="shared" si="4"/>
        <v>0.69289827255278313</v>
      </c>
      <c r="M11" s="605">
        <f t="shared" si="5"/>
        <v>0.10748560460652591</v>
      </c>
      <c r="N11" s="606">
        <f t="shared" si="6"/>
        <v>3.4548944337811902E-2</v>
      </c>
    </row>
    <row r="12" spans="1:18" s="77" customFormat="1">
      <c r="A12" s="142"/>
      <c r="B12" s="141"/>
      <c r="C12" s="141"/>
      <c r="D12" s="141"/>
      <c r="E12" s="141"/>
      <c r="F12" s="141"/>
      <c r="G12" s="141"/>
    </row>
    <row r="13" spans="1:18" s="77" customFormat="1">
      <c r="A13" s="142"/>
      <c r="B13" s="141"/>
      <c r="C13" s="141"/>
      <c r="D13" s="141"/>
      <c r="E13" s="141"/>
      <c r="F13" s="141"/>
      <c r="G13" s="141"/>
      <c r="Q13" s="39"/>
    </row>
    <row r="14" spans="1:18" s="77" customFormat="1">
      <c r="A14" s="142"/>
      <c r="B14" s="141"/>
      <c r="C14" s="141"/>
      <c r="D14" s="141"/>
      <c r="E14" s="141"/>
      <c r="F14" s="141"/>
      <c r="G14" s="141"/>
      <c r="Q14" s="39"/>
    </row>
    <row r="15" spans="1:18" s="77" customFormat="1">
      <c r="A15" s="142"/>
      <c r="B15" s="141"/>
      <c r="C15" s="141"/>
      <c r="D15" s="141"/>
      <c r="E15" s="141"/>
      <c r="F15" s="141"/>
      <c r="G15" s="141"/>
    </row>
    <row r="16" spans="1:18" s="77" customFormat="1"/>
    <row r="17" spans="17:17" s="77" customFormat="1"/>
    <row r="18" spans="17:17" s="77" customFormat="1"/>
    <row r="19" spans="17:17" s="77" customFormat="1"/>
    <row r="20" spans="17:17" s="77" customFormat="1"/>
    <row r="21" spans="17:17" s="77" customFormat="1"/>
    <row r="22" spans="17:17" s="77" customFormat="1"/>
    <row r="24" spans="17:17">
      <c r="Q24" s="140"/>
    </row>
  </sheetData>
  <mergeCells count="1">
    <mergeCell ref="A1:N1"/>
  </mergeCells>
  <printOptions horizontalCentered="1"/>
  <pageMargins left="0.39370078740157483" right="0.39370078740157483" top="0.23622047244094491" bottom="0.23622047244094491" header="0.31496062992125984" footer="0.31496062992125984"/>
  <pageSetup scale="65" orientation="landscape" r:id="rId1"/>
  <drawing r:id="rId2"/>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0">
    <pageSetUpPr fitToPage="1"/>
  </sheetPr>
  <dimension ref="N15:N27"/>
  <sheetViews>
    <sheetView showGridLines="0" view="pageBreakPreview" zoomScaleNormal="100" zoomScaleSheetLayoutView="100" workbookViewId="0">
      <selection activeCell="N24" sqref="N24"/>
    </sheetView>
  </sheetViews>
  <sheetFormatPr baseColWidth="10" defaultColWidth="11.42578125" defaultRowHeight="15"/>
  <cols>
    <col min="1" max="6" width="11.42578125" style="77"/>
    <col min="7" max="7" width="9.42578125" style="77" customWidth="1"/>
    <col min="8" max="16384" width="11.42578125" style="77"/>
  </cols>
  <sheetData>
    <row r="15" spans="14:14">
      <c r="N15" s="941"/>
    </row>
    <row r="27" spans="14:14">
      <c r="N27"/>
    </row>
  </sheetData>
  <pageMargins left="0.70866141732283472" right="0.70866141732283472" top="0.74803149606299213" bottom="0.74803149606299213" header="0.31496062992125984" footer="0.31496062992125984"/>
  <pageSetup scale="90"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tabColor theme="9" tint="-0.499984740745262"/>
  </sheetPr>
  <dimension ref="A1"/>
  <sheetViews>
    <sheetView showGridLines="0" view="pageBreakPreview" zoomScale="70" zoomScaleNormal="100" zoomScaleSheetLayoutView="70" workbookViewId="0">
      <selection activeCell="R29" sqref="R29"/>
    </sheetView>
  </sheetViews>
  <sheetFormatPr baseColWidth="10" defaultColWidth="11.42578125" defaultRowHeight="15"/>
  <cols>
    <col min="1" max="6" width="11.42578125" style="77"/>
    <col min="7" max="7" width="13.42578125" style="77" customWidth="1"/>
    <col min="8" max="16384" width="11.42578125" style="77"/>
  </cols>
  <sheetData/>
  <pageMargins left="0.7" right="0.7" top="0.75" bottom="0.75" header="0.3" footer="0.3"/>
  <pageSetup scale="77" orientation="landscape" r:id="rId1"/>
  <drawing r:id="rId2"/>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1">
    <pageSetUpPr fitToPage="1"/>
  </sheetPr>
  <dimension ref="A1:U30"/>
  <sheetViews>
    <sheetView showGridLines="0" view="pageBreakPreview" zoomScale="70" zoomScaleNormal="100" zoomScaleSheetLayoutView="70" workbookViewId="0">
      <selection activeCell="S32" sqref="S32"/>
    </sheetView>
  </sheetViews>
  <sheetFormatPr baseColWidth="10" defaultColWidth="11.42578125" defaultRowHeight="15"/>
  <cols>
    <col min="1" max="1" width="22.28515625" style="848" customWidth="1"/>
    <col min="2" max="2" width="13.140625" style="848" customWidth="1"/>
    <col min="3" max="3" width="16.28515625" style="848" customWidth="1"/>
    <col min="4" max="4" width="16.85546875" style="848" customWidth="1"/>
    <col min="5" max="16384" width="11.42578125" style="848"/>
  </cols>
  <sheetData>
    <row r="1" spans="1:16" ht="72" customHeight="1">
      <c r="A1" s="2196"/>
      <c r="B1" s="2196"/>
      <c r="C1" s="2196"/>
      <c r="D1" s="2196"/>
      <c r="E1" s="2196"/>
      <c r="F1" s="2196"/>
      <c r="G1" s="2196"/>
      <c r="H1" s="2196"/>
      <c r="I1" s="2196"/>
      <c r="J1" s="2196"/>
      <c r="K1" s="2196"/>
      <c r="L1" s="2196"/>
      <c r="M1" s="2196"/>
      <c r="N1" s="2196"/>
    </row>
    <row r="2" spans="1:16" ht="6.75" customHeight="1">
      <c r="A2" s="2197"/>
      <c r="B2" s="2197"/>
      <c r="C2" s="2197"/>
      <c r="D2" s="2197"/>
      <c r="E2" s="2197"/>
    </row>
    <row r="3" spans="1:16" ht="31.5" customHeight="1">
      <c r="A3" s="873" t="s">
        <v>45</v>
      </c>
      <c r="B3" s="874" t="s">
        <v>626</v>
      </c>
      <c r="C3" s="874" t="s">
        <v>627</v>
      </c>
      <c r="D3" s="875" t="s">
        <v>628</v>
      </c>
    </row>
    <row r="4" spans="1:16" ht="17.25" customHeight="1">
      <c r="A4" s="1643" t="s">
        <v>629</v>
      </c>
      <c r="B4" s="1647">
        <v>107</v>
      </c>
      <c r="C4" s="1647">
        <v>15</v>
      </c>
      <c r="D4" s="1648">
        <f>C4/B4</f>
        <v>0.14018691588785046</v>
      </c>
    </row>
    <row r="5" spans="1:16" ht="17.25" customHeight="1">
      <c r="A5" s="1643">
        <v>2009</v>
      </c>
      <c r="B5" s="1647">
        <v>1018</v>
      </c>
      <c r="C5" s="1647">
        <v>673</v>
      </c>
      <c r="D5" s="1648">
        <f t="shared" ref="D5:D11" si="0">C5/B5</f>
        <v>0.66110019646365425</v>
      </c>
      <c r="G5" s="1644"/>
    </row>
    <row r="6" spans="1:16">
      <c r="A6" s="1643" t="s">
        <v>192</v>
      </c>
      <c r="B6" s="1647">
        <v>1495</v>
      </c>
      <c r="C6" s="1647">
        <v>793</v>
      </c>
      <c r="D6" s="1648">
        <f t="shared" si="0"/>
        <v>0.5304347826086957</v>
      </c>
    </row>
    <row r="7" spans="1:16">
      <c r="A7" s="1643" t="s">
        <v>224</v>
      </c>
      <c r="B7" s="1647">
        <v>2086</v>
      </c>
      <c r="C7" s="1647">
        <v>795</v>
      </c>
      <c r="D7" s="1648">
        <f t="shared" si="0"/>
        <v>0.38111217641418982</v>
      </c>
    </row>
    <row r="8" spans="1:16">
      <c r="A8" s="1643" t="s">
        <v>482</v>
      </c>
      <c r="B8" s="1647">
        <v>2160</v>
      </c>
      <c r="C8" s="1647">
        <v>1877</v>
      </c>
      <c r="D8" s="1648">
        <f t="shared" si="0"/>
        <v>0.86898148148148147</v>
      </c>
    </row>
    <row r="9" spans="1:16">
      <c r="A9" s="1643" t="s">
        <v>561</v>
      </c>
      <c r="B9" s="1647">
        <v>1670</v>
      </c>
      <c r="C9" s="1647">
        <v>2874</v>
      </c>
      <c r="D9" s="1648">
        <f t="shared" si="0"/>
        <v>1.7209580838323353</v>
      </c>
    </row>
    <row r="10" spans="1:16">
      <c r="A10" s="1643" t="s">
        <v>569</v>
      </c>
      <c r="B10" s="1647">
        <v>1558</v>
      </c>
      <c r="C10" s="1647">
        <v>1761</v>
      </c>
      <c r="D10" s="1648">
        <f t="shared" si="0"/>
        <v>1.1302952503209243</v>
      </c>
    </row>
    <row r="11" spans="1:16">
      <c r="A11" s="1643" t="s">
        <v>1007</v>
      </c>
      <c r="B11" s="1647">
        <v>1524</v>
      </c>
      <c r="C11" s="1647">
        <v>1001</v>
      </c>
      <c r="D11" s="1648">
        <f t="shared" si="0"/>
        <v>0.65682414698162728</v>
      </c>
    </row>
    <row r="12" spans="1:16">
      <c r="A12" s="1643" t="s">
        <v>785</v>
      </c>
      <c r="B12" s="1647">
        <v>4</v>
      </c>
      <c r="C12" s="1647"/>
      <c r="D12" s="1648"/>
    </row>
    <row r="13" spans="1:16">
      <c r="A13" s="873" t="s">
        <v>23</v>
      </c>
      <c r="B13" s="1645">
        <f>SUM(B4:B11)</f>
        <v>11618</v>
      </c>
      <c r="C13" s="1645">
        <f>SUM(C4:C11)</f>
        <v>9789</v>
      </c>
      <c r="D13" s="1646">
        <f>C13/B13</f>
        <v>0.84257187123429167</v>
      </c>
      <c r="O13" s="849"/>
      <c r="P13" s="849"/>
    </row>
    <row r="15" spans="1:16">
      <c r="O15" s="849"/>
    </row>
    <row r="16" spans="1:16">
      <c r="O16" s="849"/>
    </row>
    <row r="18" spans="16:21">
      <c r="P18" s="850"/>
      <c r="Q18" s="850"/>
      <c r="R18" s="850"/>
    </row>
    <row r="19" spans="16:21">
      <c r="P19" s="850"/>
      <c r="T19" s="851"/>
      <c r="U19" s="852"/>
    </row>
    <row r="20" spans="16:21">
      <c r="P20" s="850"/>
      <c r="T20" s="851"/>
      <c r="U20" s="852"/>
    </row>
    <row r="21" spans="16:21">
      <c r="T21" s="851"/>
      <c r="U21" s="852"/>
    </row>
    <row r="22" spans="16:21">
      <c r="T22" s="851"/>
      <c r="U22" s="852"/>
    </row>
    <row r="23" spans="16:21">
      <c r="T23" s="851"/>
      <c r="U23" s="852"/>
    </row>
    <row r="24" spans="16:21">
      <c r="T24" s="851"/>
      <c r="U24" s="852"/>
    </row>
    <row r="25" spans="16:21">
      <c r="T25" s="851"/>
      <c r="U25" s="852"/>
    </row>
    <row r="26" spans="16:21">
      <c r="T26" s="851"/>
      <c r="U26" s="852"/>
    </row>
    <row r="27" spans="16:21">
      <c r="U27" s="852"/>
    </row>
    <row r="30" spans="16:21">
      <c r="Q30" s="850"/>
    </row>
  </sheetData>
  <mergeCells count="2">
    <mergeCell ref="A1:N1"/>
    <mergeCell ref="A2:E2"/>
  </mergeCells>
  <pageMargins left="0.7" right="0.7" top="0.75" bottom="0.75" header="0.3" footer="0.3"/>
  <pageSetup scale="62" orientation="landscape" r:id="rId1"/>
  <drawing r:id="rId2"/>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2">
    <pageSetUpPr fitToPage="1"/>
  </sheetPr>
  <dimension ref="A1:O19"/>
  <sheetViews>
    <sheetView showGridLines="0" view="pageBreakPreview" zoomScale="55" zoomScaleNormal="100" zoomScaleSheetLayoutView="55" workbookViewId="0">
      <selection activeCell="Q34" sqref="Q34:Q35"/>
    </sheetView>
  </sheetViews>
  <sheetFormatPr baseColWidth="10" defaultColWidth="11.42578125" defaultRowHeight="15"/>
  <cols>
    <col min="1" max="1" width="30" style="853" customWidth="1"/>
    <col min="2" max="2" width="14.5703125" style="853" customWidth="1"/>
    <col min="3" max="3" width="21.85546875" style="853" customWidth="1"/>
    <col min="4" max="4" width="21" style="853" customWidth="1"/>
    <col min="5" max="5" width="22.85546875" style="853" customWidth="1"/>
    <col min="6" max="11" width="11.42578125" style="853"/>
    <col min="12" max="12" width="18.85546875" style="853" customWidth="1"/>
    <col min="13" max="13" width="8.85546875" style="853" customWidth="1"/>
    <col min="14" max="16384" width="11.42578125" style="853"/>
  </cols>
  <sheetData>
    <row r="1" spans="1:15" ht="93.75" customHeight="1">
      <c r="A1" s="2198"/>
      <c r="B1" s="2198"/>
      <c r="C1" s="2198"/>
      <c r="D1" s="2198"/>
      <c r="E1" s="2198"/>
      <c r="F1" s="2198"/>
      <c r="G1" s="2198"/>
      <c r="H1" s="2198"/>
      <c r="I1" s="2198"/>
      <c r="J1" s="2198"/>
      <c r="K1" s="2198"/>
      <c r="L1" s="2198"/>
      <c r="M1" s="2198"/>
    </row>
    <row r="2" spans="1:15" ht="7.5" customHeight="1"/>
    <row r="3" spans="1:15" ht="30.75" customHeight="1">
      <c r="A3" s="859"/>
      <c r="B3" s="2199" t="s">
        <v>630</v>
      </c>
      <c r="C3" s="2200"/>
      <c r="D3" s="2200"/>
      <c r="E3" s="2201"/>
    </row>
    <row r="4" spans="1:15" ht="42">
      <c r="A4" s="860" t="s">
        <v>0</v>
      </c>
      <c r="B4" s="861" t="s">
        <v>521</v>
      </c>
      <c r="C4" s="862" t="s">
        <v>631</v>
      </c>
      <c r="D4" s="862" t="s">
        <v>632</v>
      </c>
      <c r="E4" s="860" t="s">
        <v>23</v>
      </c>
    </row>
    <row r="5" spans="1:15" ht="21">
      <c r="A5" s="863" t="s">
        <v>786</v>
      </c>
      <c r="B5" s="876">
        <v>81</v>
      </c>
      <c r="C5" s="877">
        <v>13</v>
      </c>
      <c r="D5" s="877"/>
      <c r="E5" s="1915">
        <f>SUM(B5:D5)</f>
        <v>94</v>
      </c>
    </row>
    <row r="6" spans="1:15" ht="21">
      <c r="A6" s="864">
        <v>2010</v>
      </c>
      <c r="B6" s="878">
        <v>61</v>
      </c>
      <c r="C6" s="858">
        <v>25</v>
      </c>
      <c r="D6" s="858"/>
      <c r="E6" s="1103">
        <f t="shared" ref="E6:E12" si="0">SUM(B6:D6)</f>
        <v>86</v>
      </c>
    </row>
    <row r="7" spans="1:15" ht="21">
      <c r="A7" s="864">
        <v>2011</v>
      </c>
      <c r="B7" s="878">
        <v>78</v>
      </c>
      <c r="C7" s="858">
        <v>45</v>
      </c>
      <c r="D7" s="858"/>
      <c r="E7" s="1103">
        <f t="shared" si="0"/>
        <v>123</v>
      </c>
      <c r="O7" s="942"/>
    </row>
    <row r="8" spans="1:15" ht="21">
      <c r="A8" s="864">
        <v>2012</v>
      </c>
      <c r="B8" s="878">
        <v>313</v>
      </c>
      <c r="C8" s="858">
        <v>186</v>
      </c>
      <c r="D8" s="858">
        <v>60</v>
      </c>
      <c r="E8" s="1103">
        <f t="shared" si="0"/>
        <v>559</v>
      </c>
      <c r="O8" s="942"/>
    </row>
    <row r="9" spans="1:15" ht="21">
      <c r="A9" s="864">
        <v>2013</v>
      </c>
      <c r="B9" s="878">
        <v>529</v>
      </c>
      <c r="C9" s="858">
        <v>218</v>
      </c>
      <c r="D9" s="858">
        <v>21</v>
      </c>
      <c r="E9" s="1103">
        <f t="shared" si="0"/>
        <v>768</v>
      </c>
      <c r="O9" s="839"/>
    </row>
    <row r="10" spans="1:15" ht="21">
      <c r="A10" s="864">
        <v>2014</v>
      </c>
      <c r="B10" s="878">
        <v>294</v>
      </c>
      <c r="C10" s="858">
        <v>100</v>
      </c>
      <c r="D10" s="858"/>
      <c r="E10" s="1103">
        <f t="shared" si="0"/>
        <v>394</v>
      </c>
    </row>
    <row r="11" spans="1:15" ht="21">
      <c r="A11" s="864" t="s">
        <v>1018</v>
      </c>
      <c r="B11" s="878">
        <v>247</v>
      </c>
      <c r="C11" s="858">
        <v>66</v>
      </c>
      <c r="D11" s="858">
        <v>1</v>
      </c>
      <c r="E11" s="1103">
        <f t="shared" si="0"/>
        <v>314</v>
      </c>
      <c r="O11" s="943"/>
    </row>
    <row r="12" spans="1:15" ht="21">
      <c r="A12" s="864" t="s">
        <v>633</v>
      </c>
      <c r="B12" s="878">
        <v>5</v>
      </c>
      <c r="C12" s="858"/>
      <c r="D12" s="858">
        <v>2</v>
      </c>
      <c r="E12" s="1103">
        <f t="shared" si="0"/>
        <v>7</v>
      </c>
      <c r="O12" s="854"/>
    </row>
    <row r="13" spans="1:15" ht="21">
      <c r="A13" s="1292" t="s">
        <v>23</v>
      </c>
      <c r="B13" s="1293">
        <f>SUM(B5:B12)</f>
        <v>1608</v>
      </c>
      <c r="C13" s="1294">
        <f>SUM(C5:C12)</f>
        <v>653</v>
      </c>
      <c r="D13" s="1294">
        <f>SUM(D5:D12)</f>
        <v>84</v>
      </c>
      <c r="E13" s="1295">
        <f>SUM(E5:E12)</f>
        <v>2345</v>
      </c>
      <c r="N13" s="173"/>
    </row>
    <row r="16" spans="1:15">
      <c r="O16" s="839"/>
    </row>
    <row r="17" spans="15:15">
      <c r="O17" s="839"/>
    </row>
    <row r="18" spans="15:15">
      <c r="O18" s="839"/>
    </row>
    <row r="19" spans="15:15">
      <c r="O19" s="839"/>
    </row>
  </sheetData>
  <mergeCells count="2">
    <mergeCell ref="A1:M1"/>
    <mergeCell ref="B3:E3"/>
  </mergeCells>
  <pageMargins left="0.70866141732283472" right="0.70866141732283472" top="0.74803149606299213" bottom="0.74803149606299213" header="0.31496062992125984" footer="0.31496062992125984"/>
  <pageSetup scale="57" orientation="landscape" r:id="rId1"/>
  <drawing r:id="rId2"/>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3">
    <pageSetUpPr fitToPage="1"/>
  </sheetPr>
  <dimension ref="A1:O15"/>
  <sheetViews>
    <sheetView showGridLines="0" view="pageBreakPreview" zoomScale="85" zoomScaleNormal="100" zoomScaleSheetLayoutView="85" workbookViewId="0">
      <selection activeCell="N18" sqref="N18"/>
    </sheetView>
  </sheetViews>
  <sheetFormatPr baseColWidth="10" defaultColWidth="11.42578125" defaultRowHeight="15"/>
  <cols>
    <col min="1" max="1" width="11.7109375" style="857" customWidth="1"/>
    <col min="2" max="2" width="20.140625" style="857" customWidth="1"/>
    <col min="3" max="3" width="11.28515625" style="857" customWidth="1"/>
    <col min="4" max="4" width="12.140625" style="857" customWidth="1"/>
    <col min="5" max="5" width="11.85546875" style="857" customWidth="1"/>
    <col min="6" max="8" width="14.28515625" style="857" customWidth="1"/>
    <col min="9" max="9" width="15" style="857" customWidth="1"/>
    <col min="10" max="10" width="13.85546875" style="857" customWidth="1"/>
    <col min="11" max="11" width="8.42578125" style="857" customWidth="1"/>
    <col min="12" max="12" width="0.28515625" style="857" customWidth="1"/>
    <col min="13" max="16384" width="11.42578125" style="857"/>
  </cols>
  <sheetData>
    <row r="1" spans="1:15" s="855" customFormat="1" ht="57.75" customHeight="1">
      <c r="A1" s="2202"/>
      <c r="B1" s="2203"/>
      <c r="C1" s="2203"/>
      <c r="D1" s="2203"/>
      <c r="E1" s="2203"/>
      <c r="F1" s="2203"/>
      <c r="G1" s="2203"/>
      <c r="H1" s="2203"/>
      <c r="I1" s="2203"/>
      <c r="J1" s="2203"/>
      <c r="K1" s="2204"/>
    </row>
    <row r="2" spans="1:15" s="855" customFormat="1" ht="3" customHeight="1"/>
    <row r="3" spans="1:15" s="856" customFormat="1" ht="29.25" customHeight="1">
      <c r="A3" s="865" t="s">
        <v>634</v>
      </c>
      <c r="B3" s="869" t="s">
        <v>635</v>
      </c>
      <c r="C3" s="867">
        <v>2009</v>
      </c>
      <c r="D3" s="867">
        <v>2010</v>
      </c>
      <c r="E3" s="867">
        <v>2011</v>
      </c>
      <c r="F3" s="867">
        <v>2012</v>
      </c>
      <c r="G3" s="867">
        <v>2013</v>
      </c>
      <c r="H3" s="868" t="s">
        <v>569</v>
      </c>
      <c r="I3" s="868" t="s">
        <v>1006</v>
      </c>
      <c r="J3" s="868" t="s">
        <v>636</v>
      </c>
      <c r="K3" s="866" t="s">
        <v>23</v>
      </c>
      <c r="N3" s="1152"/>
    </row>
    <row r="4" spans="1:15">
      <c r="A4" s="2205" t="s">
        <v>686</v>
      </c>
      <c r="B4" s="870" t="s">
        <v>637</v>
      </c>
      <c r="C4" s="1488">
        <v>81</v>
      </c>
      <c r="D4" s="1488">
        <v>53</v>
      </c>
      <c r="E4" s="1488">
        <v>66</v>
      </c>
      <c r="F4" s="1488">
        <v>270</v>
      </c>
      <c r="G4" s="1488">
        <v>474</v>
      </c>
      <c r="H4" s="1488">
        <v>280</v>
      </c>
      <c r="I4" s="1488">
        <v>230</v>
      </c>
      <c r="J4" s="1488">
        <v>5</v>
      </c>
      <c r="K4" s="1489">
        <f t="shared" ref="K4:K9" si="0">SUM(C4:J4)</f>
        <v>1459</v>
      </c>
    </row>
    <row r="5" spans="1:15">
      <c r="A5" s="2205"/>
      <c r="B5" s="871" t="s">
        <v>638</v>
      </c>
      <c r="C5" s="1488">
        <v>13</v>
      </c>
      <c r="D5" s="1488">
        <v>25</v>
      </c>
      <c r="E5" s="1488">
        <v>45</v>
      </c>
      <c r="F5" s="1488">
        <v>181</v>
      </c>
      <c r="G5" s="1488">
        <v>217</v>
      </c>
      <c r="H5" s="1488">
        <v>100</v>
      </c>
      <c r="I5" s="1488">
        <v>66</v>
      </c>
      <c r="J5" s="1488">
        <v>0</v>
      </c>
      <c r="K5" s="1489">
        <f t="shared" si="0"/>
        <v>647</v>
      </c>
      <c r="M5" s="1649"/>
    </row>
    <row r="6" spans="1:15">
      <c r="A6" s="2205"/>
      <c r="B6" s="872" t="s">
        <v>632</v>
      </c>
      <c r="C6" s="1488">
        <v>0</v>
      </c>
      <c r="D6" s="1488">
        <v>0</v>
      </c>
      <c r="E6" s="1488">
        <v>0</v>
      </c>
      <c r="F6" s="1488">
        <v>59</v>
      </c>
      <c r="G6" s="1488">
        <v>18</v>
      </c>
      <c r="H6" s="1488">
        <v>0</v>
      </c>
      <c r="I6" s="1488">
        <v>1</v>
      </c>
      <c r="J6" s="1488">
        <v>2</v>
      </c>
      <c r="K6" s="1489">
        <f t="shared" si="0"/>
        <v>80</v>
      </c>
    </row>
    <row r="7" spans="1:15">
      <c r="A7" s="2205" t="s">
        <v>639</v>
      </c>
      <c r="B7" s="870" t="s">
        <v>637</v>
      </c>
      <c r="C7" s="1488">
        <v>0</v>
      </c>
      <c r="D7" s="1488">
        <v>8</v>
      </c>
      <c r="E7" s="1488">
        <v>12</v>
      </c>
      <c r="F7" s="1488">
        <v>43</v>
      </c>
      <c r="G7" s="1488">
        <v>55</v>
      </c>
      <c r="H7" s="1488">
        <v>14</v>
      </c>
      <c r="I7" s="1488">
        <v>17</v>
      </c>
      <c r="J7" s="1488">
        <v>0</v>
      </c>
      <c r="K7" s="1489">
        <f t="shared" si="0"/>
        <v>149</v>
      </c>
    </row>
    <row r="8" spans="1:15">
      <c r="A8" s="2205"/>
      <c r="B8" s="871" t="s">
        <v>638</v>
      </c>
      <c r="C8" s="1488">
        <v>0</v>
      </c>
      <c r="D8" s="1488">
        <v>0</v>
      </c>
      <c r="E8" s="1488">
        <v>0</v>
      </c>
      <c r="F8" s="1488">
        <v>5</v>
      </c>
      <c r="G8" s="1488">
        <v>1</v>
      </c>
      <c r="H8" s="1488">
        <v>0</v>
      </c>
      <c r="I8" s="1488">
        <v>0</v>
      </c>
      <c r="J8" s="1488">
        <v>0</v>
      </c>
      <c r="K8" s="1489">
        <f t="shared" si="0"/>
        <v>6</v>
      </c>
    </row>
    <row r="9" spans="1:15">
      <c r="A9" s="2205"/>
      <c r="B9" s="872" t="s">
        <v>632</v>
      </c>
      <c r="C9" s="1488">
        <v>0</v>
      </c>
      <c r="D9" s="1488">
        <v>0</v>
      </c>
      <c r="E9" s="1488">
        <v>0</v>
      </c>
      <c r="F9" s="1488">
        <v>1</v>
      </c>
      <c r="G9" s="1488">
        <v>3</v>
      </c>
      <c r="H9" s="1488">
        <v>0</v>
      </c>
      <c r="I9" s="1488">
        <v>0</v>
      </c>
      <c r="J9" s="1488">
        <v>0</v>
      </c>
      <c r="K9" s="1489">
        <f t="shared" si="0"/>
        <v>4</v>
      </c>
    </row>
    <row r="10" spans="1:15">
      <c r="A10" s="2205" t="s">
        <v>23</v>
      </c>
      <c r="B10" s="2206"/>
      <c r="C10" s="1490">
        <f>SUM(C4:C9)</f>
        <v>94</v>
      </c>
      <c r="D10" s="1491">
        <f t="shared" ref="D10:J10" si="1">SUM(D4:D9)</f>
        <v>86</v>
      </c>
      <c r="E10" s="1491">
        <f t="shared" si="1"/>
        <v>123</v>
      </c>
      <c r="F10" s="1491">
        <f t="shared" si="1"/>
        <v>559</v>
      </c>
      <c r="G10" s="1491">
        <f t="shared" si="1"/>
        <v>768</v>
      </c>
      <c r="H10" s="1491">
        <f t="shared" si="1"/>
        <v>394</v>
      </c>
      <c r="I10" s="1491">
        <f>SUM(I4:I9)</f>
        <v>314</v>
      </c>
      <c r="J10" s="1491">
        <f t="shared" si="1"/>
        <v>7</v>
      </c>
      <c r="K10" s="1492">
        <f>SUM(K4:K9)</f>
        <v>2345</v>
      </c>
      <c r="L10" s="77"/>
      <c r="M10" s="1649"/>
      <c r="N10" s="77"/>
      <c r="O10" s="77"/>
    </row>
    <row r="11" spans="1:15">
      <c r="A11" s="857" t="s">
        <v>640</v>
      </c>
      <c r="L11" s="77"/>
      <c r="M11" s="77"/>
      <c r="N11" s="77"/>
      <c r="O11" s="77"/>
    </row>
    <row r="12" spans="1:15">
      <c r="L12" s="77"/>
      <c r="M12" s="77"/>
      <c r="N12" s="77"/>
      <c r="O12" s="77"/>
    </row>
    <row r="13" spans="1:15">
      <c r="L13" s="77"/>
      <c r="M13" s="77"/>
      <c r="N13" s="77"/>
      <c r="O13" s="77"/>
    </row>
    <row r="14" spans="1:15">
      <c r="L14" s="77"/>
      <c r="M14" s="77"/>
      <c r="N14" s="77"/>
      <c r="O14" s="77"/>
    </row>
    <row r="15" spans="1:15">
      <c r="L15" s="77"/>
      <c r="M15" s="77"/>
      <c r="N15" s="77"/>
      <c r="O15" s="77"/>
    </row>
  </sheetData>
  <mergeCells count="4">
    <mergeCell ref="A1:K1"/>
    <mergeCell ref="A4:A6"/>
    <mergeCell ref="A7:A9"/>
    <mergeCell ref="A10:B10"/>
  </mergeCells>
  <pageMargins left="0.7" right="0.7" top="0.75" bottom="0.75" header="0.3" footer="0.3"/>
  <pageSetup scale="83" orientation="landscape" r:id="rId1"/>
  <drawing r:id="rId2"/>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4">
    <tabColor rgb="FF7030A0"/>
    <pageSetUpPr fitToPage="1"/>
  </sheetPr>
  <dimension ref="A1"/>
  <sheetViews>
    <sheetView showGridLines="0" view="pageBreakPreview" zoomScale="115" zoomScaleNormal="100" zoomScaleSheetLayoutView="115" workbookViewId="0">
      <selection activeCell="I11" sqref="I11"/>
    </sheetView>
  </sheetViews>
  <sheetFormatPr baseColWidth="10" defaultColWidth="11.42578125" defaultRowHeight="15"/>
  <cols>
    <col min="1" max="3" width="11.42578125" style="77"/>
    <col min="4" max="4" width="13.85546875" style="77" customWidth="1"/>
    <col min="5" max="5" width="16.28515625" style="77" customWidth="1"/>
    <col min="6" max="6" width="15.7109375" style="77" customWidth="1"/>
    <col min="7" max="7" width="21.42578125" style="77" customWidth="1"/>
    <col min="8" max="16384" width="11.42578125" style="77"/>
  </cols>
  <sheetData/>
  <pageMargins left="0.7" right="0.7" top="0.75" bottom="0.75" header="0.3" footer="0.3"/>
  <pageSetup orientation="landscape" r:id="rId1"/>
  <drawing r:id="rId2"/>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5">
    <tabColor rgb="FF7030A0"/>
    <pageSetUpPr fitToPage="1"/>
  </sheetPr>
  <dimension ref="F15:N39"/>
  <sheetViews>
    <sheetView showGridLines="0" view="pageBreakPreview" zoomScale="85" zoomScaleNormal="100" zoomScaleSheetLayoutView="85" workbookViewId="0">
      <selection activeCell="N6" sqref="N6"/>
    </sheetView>
  </sheetViews>
  <sheetFormatPr baseColWidth="10" defaultColWidth="11.42578125" defaultRowHeight="15"/>
  <cols>
    <col min="1" max="6" width="11.42578125" style="77"/>
    <col min="7" max="7" width="9.42578125" style="77" customWidth="1"/>
    <col min="8" max="10" width="11.42578125" style="77"/>
    <col min="11" max="11" width="15" style="77" customWidth="1"/>
    <col min="12" max="16384" width="11.42578125" style="77"/>
  </cols>
  <sheetData>
    <row r="15" spans="14:14">
      <c r="N15" s="941"/>
    </row>
    <row r="28" spans="14:14">
      <c r="N28" s="173"/>
    </row>
    <row r="39" spans="6:6">
      <c r="F39" s="144"/>
    </row>
  </sheetData>
  <pageMargins left="0.70866141732283472" right="0.70866141732283472" top="0.74803149606299213" bottom="0.74803149606299213" header="0.31496062992125984" footer="0.31496062992125984"/>
  <pageSetup scale="88" orientation="landscape" r:id="rId1"/>
  <drawing r:id="rId2"/>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2">
    <tabColor rgb="FF7030A0"/>
    <pageSetUpPr fitToPage="1"/>
  </sheetPr>
  <dimension ref="A1:U25"/>
  <sheetViews>
    <sheetView showGridLines="0" view="pageBreakPreview" zoomScale="70" zoomScaleNormal="100" zoomScaleSheetLayoutView="70" workbookViewId="0">
      <selection activeCell="K67" sqref="K67"/>
    </sheetView>
  </sheetViews>
  <sheetFormatPr baseColWidth="10" defaultColWidth="11.42578125" defaultRowHeight="15"/>
  <cols>
    <col min="1" max="1" width="49.5703125" style="848" customWidth="1"/>
    <col min="2" max="9" width="14.28515625" style="848" customWidth="1"/>
    <col min="10" max="10" width="11.42578125" style="848" customWidth="1"/>
    <col min="11" max="11" width="21.42578125" style="848" customWidth="1"/>
    <col min="12" max="15" width="11.42578125" style="848"/>
    <col min="16" max="16" width="20.140625" style="848" customWidth="1"/>
    <col min="17" max="16384" width="11.42578125" style="848"/>
  </cols>
  <sheetData>
    <row r="1" spans="1:20" ht="72" customHeight="1">
      <c r="A1" s="2196"/>
      <c r="B1" s="2196"/>
      <c r="C1" s="2196"/>
      <c r="D1" s="2196"/>
      <c r="E1" s="2196"/>
      <c r="F1" s="2196"/>
      <c r="G1" s="2196"/>
      <c r="H1" s="2196"/>
      <c r="I1" s="2196"/>
      <c r="J1" s="2196"/>
      <c r="K1" s="2196"/>
      <c r="L1" s="2196"/>
      <c r="M1" s="2196"/>
      <c r="N1" s="2196"/>
    </row>
    <row r="2" spans="1:20" ht="6.75" customHeight="1">
      <c r="A2" s="2197"/>
      <c r="B2" s="2197"/>
      <c r="C2" s="2197"/>
      <c r="D2" s="2197"/>
      <c r="E2" s="2197"/>
      <c r="F2" s="2197"/>
      <c r="G2" s="2197"/>
      <c r="H2" s="2197"/>
      <c r="I2" s="2197"/>
      <c r="J2" s="2197"/>
      <c r="K2" s="2197"/>
      <c r="L2" s="2197"/>
      <c r="M2" s="1696"/>
    </row>
    <row r="3" spans="1:20" ht="21" customHeight="1">
      <c r="A3" s="873" t="s">
        <v>955</v>
      </c>
      <c r="B3" s="874" t="s">
        <v>251</v>
      </c>
      <c r="C3" s="874" t="s">
        <v>173</v>
      </c>
      <c r="D3" s="874" t="s">
        <v>222</v>
      </c>
      <c r="E3" s="874" t="s">
        <v>223</v>
      </c>
      <c r="F3" s="874" t="s">
        <v>192</v>
      </c>
      <c r="G3" s="874" t="s">
        <v>224</v>
      </c>
      <c r="H3" s="874" t="s">
        <v>482</v>
      </c>
      <c r="I3" s="874" t="s">
        <v>561</v>
      </c>
      <c r="J3" s="874" t="s">
        <v>569</v>
      </c>
      <c r="K3" s="874" t="s">
        <v>1012</v>
      </c>
      <c r="L3" s="1692" t="s">
        <v>23</v>
      </c>
      <c r="M3" s="1692" t="s">
        <v>42</v>
      </c>
    </row>
    <row r="4" spans="1:20" ht="18" customHeight="1">
      <c r="A4" s="1643" t="s">
        <v>935</v>
      </c>
      <c r="B4" s="1647">
        <v>2</v>
      </c>
      <c r="C4" s="1647">
        <v>7</v>
      </c>
      <c r="D4" s="1647">
        <v>32</v>
      </c>
      <c r="E4" s="1647">
        <v>54</v>
      </c>
      <c r="F4" s="1647">
        <v>204</v>
      </c>
      <c r="G4" s="1647">
        <v>129</v>
      </c>
      <c r="H4" s="1647">
        <v>202</v>
      </c>
      <c r="I4" s="1647">
        <v>121</v>
      </c>
      <c r="J4" s="1647">
        <v>139</v>
      </c>
      <c r="K4" s="1647">
        <v>134</v>
      </c>
      <c r="L4" s="1693">
        <f t="shared" ref="L4:L5" si="0">+K4+J4+I4+H4+G4+F4+E4+D4+C4+B4</f>
        <v>1024</v>
      </c>
      <c r="M4" s="1711">
        <f>+L4/$L$7</f>
        <v>0.93090909090909091</v>
      </c>
    </row>
    <row r="5" spans="1:20" ht="18" customHeight="1">
      <c r="A5" s="1643" t="s">
        <v>936</v>
      </c>
      <c r="B5" s="1647"/>
      <c r="C5" s="1647"/>
      <c r="D5" s="1647"/>
      <c r="E5" s="1647">
        <v>1</v>
      </c>
      <c r="F5" s="1647"/>
      <c r="G5" s="1647">
        <v>5</v>
      </c>
      <c r="H5" s="1647">
        <v>2</v>
      </c>
      <c r="I5" s="1647">
        <v>3</v>
      </c>
      <c r="J5" s="1647">
        <v>6</v>
      </c>
      <c r="K5" s="1647">
        <v>7</v>
      </c>
      <c r="L5" s="1693">
        <f t="shared" si="0"/>
        <v>24</v>
      </c>
      <c r="M5" s="1711">
        <f t="shared" ref="M5:M6" si="1">+L5/$L$7</f>
        <v>2.181818181818182E-2</v>
      </c>
    </row>
    <row r="6" spans="1:20" ht="18" customHeight="1">
      <c r="A6" s="1643" t="s">
        <v>956</v>
      </c>
      <c r="B6" s="1647"/>
      <c r="C6" s="1647"/>
      <c r="D6" s="1647"/>
      <c r="E6" s="1647">
        <v>1</v>
      </c>
      <c r="F6" s="1647">
        <v>5</v>
      </c>
      <c r="G6" s="1647"/>
      <c r="H6" s="1647">
        <v>20</v>
      </c>
      <c r="I6" s="1647">
        <v>11</v>
      </c>
      <c r="J6" s="1647">
        <v>6</v>
      </c>
      <c r="K6" s="1647">
        <v>9</v>
      </c>
      <c r="L6" s="1693">
        <f>+K6+J6+I6+H6+G6+F6+E6+D6+C6+B6</f>
        <v>52</v>
      </c>
      <c r="M6" s="1711">
        <f t="shared" si="1"/>
        <v>4.7272727272727272E-2</v>
      </c>
    </row>
    <row r="7" spans="1:20">
      <c r="A7" s="873" t="s">
        <v>23</v>
      </c>
      <c r="B7" s="1645">
        <f t="shared" ref="B7:M7" si="2">SUM(B4:B6)</f>
        <v>2</v>
      </c>
      <c r="C7" s="1645">
        <f t="shared" si="2"/>
        <v>7</v>
      </c>
      <c r="D7" s="1645">
        <f t="shared" si="2"/>
        <v>32</v>
      </c>
      <c r="E7" s="1645">
        <f t="shared" si="2"/>
        <v>56</v>
      </c>
      <c r="F7" s="1645">
        <f t="shared" si="2"/>
        <v>209</v>
      </c>
      <c r="G7" s="1645">
        <f t="shared" si="2"/>
        <v>134</v>
      </c>
      <c r="H7" s="1645">
        <f t="shared" si="2"/>
        <v>224</v>
      </c>
      <c r="I7" s="1645">
        <f t="shared" si="2"/>
        <v>135</v>
      </c>
      <c r="J7" s="1645">
        <f t="shared" si="2"/>
        <v>151</v>
      </c>
      <c r="K7" s="1645">
        <f t="shared" si="2"/>
        <v>150</v>
      </c>
      <c r="L7" s="1694">
        <f t="shared" si="2"/>
        <v>1100</v>
      </c>
      <c r="M7" s="1712">
        <f t="shared" si="2"/>
        <v>1</v>
      </c>
    </row>
    <row r="8" spans="1:20">
      <c r="A8" s="850" t="s">
        <v>938</v>
      </c>
      <c r="O8" s="849"/>
      <c r="P8" s="849"/>
    </row>
    <row r="9" spans="1:20">
      <c r="P9" s="1695"/>
      <c r="Q9" s="1695"/>
      <c r="R9" s="1695"/>
      <c r="S9" s="1695"/>
      <c r="T9" s="1695"/>
    </row>
    <row r="10" spans="1:20">
      <c r="O10" s="849"/>
      <c r="P10" s="1695"/>
      <c r="Q10" s="1695"/>
      <c r="R10" s="1695"/>
      <c r="S10" s="1695"/>
      <c r="T10" s="1695"/>
    </row>
    <row r="11" spans="1:20">
      <c r="O11" s="849"/>
      <c r="P11" s="1695"/>
      <c r="Q11" s="1695"/>
      <c r="R11" s="1695"/>
      <c r="S11" s="1695"/>
      <c r="T11" s="1695"/>
    </row>
    <row r="12" spans="1:20">
      <c r="P12" s="1695"/>
      <c r="Q12" s="1695"/>
      <c r="R12" s="1695"/>
      <c r="S12" s="1695"/>
      <c r="T12" s="1695"/>
    </row>
    <row r="13" spans="1:20">
      <c r="P13" s="1695"/>
      <c r="Q13" s="1695"/>
      <c r="R13" s="1695"/>
      <c r="S13" s="1695"/>
      <c r="T13" s="1695"/>
    </row>
    <row r="14" spans="1:20">
      <c r="P14" s="1695"/>
      <c r="Q14" s="1695"/>
      <c r="R14" s="1695"/>
      <c r="S14" s="1695"/>
      <c r="T14" s="1695"/>
    </row>
    <row r="15" spans="1:20">
      <c r="P15" s="1695"/>
      <c r="Q15" s="1695"/>
      <c r="R15" s="1695"/>
      <c r="S15" s="1695"/>
      <c r="T15" s="1695"/>
    </row>
    <row r="16" spans="1:20">
      <c r="P16" s="1695"/>
      <c r="Q16" s="1695"/>
      <c r="R16" s="1695"/>
      <c r="S16" s="1695"/>
      <c r="T16" s="1695"/>
    </row>
    <row r="17" spans="17:21">
      <c r="T17" s="851"/>
      <c r="U17" s="852"/>
    </row>
    <row r="18" spans="17:21">
      <c r="T18" s="851"/>
      <c r="U18" s="852"/>
    </row>
    <row r="20" spans="17:21">
      <c r="T20" s="851"/>
      <c r="U20" s="852"/>
    </row>
    <row r="21" spans="17:21">
      <c r="T21" s="851"/>
      <c r="U21" s="852"/>
    </row>
    <row r="22" spans="17:21">
      <c r="U22" s="852"/>
    </row>
    <row r="25" spans="17:21">
      <c r="Q25" s="850"/>
    </row>
  </sheetData>
  <mergeCells count="2">
    <mergeCell ref="A1:N1"/>
    <mergeCell ref="A2:L2"/>
  </mergeCells>
  <pageMargins left="0.7" right="0.7" top="0.75" bottom="0.75" header="0.3" footer="0.3"/>
  <pageSetup scale="52" orientation="landscape" r:id="rId1"/>
  <drawing r:id="rId2"/>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1">
    <tabColor rgb="FF7030A0"/>
    <pageSetUpPr fitToPage="1"/>
  </sheetPr>
  <dimension ref="A1:T28"/>
  <sheetViews>
    <sheetView showGridLines="0" view="pageBreakPreview" zoomScale="55" zoomScaleNormal="100" zoomScaleSheetLayoutView="55" workbookViewId="0">
      <pane xSplit="1" ySplit="3" topLeftCell="B4" activePane="bottomRight" state="frozen"/>
      <selection pane="topRight" activeCell="B1" sqref="B1"/>
      <selection pane="bottomLeft" activeCell="A4" sqref="A4"/>
      <selection pane="bottomRight" activeCell="A3" sqref="A3"/>
    </sheetView>
  </sheetViews>
  <sheetFormatPr baseColWidth="10" defaultColWidth="11.42578125" defaultRowHeight="15"/>
  <cols>
    <col min="1" max="1" width="58.7109375" style="848" customWidth="1"/>
    <col min="2" max="6" width="11.42578125" style="848" customWidth="1"/>
    <col min="7" max="10" width="14.28515625" style="848" customWidth="1"/>
    <col min="11" max="11" width="31.42578125" style="848" customWidth="1"/>
    <col min="12" max="12" width="16.85546875" style="848" customWidth="1"/>
    <col min="13" max="13" width="16.5703125" style="848" customWidth="1"/>
    <col min="14" max="14" width="11.42578125" style="848"/>
    <col min="15" max="15" width="20.140625" style="848" customWidth="1"/>
    <col min="16" max="16384" width="11.42578125" style="848"/>
  </cols>
  <sheetData>
    <row r="1" spans="1:19" ht="83.25" customHeight="1">
      <c r="A1" s="2196"/>
      <c r="B1" s="2196"/>
      <c r="C1" s="2196"/>
      <c r="D1" s="2196"/>
      <c r="E1" s="2196"/>
      <c r="F1" s="2196"/>
      <c r="G1" s="2196"/>
      <c r="H1" s="2196"/>
      <c r="I1" s="2196"/>
      <c r="J1" s="2196"/>
      <c r="K1" s="2196"/>
      <c r="L1" s="2196"/>
      <c r="M1" s="2196"/>
    </row>
    <row r="2" spans="1:19" ht="6.75" customHeight="1">
      <c r="A2" s="2197"/>
      <c r="B2" s="2197"/>
      <c r="C2" s="2197"/>
      <c r="D2" s="2197"/>
      <c r="E2" s="2197"/>
      <c r="F2" s="2197"/>
      <c r="G2" s="2197"/>
      <c r="H2" s="2197"/>
      <c r="I2" s="2197"/>
      <c r="J2" s="2197"/>
      <c r="K2" s="2197"/>
      <c r="L2" s="2197"/>
      <c r="M2" s="1696"/>
    </row>
    <row r="3" spans="1:19" ht="31.5" customHeight="1">
      <c r="A3" s="2002" t="s">
        <v>954</v>
      </c>
      <c r="B3" s="2003" t="s">
        <v>251</v>
      </c>
      <c r="C3" s="2003" t="s">
        <v>173</v>
      </c>
      <c r="D3" s="2003" t="s">
        <v>222</v>
      </c>
      <c r="E3" s="2003" t="s">
        <v>223</v>
      </c>
      <c r="F3" s="2003" t="s">
        <v>192</v>
      </c>
      <c r="G3" s="2003" t="s">
        <v>224</v>
      </c>
      <c r="H3" s="2003" t="s">
        <v>482</v>
      </c>
      <c r="I3" s="2003" t="s">
        <v>561</v>
      </c>
      <c r="J3" s="2003" t="s">
        <v>569</v>
      </c>
      <c r="K3" s="2003" t="s">
        <v>1007</v>
      </c>
      <c r="L3" s="2004" t="s">
        <v>23</v>
      </c>
      <c r="M3" s="2004" t="s">
        <v>23</v>
      </c>
    </row>
    <row r="4" spans="1:19" ht="17.25" customHeight="1">
      <c r="A4" s="2005" t="s">
        <v>949</v>
      </c>
      <c r="B4" s="1190"/>
      <c r="C4" s="1190">
        <v>2</v>
      </c>
      <c r="D4" s="1190">
        <v>3</v>
      </c>
      <c r="E4" s="1190">
        <v>5</v>
      </c>
      <c r="F4" s="1190">
        <v>16</v>
      </c>
      <c r="G4" s="1190">
        <v>2</v>
      </c>
      <c r="H4" s="1190">
        <v>2</v>
      </c>
      <c r="I4" s="1190"/>
      <c r="J4" s="1190">
        <v>2</v>
      </c>
      <c r="K4" s="1190">
        <v>0</v>
      </c>
      <c r="L4" s="2006">
        <f>+K4+J4+I4+H4+G4+F4+E4+D4+C4+B4</f>
        <v>32</v>
      </c>
      <c r="M4" s="2007">
        <f>+L4/$L$10</f>
        <v>2.9090909090909091E-2</v>
      </c>
    </row>
    <row r="5" spans="1:19" ht="17.25" customHeight="1">
      <c r="A5" s="2005" t="s">
        <v>950</v>
      </c>
      <c r="B5" s="1190"/>
      <c r="C5" s="1190">
        <v>1</v>
      </c>
      <c r="D5" s="1190">
        <v>11</v>
      </c>
      <c r="E5" s="1190">
        <v>11</v>
      </c>
      <c r="F5" s="1190">
        <v>30</v>
      </c>
      <c r="G5" s="1190">
        <v>10</v>
      </c>
      <c r="H5" s="1190">
        <v>15</v>
      </c>
      <c r="I5" s="1190">
        <v>10</v>
      </c>
      <c r="J5" s="1190">
        <v>19</v>
      </c>
      <c r="K5" s="1190">
        <v>14</v>
      </c>
      <c r="L5" s="2006">
        <f t="shared" ref="L5:L9" si="0">+K5+J5+I5+H5+G5+F5+E5+D5+C5+B5</f>
        <v>121</v>
      </c>
      <c r="M5" s="2007">
        <f t="shared" ref="M5:M9" si="1">+L5/$L$10</f>
        <v>0.11</v>
      </c>
    </row>
    <row r="6" spans="1:19" ht="18.75">
      <c r="A6" s="2005" t="s">
        <v>951</v>
      </c>
      <c r="B6" s="1190"/>
      <c r="C6" s="1190">
        <v>1</v>
      </c>
      <c r="D6" s="1190">
        <v>1</v>
      </c>
      <c r="E6" s="1190">
        <v>1</v>
      </c>
      <c r="F6" s="1190">
        <v>12</v>
      </c>
      <c r="G6" s="1190">
        <v>4</v>
      </c>
      <c r="H6" s="1190">
        <v>15</v>
      </c>
      <c r="I6" s="1190">
        <v>12</v>
      </c>
      <c r="J6" s="1190">
        <v>13</v>
      </c>
      <c r="K6" s="1190">
        <v>27</v>
      </c>
      <c r="L6" s="2006">
        <f t="shared" si="0"/>
        <v>86</v>
      </c>
      <c r="M6" s="2007">
        <f t="shared" si="1"/>
        <v>7.8181818181818186E-2</v>
      </c>
    </row>
    <row r="7" spans="1:19" ht="18.75">
      <c r="A7" s="2005" t="s">
        <v>952</v>
      </c>
      <c r="B7" s="1190">
        <v>2</v>
      </c>
      <c r="C7" s="1190">
        <v>3</v>
      </c>
      <c r="D7" s="1190">
        <v>17</v>
      </c>
      <c r="E7" s="1190">
        <v>39</v>
      </c>
      <c r="F7" s="1190">
        <v>151</v>
      </c>
      <c r="G7" s="1190">
        <v>117</v>
      </c>
      <c r="H7" s="1190">
        <v>190</v>
      </c>
      <c r="I7" s="1190">
        <v>112</v>
      </c>
      <c r="J7" s="1190">
        <v>103</v>
      </c>
      <c r="K7" s="1190">
        <v>103</v>
      </c>
      <c r="L7" s="2006">
        <f t="shared" si="0"/>
        <v>837</v>
      </c>
      <c r="M7" s="2007">
        <f t="shared" si="1"/>
        <v>0.76090909090909087</v>
      </c>
    </row>
    <row r="8" spans="1:19" ht="18.75">
      <c r="A8" s="2005" t="s">
        <v>953</v>
      </c>
      <c r="B8" s="1190"/>
      <c r="C8" s="1190"/>
      <c r="D8" s="1190"/>
      <c r="E8" s="1190"/>
      <c r="F8" s="1190"/>
      <c r="G8" s="1190">
        <v>1</v>
      </c>
      <c r="H8" s="1190">
        <v>2</v>
      </c>
      <c r="I8" s="1190">
        <v>1</v>
      </c>
      <c r="J8" s="1190">
        <v>14</v>
      </c>
      <c r="K8" s="1190">
        <v>4</v>
      </c>
      <c r="L8" s="2006">
        <f t="shared" si="0"/>
        <v>22</v>
      </c>
      <c r="M8" s="2007">
        <f t="shared" si="1"/>
        <v>0.02</v>
      </c>
    </row>
    <row r="9" spans="1:19" ht="18.75">
      <c r="A9" s="2005" t="s">
        <v>948</v>
      </c>
      <c r="B9" s="1190"/>
      <c r="C9" s="1190"/>
      <c r="D9" s="1190"/>
      <c r="E9" s="1190"/>
      <c r="F9" s="1190"/>
      <c r="G9" s="1190"/>
      <c r="H9" s="1190"/>
      <c r="I9" s="1190"/>
      <c r="J9" s="1190"/>
      <c r="K9" s="1190">
        <v>2</v>
      </c>
      <c r="L9" s="2006">
        <f t="shared" si="0"/>
        <v>2</v>
      </c>
      <c r="M9" s="2007">
        <f t="shared" si="1"/>
        <v>1.8181818181818182E-3</v>
      </c>
    </row>
    <row r="10" spans="1:19" ht="18.75">
      <c r="A10" s="2002" t="s">
        <v>23</v>
      </c>
      <c r="B10" s="2008">
        <f t="shared" ref="B10:M10" si="2">SUM(B4:B9)</f>
        <v>2</v>
      </c>
      <c r="C10" s="2008">
        <f t="shared" si="2"/>
        <v>7</v>
      </c>
      <c r="D10" s="2008">
        <f t="shared" si="2"/>
        <v>32</v>
      </c>
      <c r="E10" s="2008">
        <f t="shared" si="2"/>
        <v>56</v>
      </c>
      <c r="F10" s="2008">
        <f t="shared" si="2"/>
        <v>209</v>
      </c>
      <c r="G10" s="2008">
        <f t="shared" si="2"/>
        <v>134</v>
      </c>
      <c r="H10" s="2008">
        <f t="shared" si="2"/>
        <v>224</v>
      </c>
      <c r="I10" s="2008">
        <f t="shared" si="2"/>
        <v>135</v>
      </c>
      <c r="J10" s="2008">
        <f>SUM(J4:J9)</f>
        <v>151</v>
      </c>
      <c r="K10" s="2008">
        <f>SUM(K4:K9)</f>
        <v>150</v>
      </c>
      <c r="L10" s="2009">
        <f t="shared" si="2"/>
        <v>1100</v>
      </c>
      <c r="M10" s="2010">
        <f t="shared" si="2"/>
        <v>1</v>
      </c>
    </row>
    <row r="11" spans="1:19" ht="15.75">
      <c r="A11" s="2011" t="s">
        <v>1034</v>
      </c>
      <c r="N11" s="849"/>
      <c r="O11" s="849"/>
    </row>
    <row r="12" spans="1:19">
      <c r="O12" s="1695"/>
      <c r="P12" s="1695"/>
      <c r="Q12" s="1695"/>
      <c r="R12" s="1695"/>
      <c r="S12" s="1695"/>
    </row>
    <row r="13" spans="1:19">
      <c r="N13" s="849"/>
      <c r="O13" s="1938"/>
      <c r="P13" s="1695"/>
      <c r="Q13" s="1695"/>
      <c r="R13" s="1695"/>
      <c r="S13" s="1695"/>
    </row>
    <row r="14" spans="1:19">
      <c r="N14" s="849"/>
      <c r="O14" s="1695"/>
      <c r="P14" s="1695"/>
      <c r="Q14" s="1695"/>
      <c r="R14" s="1695"/>
      <c r="S14" s="1695"/>
    </row>
    <row r="15" spans="1:19">
      <c r="O15" s="1695"/>
      <c r="P15" s="1695"/>
      <c r="Q15" s="1695"/>
      <c r="R15" s="1695"/>
      <c r="S15" s="1695"/>
    </row>
    <row r="16" spans="1:19">
      <c r="O16" s="1695"/>
      <c r="P16" s="1695"/>
      <c r="Q16" s="1695"/>
      <c r="R16" s="1695"/>
      <c r="S16" s="1695"/>
    </row>
    <row r="17" spans="15:20">
      <c r="O17" s="1695"/>
      <c r="P17" s="1695"/>
      <c r="Q17" s="1695"/>
      <c r="R17" s="1695"/>
      <c r="S17" s="1695"/>
    </row>
    <row r="18" spans="15:20">
      <c r="O18" s="1695"/>
      <c r="P18" s="1695"/>
      <c r="Q18" s="1695"/>
      <c r="R18" s="1695"/>
      <c r="S18" s="1695"/>
    </row>
    <row r="19" spans="15:20">
      <c r="O19" s="1695"/>
      <c r="P19" s="1695"/>
      <c r="Q19" s="1695"/>
      <c r="R19" s="1695"/>
      <c r="S19" s="1695"/>
    </row>
    <row r="20" spans="15:20">
      <c r="S20" s="851"/>
      <c r="T20" s="852"/>
    </row>
    <row r="21" spans="15:20">
      <c r="S21" s="851"/>
      <c r="T21" s="852"/>
    </row>
    <row r="23" spans="15:20">
      <c r="S23" s="851"/>
      <c r="T23" s="852"/>
    </row>
    <row r="24" spans="15:20">
      <c r="S24" s="851"/>
      <c r="T24" s="852"/>
    </row>
    <row r="25" spans="15:20">
      <c r="T25" s="852"/>
    </row>
    <row r="28" spans="15:20">
      <c r="P28" s="850"/>
    </row>
  </sheetData>
  <mergeCells count="2">
    <mergeCell ref="A1:M1"/>
    <mergeCell ref="A2:L2"/>
  </mergeCells>
  <pageMargins left="0.7" right="0.7" top="0.75" bottom="0.75" header="0.3" footer="0.3"/>
  <pageSetup scale="51" orientation="landscape" r:id="rId1"/>
  <drawing r:id="rId2"/>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9">
    <tabColor rgb="FF7030A0"/>
    <pageSetUpPr fitToPage="1"/>
  </sheetPr>
  <dimension ref="A1:U31"/>
  <sheetViews>
    <sheetView showGridLines="0" view="pageBreakPreview" zoomScale="85" zoomScaleNormal="100" zoomScaleSheetLayoutView="85" workbookViewId="0">
      <selection activeCell="G10" sqref="G10"/>
    </sheetView>
  </sheetViews>
  <sheetFormatPr baseColWidth="10" defaultColWidth="11.42578125" defaultRowHeight="15"/>
  <cols>
    <col min="1" max="1" width="13.7109375" style="848" customWidth="1"/>
    <col min="2" max="2" width="13.140625" style="848" customWidth="1"/>
    <col min="3" max="3" width="16.28515625" style="848" customWidth="1"/>
    <col min="4" max="4" width="16.85546875" style="848" customWidth="1"/>
    <col min="5" max="16384" width="11.42578125" style="848"/>
  </cols>
  <sheetData>
    <row r="1" spans="1:16" ht="72" customHeight="1">
      <c r="A1" s="2196"/>
      <c r="B1" s="2196"/>
      <c r="C1" s="2196"/>
      <c r="D1" s="2196"/>
      <c r="E1" s="2196"/>
      <c r="F1" s="2196"/>
      <c r="G1" s="2196"/>
      <c r="H1" s="2196"/>
      <c r="I1" s="2196"/>
      <c r="J1" s="2196"/>
      <c r="K1" s="2196"/>
      <c r="L1" s="2196"/>
      <c r="M1" s="2196"/>
      <c r="N1" s="2196"/>
    </row>
    <row r="2" spans="1:16" ht="6.75" customHeight="1">
      <c r="A2" s="2197"/>
      <c r="B2" s="2197"/>
      <c r="C2" s="2197"/>
      <c r="D2" s="2197"/>
      <c r="E2" s="2197"/>
    </row>
    <row r="3" spans="1:16" ht="31.5" customHeight="1">
      <c r="A3" s="873" t="s">
        <v>25</v>
      </c>
      <c r="B3" s="1699" t="s">
        <v>940</v>
      </c>
      <c r="C3" s="1699" t="s">
        <v>939</v>
      </c>
      <c r="D3" s="1700" t="s">
        <v>946</v>
      </c>
    </row>
    <row r="4" spans="1:16" ht="17.25" customHeight="1">
      <c r="A4" s="1643">
        <v>2006</v>
      </c>
      <c r="B4" s="1701">
        <v>2</v>
      </c>
      <c r="C4" s="1701">
        <v>0</v>
      </c>
      <c r="D4" s="1702">
        <f>+C4/B4</f>
        <v>0</v>
      </c>
    </row>
    <row r="5" spans="1:16" ht="17.25" customHeight="1">
      <c r="A5" s="1643">
        <v>2007</v>
      </c>
      <c r="B5" s="1701">
        <v>7</v>
      </c>
      <c r="C5" s="1701">
        <v>1</v>
      </c>
      <c r="D5" s="1702">
        <f>+C5/B5</f>
        <v>0.14285714285714285</v>
      </c>
      <c r="G5" s="1644"/>
    </row>
    <row r="6" spans="1:16">
      <c r="A6" s="1643">
        <v>2008</v>
      </c>
      <c r="B6" s="1701">
        <v>32</v>
      </c>
      <c r="C6" s="1701">
        <v>5</v>
      </c>
      <c r="D6" s="1702">
        <f t="shared" ref="D6:D13" si="0">+C6/B6</f>
        <v>0.15625</v>
      </c>
    </row>
    <row r="7" spans="1:16">
      <c r="A7" s="1643">
        <v>2009</v>
      </c>
      <c r="B7" s="1701">
        <v>56</v>
      </c>
      <c r="C7" s="1701">
        <v>3</v>
      </c>
      <c r="D7" s="1702">
        <f t="shared" si="0"/>
        <v>5.3571428571428568E-2</v>
      </c>
    </row>
    <row r="8" spans="1:16">
      <c r="A8" s="1643">
        <v>2010</v>
      </c>
      <c r="B8" s="1701">
        <v>209</v>
      </c>
      <c r="C8" s="1701">
        <v>31</v>
      </c>
      <c r="D8" s="1702">
        <f t="shared" si="0"/>
        <v>0.14832535885167464</v>
      </c>
    </row>
    <row r="9" spans="1:16">
      <c r="A9" s="1643">
        <v>2011</v>
      </c>
      <c r="B9" s="1701">
        <v>134</v>
      </c>
      <c r="C9" s="1701">
        <v>15</v>
      </c>
      <c r="D9" s="1702">
        <f t="shared" si="0"/>
        <v>0.11194029850746269</v>
      </c>
    </row>
    <row r="10" spans="1:16">
      <c r="A10" s="1643">
        <v>2012</v>
      </c>
      <c r="B10" s="1701">
        <v>224</v>
      </c>
      <c r="C10" s="1701">
        <v>34</v>
      </c>
      <c r="D10" s="1702">
        <f t="shared" si="0"/>
        <v>0.15178571428571427</v>
      </c>
    </row>
    <row r="11" spans="1:16">
      <c r="A11" s="1643">
        <v>2013</v>
      </c>
      <c r="B11" s="1701">
        <v>135</v>
      </c>
      <c r="C11" s="1701">
        <v>16</v>
      </c>
      <c r="D11" s="1702">
        <f t="shared" si="0"/>
        <v>0.11851851851851852</v>
      </c>
    </row>
    <row r="12" spans="1:16">
      <c r="A12" s="1643">
        <v>2014</v>
      </c>
      <c r="B12" s="1701">
        <v>151</v>
      </c>
      <c r="C12" s="1701">
        <v>14</v>
      </c>
      <c r="D12" s="1702">
        <f t="shared" si="0"/>
        <v>9.2715231788079472E-2</v>
      </c>
    </row>
    <row r="13" spans="1:16">
      <c r="A13" s="1643" t="s">
        <v>1007</v>
      </c>
      <c r="B13" s="1701">
        <v>150</v>
      </c>
      <c r="C13" s="1701">
        <v>17</v>
      </c>
      <c r="D13" s="1702">
        <f t="shared" si="0"/>
        <v>0.11333333333333333</v>
      </c>
    </row>
    <row r="14" spans="1:16">
      <c r="A14" s="873" t="s">
        <v>23</v>
      </c>
      <c r="B14" s="1703">
        <f>SUM(B4:B13)</f>
        <v>1100</v>
      </c>
      <c r="C14" s="1703">
        <f>SUM(C4:C13)</f>
        <v>136</v>
      </c>
      <c r="D14" s="1704">
        <f>C14/B14</f>
        <v>0.12363636363636364</v>
      </c>
      <c r="O14" s="849"/>
      <c r="P14" s="849"/>
    </row>
    <row r="15" spans="1:16">
      <c r="A15" s="850" t="s">
        <v>938</v>
      </c>
    </row>
    <row r="16" spans="1:16">
      <c r="O16" s="849"/>
    </row>
    <row r="17" spans="15:21">
      <c r="O17" s="849"/>
    </row>
    <row r="19" spans="15:21">
      <c r="P19" s="850"/>
      <c r="Q19" s="850"/>
      <c r="R19" s="850"/>
    </row>
    <row r="20" spans="15:21">
      <c r="P20" s="850"/>
      <c r="T20" s="851"/>
      <c r="U20" s="852"/>
    </row>
    <row r="21" spans="15:21">
      <c r="P21" s="850"/>
      <c r="T21" s="851"/>
      <c r="U21" s="852"/>
    </row>
    <row r="22" spans="15:21">
      <c r="T22" s="851"/>
      <c r="U22" s="852"/>
    </row>
    <row r="23" spans="15:21">
      <c r="T23" s="851"/>
      <c r="U23" s="852"/>
    </row>
    <row r="24" spans="15:21">
      <c r="T24" s="851"/>
      <c r="U24" s="852"/>
    </row>
    <row r="25" spans="15:21">
      <c r="T25" s="851"/>
      <c r="U25" s="852"/>
    </row>
    <row r="26" spans="15:21">
      <c r="T26" s="851"/>
      <c r="U26" s="852"/>
    </row>
    <row r="27" spans="15:21">
      <c r="T27" s="851"/>
      <c r="U27" s="852"/>
    </row>
    <row r="28" spans="15:21">
      <c r="U28" s="852"/>
    </row>
    <row r="31" spans="15:21">
      <c r="Q31" s="850"/>
    </row>
  </sheetData>
  <mergeCells count="2">
    <mergeCell ref="A1:N1"/>
    <mergeCell ref="A2:E2"/>
  </mergeCells>
  <pageMargins left="0.7" right="0.7" top="0.75" bottom="0.75" header="0.3" footer="0.3"/>
  <pageSetup scale="70" fitToHeight="0" orientation="landscape" r:id="rId1"/>
  <drawing r:id="rId2"/>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1">
    <tabColor rgb="FF7030A0"/>
    <pageSetUpPr fitToPage="1"/>
  </sheetPr>
  <dimension ref="A1:V31"/>
  <sheetViews>
    <sheetView showGridLines="0" view="pageBreakPreview" zoomScale="70" zoomScaleNormal="100" zoomScaleSheetLayoutView="70" workbookViewId="0">
      <selection activeCell="H3" sqref="H3"/>
    </sheetView>
  </sheetViews>
  <sheetFormatPr baseColWidth="10" defaultColWidth="11.42578125" defaultRowHeight="15"/>
  <cols>
    <col min="1" max="1" width="19.28515625" style="848" customWidth="1"/>
    <col min="2" max="2" width="21" style="848" customWidth="1"/>
    <col min="3" max="3" width="22.28515625" style="848" customWidth="1"/>
    <col min="4" max="4" width="20.140625" style="848" customWidth="1"/>
    <col min="5" max="5" width="15.85546875" style="848" customWidth="1"/>
    <col min="6" max="16384" width="11.42578125" style="848"/>
  </cols>
  <sheetData>
    <row r="1" spans="1:17" ht="72" customHeight="1">
      <c r="A1" s="2196"/>
      <c r="B1" s="2196"/>
      <c r="C1" s="2196"/>
      <c r="D1" s="2196"/>
      <c r="E1" s="2196"/>
      <c r="F1" s="2196"/>
      <c r="G1" s="2196"/>
      <c r="H1" s="2196"/>
      <c r="I1" s="2196"/>
      <c r="J1" s="2196"/>
      <c r="K1" s="2196"/>
      <c r="L1" s="2196"/>
      <c r="M1" s="2196"/>
      <c r="N1" s="2196"/>
      <c r="O1" s="2196"/>
    </row>
    <row r="2" spans="1:17" ht="6.75" customHeight="1">
      <c r="A2" s="2197"/>
      <c r="B2" s="2197"/>
      <c r="C2" s="2197"/>
      <c r="D2" s="2197"/>
      <c r="E2" s="2197"/>
      <c r="F2" s="2197"/>
    </row>
    <row r="3" spans="1:17" ht="64.5" customHeight="1">
      <c r="A3" s="873" t="s">
        <v>25</v>
      </c>
      <c r="B3" s="1697" t="s">
        <v>943</v>
      </c>
      <c r="C3" s="874" t="s">
        <v>944</v>
      </c>
      <c r="D3" s="874" t="s">
        <v>942</v>
      </c>
      <c r="E3" s="1692" t="s">
        <v>23</v>
      </c>
    </row>
    <row r="4" spans="1:17" ht="17.25" customHeight="1">
      <c r="A4" s="1643">
        <v>2006</v>
      </c>
      <c r="B4" s="1647">
        <v>1</v>
      </c>
      <c r="C4" s="1647">
        <v>0</v>
      </c>
      <c r="D4" s="1647">
        <v>1</v>
      </c>
      <c r="E4" s="1698">
        <f>+D4+C4+B4</f>
        <v>2</v>
      </c>
    </row>
    <row r="5" spans="1:17" ht="17.25" customHeight="1">
      <c r="A5" s="1643">
        <v>2007</v>
      </c>
      <c r="B5" s="1647">
        <v>1</v>
      </c>
      <c r="C5" s="1647">
        <v>0</v>
      </c>
      <c r="D5" s="1647">
        <v>2</v>
      </c>
      <c r="E5" s="1698">
        <f>+B5+C5+D5</f>
        <v>3</v>
      </c>
      <c r="H5" s="1644"/>
    </row>
    <row r="6" spans="1:17">
      <c r="A6" s="1643">
        <v>2008</v>
      </c>
      <c r="B6" s="1647">
        <v>0</v>
      </c>
      <c r="C6" s="1647">
        <v>3</v>
      </c>
      <c r="D6" s="1647">
        <v>12</v>
      </c>
      <c r="E6" s="1698">
        <f t="shared" ref="E6:E13" si="0">+B6+C6+D6</f>
        <v>15</v>
      </c>
    </row>
    <row r="7" spans="1:17">
      <c r="A7" s="1643">
        <v>2009</v>
      </c>
      <c r="B7" s="1647">
        <v>13</v>
      </c>
      <c r="C7" s="1647">
        <v>5</v>
      </c>
      <c r="D7" s="1647">
        <v>26</v>
      </c>
      <c r="E7" s="1698">
        <f t="shared" si="0"/>
        <v>44</v>
      </c>
    </row>
    <row r="8" spans="1:17">
      <c r="A8" s="1643">
        <v>2010</v>
      </c>
      <c r="B8" s="1647">
        <v>60</v>
      </c>
      <c r="C8" s="1647">
        <v>18</v>
      </c>
      <c r="D8" s="1647">
        <v>62</v>
      </c>
      <c r="E8" s="1698">
        <f t="shared" si="0"/>
        <v>140</v>
      </c>
    </row>
    <row r="9" spans="1:17">
      <c r="A9" s="1643">
        <v>2011</v>
      </c>
      <c r="B9" s="1647">
        <v>36</v>
      </c>
      <c r="C9" s="1647">
        <v>7</v>
      </c>
      <c r="D9" s="1647">
        <v>47</v>
      </c>
      <c r="E9" s="1698">
        <f t="shared" si="0"/>
        <v>90</v>
      </c>
    </row>
    <row r="10" spans="1:17">
      <c r="A10" s="1643">
        <v>2012</v>
      </c>
      <c r="B10" s="1647">
        <v>72</v>
      </c>
      <c r="C10" s="1647">
        <v>25</v>
      </c>
      <c r="D10" s="1647">
        <v>50</v>
      </c>
      <c r="E10" s="1698">
        <f t="shared" si="0"/>
        <v>147</v>
      </c>
    </row>
    <row r="11" spans="1:17">
      <c r="A11" s="1643">
        <v>2013</v>
      </c>
      <c r="B11" s="1647">
        <v>28</v>
      </c>
      <c r="C11" s="1647">
        <v>17</v>
      </c>
      <c r="D11" s="1647">
        <v>51</v>
      </c>
      <c r="E11" s="1698">
        <f t="shared" si="0"/>
        <v>96</v>
      </c>
    </row>
    <row r="12" spans="1:17">
      <c r="A12" s="1643">
        <v>2014</v>
      </c>
      <c r="B12" s="1647">
        <v>31</v>
      </c>
      <c r="C12" s="1647">
        <v>24</v>
      </c>
      <c r="D12" s="1647">
        <v>44</v>
      </c>
      <c r="E12" s="1698">
        <f t="shared" si="0"/>
        <v>99</v>
      </c>
    </row>
    <row r="13" spans="1:17">
      <c r="A13" s="1643" t="s">
        <v>1007</v>
      </c>
      <c r="B13" s="1647">
        <v>31</v>
      </c>
      <c r="C13" s="1647">
        <v>30</v>
      </c>
      <c r="D13" s="1647">
        <v>27</v>
      </c>
      <c r="E13" s="1698">
        <f t="shared" si="0"/>
        <v>88</v>
      </c>
    </row>
    <row r="14" spans="1:17">
      <c r="A14" s="873" t="s">
        <v>23</v>
      </c>
      <c r="B14" s="1686">
        <f>SUM(B4:B13)</f>
        <v>273</v>
      </c>
      <c r="C14" s="1645">
        <f>SUM(C4:C13)</f>
        <v>129</v>
      </c>
      <c r="D14" s="1645">
        <f>SUM(D4:D13)</f>
        <v>322</v>
      </c>
      <c r="E14" s="1706">
        <f>SUM(E4:E13)</f>
        <v>724</v>
      </c>
      <c r="P14" s="849"/>
      <c r="Q14" s="849"/>
    </row>
    <row r="15" spans="1:17" ht="48.75" customHeight="1">
      <c r="A15" s="2207" t="s">
        <v>1022</v>
      </c>
      <c r="B15" s="2207"/>
      <c r="C15" s="2207"/>
      <c r="D15" s="2207"/>
      <c r="E15" s="2207"/>
    </row>
    <row r="16" spans="1:17">
      <c r="A16" s="850"/>
      <c r="P16" s="849"/>
    </row>
    <row r="17" spans="16:22">
      <c r="P17" s="849"/>
    </row>
    <row r="19" spans="16:22">
      <c r="Q19" s="850"/>
      <c r="R19" s="850"/>
      <c r="S19" s="850"/>
    </row>
    <row r="20" spans="16:22">
      <c r="Q20" s="850"/>
      <c r="U20" s="851"/>
      <c r="V20" s="852"/>
    </row>
    <row r="21" spans="16:22">
      <c r="Q21" s="850"/>
      <c r="U21" s="851"/>
      <c r="V21" s="852"/>
    </row>
    <row r="22" spans="16:22">
      <c r="U22" s="851"/>
      <c r="V22" s="852"/>
    </row>
    <row r="23" spans="16:22">
      <c r="U23" s="851"/>
      <c r="V23" s="852"/>
    </row>
    <row r="24" spans="16:22">
      <c r="U24" s="851"/>
      <c r="V24" s="852"/>
    </row>
    <row r="25" spans="16:22">
      <c r="U25" s="851"/>
      <c r="V25" s="852"/>
    </row>
    <row r="26" spans="16:22">
      <c r="U26" s="851"/>
      <c r="V26" s="852"/>
    </row>
    <row r="27" spans="16:22">
      <c r="U27" s="851"/>
      <c r="V27" s="852"/>
    </row>
    <row r="28" spans="16:22">
      <c r="V28" s="852"/>
    </row>
    <row r="31" spans="16:22">
      <c r="R31" s="850"/>
    </row>
  </sheetData>
  <mergeCells count="3">
    <mergeCell ref="A1:O1"/>
    <mergeCell ref="A2:F2"/>
    <mergeCell ref="A15:E15"/>
  </mergeCells>
  <pageMargins left="0.7" right="0.7" top="0.75" bottom="0.75" header="0.3" footer="0.3"/>
  <pageSetup scale="58" fitToHeight="0" orientation="landscape" r:id="rId1"/>
  <drawing r:id="rId2"/>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0">
    <tabColor rgb="FF7030A0"/>
    <pageSetUpPr fitToPage="1"/>
  </sheetPr>
  <dimension ref="A1:U31"/>
  <sheetViews>
    <sheetView showGridLines="0" view="pageBreakPreview" zoomScale="70" zoomScaleNormal="100" zoomScaleSheetLayoutView="70" workbookViewId="0">
      <selection activeCell="H8" sqref="H8"/>
    </sheetView>
  </sheetViews>
  <sheetFormatPr baseColWidth="10" defaultColWidth="11.42578125" defaultRowHeight="15"/>
  <cols>
    <col min="1" max="1" width="21.85546875" style="848" customWidth="1"/>
    <col min="2" max="2" width="29.42578125" style="848" customWidth="1"/>
    <col min="3" max="3" width="22.42578125" style="848" customWidth="1"/>
    <col min="4" max="4" width="20.85546875" style="848" customWidth="1"/>
    <col min="5" max="16384" width="11.42578125" style="848"/>
  </cols>
  <sheetData>
    <row r="1" spans="1:16" ht="72" customHeight="1">
      <c r="A1" s="2196"/>
      <c r="B1" s="2196"/>
      <c r="C1" s="2196"/>
      <c r="D1" s="2196"/>
      <c r="E1" s="2196"/>
      <c r="F1" s="2196"/>
      <c r="G1" s="2196"/>
      <c r="H1" s="2196"/>
      <c r="I1" s="2196"/>
      <c r="J1" s="2196"/>
      <c r="K1" s="2196"/>
      <c r="L1" s="2196"/>
      <c r="M1" s="2196"/>
      <c r="N1" s="2196"/>
    </row>
    <row r="2" spans="1:16" ht="6.75" customHeight="1">
      <c r="A2" s="2197"/>
      <c r="B2" s="2197"/>
      <c r="C2" s="2197"/>
      <c r="D2" s="2197"/>
      <c r="E2" s="2197"/>
    </row>
    <row r="3" spans="1:16" ht="30.75" customHeight="1">
      <c r="A3" s="873" t="s">
        <v>25</v>
      </c>
      <c r="B3" s="1697" t="s">
        <v>941</v>
      </c>
      <c r="C3" s="874" t="s">
        <v>945</v>
      </c>
      <c r="D3" s="1692" t="s">
        <v>23</v>
      </c>
    </row>
    <row r="4" spans="1:16" ht="17.25" customHeight="1">
      <c r="A4" s="1643">
        <v>2006</v>
      </c>
      <c r="B4" s="735">
        <v>0</v>
      </c>
      <c r="C4" s="735">
        <v>0</v>
      </c>
      <c r="D4" s="1698">
        <f>C4+B4</f>
        <v>0</v>
      </c>
    </row>
    <row r="5" spans="1:16" ht="17.25" customHeight="1">
      <c r="A5" s="1643">
        <v>2007</v>
      </c>
      <c r="B5" s="735">
        <v>2</v>
      </c>
      <c r="C5" s="735">
        <v>0</v>
      </c>
      <c r="D5" s="1698">
        <f t="shared" ref="D5:D13" si="0">C5+B5</f>
        <v>2</v>
      </c>
      <c r="G5" s="1644"/>
    </row>
    <row r="6" spans="1:16">
      <c r="A6" s="1643">
        <v>2008</v>
      </c>
      <c r="B6" s="735">
        <v>10</v>
      </c>
      <c r="C6" s="735">
        <v>1</v>
      </c>
      <c r="D6" s="1698">
        <f t="shared" si="0"/>
        <v>11</v>
      </c>
    </row>
    <row r="7" spans="1:16">
      <c r="A7" s="1643">
        <v>2009</v>
      </c>
      <c r="B7" s="735">
        <v>8</v>
      </c>
      <c r="C7" s="735">
        <v>1</v>
      </c>
      <c r="D7" s="1698">
        <f t="shared" si="0"/>
        <v>9</v>
      </c>
    </row>
    <row r="8" spans="1:16">
      <c r="A8" s="1643">
        <v>2010</v>
      </c>
      <c r="B8" s="735">
        <v>37</v>
      </c>
      <c r="C8" s="735">
        <v>0</v>
      </c>
      <c r="D8" s="1698">
        <f t="shared" si="0"/>
        <v>37</v>
      </c>
    </row>
    <row r="9" spans="1:16">
      <c r="A9" s="1643">
        <v>2011</v>
      </c>
      <c r="B9" s="735">
        <v>27</v>
      </c>
      <c r="C9" s="735">
        <v>2</v>
      </c>
      <c r="D9" s="1698">
        <f t="shared" si="0"/>
        <v>29</v>
      </c>
    </row>
    <row r="10" spans="1:16">
      <c r="A10" s="1643">
        <v>2012</v>
      </c>
      <c r="B10" s="735">
        <v>34</v>
      </c>
      <c r="C10" s="735">
        <v>10</v>
      </c>
      <c r="D10" s="1698">
        <f t="shared" si="0"/>
        <v>44</v>
      </c>
    </row>
    <row r="11" spans="1:16">
      <c r="A11" s="1643">
        <v>2013</v>
      </c>
      <c r="B11" s="735">
        <v>17</v>
      </c>
      <c r="C11" s="735">
        <v>4</v>
      </c>
      <c r="D11" s="1698">
        <f t="shared" si="0"/>
        <v>21</v>
      </c>
    </row>
    <row r="12" spans="1:16">
      <c r="A12" s="1643">
        <v>2014</v>
      </c>
      <c r="B12" s="735">
        <v>25</v>
      </c>
      <c r="C12" s="735">
        <v>12</v>
      </c>
      <c r="D12" s="1698">
        <f t="shared" si="0"/>
        <v>37</v>
      </c>
    </row>
    <row r="13" spans="1:16">
      <c r="A13" s="1643" t="s">
        <v>1007</v>
      </c>
      <c r="B13" s="735">
        <v>23</v>
      </c>
      <c r="C13" s="735">
        <v>7</v>
      </c>
      <c r="D13" s="1698">
        <f t="shared" si="0"/>
        <v>30</v>
      </c>
      <c r="O13" s="1939"/>
    </row>
    <row r="14" spans="1:16">
      <c r="A14" s="873" t="s">
        <v>23</v>
      </c>
      <c r="B14" s="1707">
        <f>SUM(B4:B13)</f>
        <v>183</v>
      </c>
      <c r="C14" s="1707">
        <f>SUM(C4:C13)</f>
        <v>37</v>
      </c>
      <c r="D14" s="1706">
        <f>SUM(D4:D13)</f>
        <v>220</v>
      </c>
      <c r="O14" s="849"/>
      <c r="P14" s="849"/>
    </row>
    <row r="15" spans="1:16">
      <c r="O15" s="1939"/>
    </row>
    <row r="16" spans="1:16">
      <c r="O16" s="849"/>
    </row>
    <row r="17" spans="15:21">
      <c r="O17" s="849"/>
    </row>
    <row r="19" spans="15:21">
      <c r="P19" s="850"/>
      <c r="Q19" s="850"/>
      <c r="R19" s="850"/>
    </row>
    <row r="20" spans="15:21">
      <c r="P20" s="850"/>
      <c r="T20" s="851"/>
      <c r="U20" s="852"/>
    </row>
    <row r="21" spans="15:21">
      <c r="P21" s="850"/>
      <c r="T21" s="851"/>
      <c r="U21" s="852"/>
    </row>
    <row r="22" spans="15:21">
      <c r="T22" s="851"/>
      <c r="U22" s="852"/>
    </row>
    <row r="23" spans="15:21">
      <c r="T23" s="851"/>
      <c r="U23" s="852"/>
    </row>
    <row r="24" spans="15:21">
      <c r="T24" s="851"/>
      <c r="U24" s="852"/>
    </row>
    <row r="25" spans="15:21">
      <c r="T25" s="851"/>
      <c r="U25" s="852"/>
    </row>
    <row r="26" spans="15:21">
      <c r="T26" s="851"/>
      <c r="U26" s="852"/>
    </row>
    <row r="27" spans="15:21">
      <c r="T27" s="851"/>
      <c r="U27" s="852"/>
    </row>
    <row r="28" spans="15:21">
      <c r="U28" s="852"/>
    </row>
    <row r="31" spans="15:21">
      <c r="Q31" s="850"/>
    </row>
  </sheetData>
  <mergeCells count="2">
    <mergeCell ref="A1:N1"/>
    <mergeCell ref="A2:E2"/>
  </mergeCells>
  <pageMargins left="0.7" right="0.7" top="0.75" bottom="0.75" header="0.3" footer="0.3"/>
  <pageSetup scale="59" fitToHeight="0"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tabColor theme="9" tint="-0.249977111117893"/>
    <pageSetUpPr fitToPage="1"/>
  </sheetPr>
  <dimension ref="A1"/>
  <sheetViews>
    <sheetView showGridLines="0" view="pageBreakPreview" zoomScale="85" zoomScaleNormal="100" zoomScaleSheetLayoutView="85" workbookViewId="0">
      <selection activeCell="O21" sqref="O21"/>
    </sheetView>
  </sheetViews>
  <sheetFormatPr baseColWidth="10" defaultColWidth="11.42578125" defaultRowHeight="15"/>
  <cols>
    <col min="1" max="6" width="11.42578125" style="77"/>
    <col min="7" max="7" width="13.42578125" style="77" customWidth="1"/>
    <col min="8" max="10" width="11.42578125" style="77"/>
    <col min="11" max="11" width="15.5703125" style="77" customWidth="1"/>
    <col min="12" max="12" width="13.140625" style="77" customWidth="1"/>
    <col min="13" max="16384" width="11.42578125" style="77"/>
  </cols>
  <sheetData/>
  <pageMargins left="0.70866141732283472" right="0.70866141732283472" top="0.74803149606299213" bottom="0.74803149606299213" header="0.31496062992125984" footer="0.31496062992125984"/>
  <pageSetup scale="77" orientation="landscape" r:id="rId1"/>
  <drawing r:id="rId2"/>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6">
    <tabColor rgb="FF7030A0"/>
    <pageSetUpPr fitToPage="1"/>
  </sheetPr>
  <dimension ref="A1:U32"/>
  <sheetViews>
    <sheetView showGridLines="0" view="pageBreakPreview" zoomScale="85" zoomScaleNormal="100" zoomScaleSheetLayoutView="85" workbookViewId="0">
      <selection activeCell="A3" sqref="A3"/>
    </sheetView>
  </sheetViews>
  <sheetFormatPr baseColWidth="10" defaultColWidth="11.42578125" defaultRowHeight="15"/>
  <cols>
    <col min="1" max="1" width="13.7109375" style="848" customWidth="1"/>
    <col min="2" max="2" width="13.140625" style="848" customWidth="1"/>
    <col min="3" max="3" width="16.28515625" style="848" customWidth="1"/>
    <col min="4" max="4" width="16.85546875" style="848" customWidth="1"/>
    <col min="5" max="5" width="15.28515625" style="848" customWidth="1"/>
    <col min="6" max="6" width="15.140625" style="848" customWidth="1"/>
    <col min="7" max="9" width="11.42578125" style="848"/>
    <col min="10" max="10" width="16.140625" style="848" customWidth="1"/>
    <col min="11" max="16384" width="11.42578125" style="848"/>
  </cols>
  <sheetData>
    <row r="1" spans="1:16" ht="72" customHeight="1">
      <c r="A1" s="2196"/>
      <c r="B1" s="2196"/>
      <c r="C1" s="2196"/>
      <c r="D1" s="2196"/>
      <c r="E1" s="2196"/>
      <c r="F1" s="2196"/>
      <c r="G1" s="2196"/>
      <c r="H1" s="2196"/>
      <c r="I1" s="2196"/>
      <c r="J1" s="2196"/>
      <c r="K1" s="2196"/>
      <c r="L1" s="2196"/>
      <c r="M1" s="2196"/>
      <c r="N1" s="2196"/>
    </row>
    <row r="2" spans="1:16" ht="6.75" customHeight="1">
      <c r="A2" s="2197"/>
      <c r="B2" s="2197"/>
      <c r="C2" s="2197"/>
      <c r="D2" s="2197"/>
      <c r="E2" s="2197"/>
    </row>
    <row r="3" spans="1:16" ht="31.5" customHeight="1">
      <c r="A3" s="873" t="s">
        <v>25</v>
      </c>
      <c r="B3" s="874" t="s">
        <v>49</v>
      </c>
      <c r="C3" s="874" t="s">
        <v>48</v>
      </c>
      <c r="D3" s="1697" t="s">
        <v>937</v>
      </c>
      <c r="E3" s="1697" t="s">
        <v>220</v>
      </c>
      <c r="F3" s="875" t="s">
        <v>219</v>
      </c>
      <c r="J3" s="1689"/>
      <c r="K3" s="1689"/>
      <c r="L3" s="1689"/>
      <c r="M3" s="1689"/>
    </row>
    <row r="4" spans="1:16" ht="13.5" customHeight="1">
      <c r="A4" s="1643">
        <v>2006</v>
      </c>
      <c r="B4" s="1647">
        <v>2</v>
      </c>
      <c r="C4" s="1647"/>
      <c r="D4" s="1708">
        <f>+C4+B4</f>
        <v>2</v>
      </c>
      <c r="E4" s="1940">
        <f>+B4/D4</f>
        <v>1</v>
      </c>
      <c r="F4" s="1941">
        <f>+C4/D4</f>
        <v>0</v>
      </c>
      <c r="J4" s="1690"/>
      <c r="K4" s="1691"/>
      <c r="L4" s="1691"/>
      <c r="M4" s="1691"/>
    </row>
    <row r="5" spans="1:16" ht="12.75" customHeight="1">
      <c r="A5" s="1643">
        <v>2007</v>
      </c>
      <c r="B5" s="1647">
        <v>3</v>
      </c>
      <c r="C5" s="1647">
        <v>4</v>
      </c>
      <c r="D5" s="1708">
        <f>+C5+B5</f>
        <v>7</v>
      </c>
      <c r="E5" s="1940">
        <f t="shared" ref="E5:E13" si="0">+B5/D5</f>
        <v>0.42857142857142855</v>
      </c>
      <c r="F5" s="1941">
        <f t="shared" ref="F5:F13" si="1">+C5/D5</f>
        <v>0.5714285714285714</v>
      </c>
      <c r="G5" s="1687"/>
      <c r="J5" s="1690"/>
      <c r="K5" s="1691"/>
      <c r="L5" s="1691"/>
      <c r="M5" s="1691"/>
    </row>
    <row r="6" spans="1:16">
      <c r="A6" s="1643">
        <v>2008</v>
      </c>
      <c r="B6" s="1647">
        <v>12</v>
      </c>
      <c r="C6" s="1647">
        <v>20</v>
      </c>
      <c r="D6" s="1708">
        <f t="shared" ref="D6:D13" si="2">+C6+B6</f>
        <v>32</v>
      </c>
      <c r="E6" s="1940">
        <f t="shared" si="0"/>
        <v>0.375</v>
      </c>
      <c r="F6" s="1941">
        <f t="shared" si="1"/>
        <v>0.625</v>
      </c>
      <c r="G6" s="1688"/>
      <c r="J6" s="1690"/>
      <c r="K6" s="1691"/>
      <c r="L6" s="1691"/>
      <c r="M6" s="1691"/>
    </row>
    <row r="7" spans="1:16">
      <c r="A7" s="1643">
        <v>2009</v>
      </c>
      <c r="B7" s="1647">
        <v>21</v>
      </c>
      <c r="C7" s="1647">
        <v>35</v>
      </c>
      <c r="D7" s="1708">
        <f t="shared" si="2"/>
        <v>56</v>
      </c>
      <c r="E7" s="1940">
        <f t="shared" si="0"/>
        <v>0.375</v>
      </c>
      <c r="F7" s="1941">
        <f t="shared" si="1"/>
        <v>0.625</v>
      </c>
      <c r="G7" s="1688"/>
      <c r="J7" s="1690"/>
      <c r="K7" s="1691"/>
      <c r="L7" s="1691"/>
      <c r="M7" s="1691"/>
    </row>
    <row r="8" spans="1:16">
      <c r="A8" s="1643">
        <v>2010</v>
      </c>
      <c r="B8" s="1647">
        <v>84</v>
      </c>
      <c r="C8" s="1647">
        <v>125</v>
      </c>
      <c r="D8" s="1708">
        <f t="shared" si="2"/>
        <v>209</v>
      </c>
      <c r="E8" s="1940">
        <f t="shared" si="0"/>
        <v>0.40191387559808611</v>
      </c>
      <c r="F8" s="1941">
        <f t="shared" si="1"/>
        <v>0.59808612440191389</v>
      </c>
      <c r="G8" s="1688"/>
      <c r="J8" s="1690"/>
      <c r="K8" s="1691"/>
      <c r="L8" s="1691"/>
      <c r="M8" s="1691"/>
    </row>
    <row r="9" spans="1:16">
      <c r="A9" s="1643">
        <v>2011</v>
      </c>
      <c r="B9" s="1647">
        <v>47</v>
      </c>
      <c r="C9" s="1647">
        <v>87</v>
      </c>
      <c r="D9" s="1708">
        <f t="shared" si="2"/>
        <v>134</v>
      </c>
      <c r="E9" s="1940">
        <f t="shared" si="0"/>
        <v>0.35074626865671643</v>
      </c>
      <c r="F9" s="1941">
        <f t="shared" si="1"/>
        <v>0.64925373134328357</v>
      </c>
      <c r="G9" s="1688"/>
      <c r="J9" s="1690"/>
      <c r="K9" s="1691"/>
      <c r="L9" s="1691"/>
      <c r="M9" s="1691"/>
    </row>
    <row r="10" spans="1:16">
      <c r="A10" s="1643">
        <v>2012</v>
      </c>
      <c r="B10" s="1647">
        <v>106</v>
      </c>
      <c r="C10" s="1647">
        <v>118</v>
      </c>
      <c r="D10" s="1708">
        <f t="shared" si="2"/>
        <v>224</v>
      </c>
      <c r="E10" s="1940">
        <f t="shared" si="0"/>
        <v>0.4732142857142857</v>
      </c>
      <c r="F10" s="1941">
        <f t="shared" si="1"/>
        <v>0.5267857142857143</v>
      </c>
      <c r="J10" s="1690"/>
      <c r="K10" s="1691"/>
      <c r="L10" s="1691"/>
      <c r="M10" s="1691"/>
    </row>
    <row r="11" spans="1:16">
      <c r="A11" s="1643">
        <v>2013</v>
      </c>
      <c r="B11" s="1647">
        <v>62</v>
      </c>
      <c r="C11" s="1647">
        <v>73</v>
      </c>
      <c r="D11" s="1708">
        <f t="shared" si="2"/>
        <v>135</v>
      </c>
      <c r="E11" s="1940">
        <f t="shared" si="0"/>
        <v>0.45925925925925926</v>
      </c>
      <c r="F11" s="1941">
        <f t="shared" si="1"/>
        <v>0.54074074074074074</v>
      </c>
      <c r="J11" s="1690"/>
      <c r="K11" s="1691"/>
      <c r="L11" s="1691"/>
      <c r="M11" s="1691"/>
    </row>
    <row r="12" spans="1:16">
      <c r="A12" s="1643">
        <v>2014</v>
      </c>
      <c r="B12" s="1647">
        <v>81</v>
      </c>
      <c r="C12" s="1647">
        <v>70</v>
      </c>
      <c r="D12" s="1708">
        <f t="shared" si="2"/>
        <v>151</v>
      </c>
      <c r="E12" s="1940">
        <f t="shared" si="0"/>
        <v>0.53642384105960261</v>
      </c>
      <c r="F12" s="1941">
        <f t="shared" si="1"/>
        <v>0.46357615894039733</v>
      </c>
      <c r="J12" s="1690"/>
      <c r="K12" s="1691"/>
      <c r="L12" s="1691"/>
      <c r="M12" s="1691"/>
    </row>
    <row r="13" spans="1:16">
      <c r="A13" s="1643" t="s">
        <v>1007</v>
      </c>
      <c r="B13" s="1647">
        <v>67</v>
      </c>
      <c r="C13" s="1647">
        <v>83</v>
      </c>
      <c r="D13" s="1708">
        <f t="shared" si="2"/>
        <v>150</v>
      </c>
      <c r="E13" s="1942">
        <f t="shared" si="0"/>
        <v>0.44666666666666666</v>
      </c>
      <c r="F13" s="1943">
        <f t="shared" si="1"/>
        <v>0.55333333333333334</v>
      </c>
      <c r="J13" s="1690"/>
      <c r="K13" s="1691"/>
      <c r="L13" s="1691"/>
      <c r="M13" s="1691"/>
    </row>
    <row r="14" spans="1:16">
      <c r="A14" s="873" t="s">
        <v>23</v>
      </c>
      <c r="B14" s="1686">
        <f>SUM(B4:B13)</f>
        <v>485</v>
      </c>
      <c r="C14" s="1645">
        <f>SUM(C4:C13)</f>
        <v>615</v>
      </c>
      <c r="D14" s="1686">
        <f>SUM(D4:D13)</f>
        <v>1100</v>
      </c>
      <c r="E14" s="1709">
        <f>+B14/D14</f>
        <v>0.44090909090909092</v>
      </c>
      <c r="F14" s="1710">
        <f>+C14/D14</f>
        <v>0.55909090909090908</v>
      </c>
      <c r="J14" s="1690"/>
      <c r="K14" s="1691"/>
      <c r="L14" s="1691"/>
      <c r="M14" s="1691"/>
      <c r="O14" s="849"/>
    </row>
    <row r="15" spans="1:16">
      <c r="A15" s="850" t="s">
        <v>938</v>
      </c>
      <c r="O15" s="849"/>
      <c r="P15" s="849"/>
    </row>
    <row r="17" spans="15:21">
      <c r="O17" s="849"/>
    </row>
    <row r="18" spans="15:21">
      <c r="O18" s="849"/>
    </row>
    <row r="20" spans="15:21">
      <c r="P20" s="850"/>
      <c r="Q20" s="850"/>
      <c r="R20" s="850"/>
    </row>
    <row r="21" spans="15:21">
      <c r="P21" s="850"/>
      <c r="T21" s="851"/>
      <c r="U21" s="852"/>
    </row>
    <row r="22" spans="15:21">
      <c r="P22" s="850"/>
      <c r="T22" s="851"/>
      <c r="U22" s="852"/>
    </row>
    <row r="23" spans="15:21">
      <c r="T23" s="851"/>
      <c r="U23" s="852"/>
    </row>
    <row r="24" spans="15:21">
      <c r="T24" s="851"/>
      <c r="U24" s="852"/>
    </row>
    <row r="25" spans="15:21">
      <c r="T25" s="851"/>
      <c r="U25" s="852"/>
    </row>
    <row r="26" spans="15:21">
      <c r="T26" s="851"/>
      <c r="U26" s="852"/>
    </row>
    <row r="27" spans="15:21">
      <c r="T27" s="851"/>
      <c r="U27" s="852"/>
    </row>
    <row r="28" spans="15:21">
      <c r="T28" s="851"/>
      <c r="U28" s="852"/>
    </row>
    <row r="29" spans="15:21">
      <c r="U29" s="852"/>
    </row>
    <row r="32" spans="15:21">
      <c r="Q32" s="850"/>
    </row>
  </sheetData>
  <mergeCells count="2">
    <mergeCell ref="A1:N1"/>
    <mergeCell ref="A2:E2"/>
  </mergeCells>
  <pageMargins left="0.7" right="0.7" top="0.75" bottom="0.75" header="0.3" footer="0.3"/>
  <pageSetup scale="65" orientation="landscape" r:id="rId1"/>
  <drawing r:id="rId2"/>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2">
    <tabColor theme="6" tint="-0.499984740745262"/>
    <pageSetUpPr fitToPage="1"/>
  </sheetPr>
  <dimension ref="A1"/>
  <sheetViews>
    <sheetView showGridLines="0" view="pageBreakPreview" zoomScale="115" zoomScaleNormal="100" zoomScaleSheetLayoutView="115" workbookViewId="0">
      <selection activeCell="K23" sqref="K23"/>
    </sheetView>
  </sheetViews>
  <sheetFormatPr baseColWidth="10" defaultColWidth="11.42578125" defaultRowHeight="15"/>
  <cols>
    <col min="1" max="6" width="11.42578125" style="77"/>
    <col min="7" max="7" width="35.7109375" style="77" customWidth="1"/>
    <col min="8" max="16384" width="11.42578125" style="77"/>
  </cols>
  <sheetData/>
  <pageMargins left="0.7" right="0.7" top="0.75" bottom="0.75" header="0.3" footer="0.3"/>
  <pageSetup orientation="landscape" r:id="rId1"/>
  <drawing r:id="rId2"/>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3">
    <tabColor rgb="FFFF0000"/>
  </sheetPr>
  <dimension ref="A1:P47"/>
  <sheetViews>
    <sheetView showGridLines="0" view="pageBreakPreview" zoomScale="85" zoomScaleNormal="90" zoomScaleSheetLayoutView="85" workbookViewId="0">
      <selection activeCell="Q11" sqref="Q11"/>
    </sheetView>
  </sheetViews>
  <sheetFormatPr baseColWidth="10" defaultColWidth="11.42578125" defaultRowHeight="15"/>
  <cols>
    <col min="1" max="1" width="32.42578125" style="77" customWidth="1"/>
    <col min="2" max="3" width="11" style="77" hidden="1" customWidth="1"/>
    <col min="4" max="4" width="10.7109375" style="77" hidden="1" customWidth="1"/>
    <col min="5" max="5" width="13.140625" style="77" customWidth="1"/>
    <col min="6" max="6" width="10" style="77" customWidth="1"/>
    <col min="7" max="7" width="10.42578125" style="77" customWidth="1"/>
    <col min="8" max="8" width="10" style="77" customWidth="1"/>
    <col min="9" max="10" width="10.42578125" style="77" customWidth="1"/>
    <col min="11" max="11" width="10.7109375" style="77" customWidth="1"/>
    <col min="12" max="12" width="12.42578125" style="77" customWidth="1"/>
    <col min="13" max="13" width="11.42578125" style="77"/>
    <col min="14" max="14" width="12.42578125" style="77" customWidth="1"/>
    <col min="15" max="16384" width="11.42578125" style="77"/>
  </cols>
  <sheetData>
    <row r="1" spans="1:16" ht="68.25" customHeight="1">
      <c r="A1" s="2208"/>
      <c r="B1" s="2208"/>
      <c r="C1" s="2208"/>
      <c r="D1" s="2208"/>
      <c r="E1" s="2208"/>
      <c r="F1" s="2208"/>
      <c r="G1" s="2208"/>
      <c r="H1" s="2208"/>
      <c r="I1" s="2208"/>
      <c r="J1" s="2208"/>
      <c r="K1" s="2208"/>
      <c r="L1" s="2208"/>
      <c r="M1" s="2208"/>
      <c r="N1" s="2208"/>
      <c r="O1" s="2208"/>
      <c r="P1" s="2208"/>
    </row>
    <row r="2" spans="1:16" s="21" customFormat="1" ht="9" customHeight="1">
      <c r="A2" s="2209"/>
      <c r="B2" s="2209"/>
      <c r="C2" s="2209"/>
      <c r="D2" s="2209"/>
      <c r="E2" s="2209"/>
      <c r="F2" s="2209"/>
      <c r="G2" s="2209"/>
      <c r="H2" s="2209"/>
      <c r="I2" s="2209"/>
      <c r="J2" s="2209"/>
      <c r="K2" s="2209"/>
      <c r="L2" s="2209"/>
      <c r="M2" s="2209"/>
      <c r="N2" s="2209"/>
      <c r="O2" s="2209"/>
      <c r="P2" s="2209"/>
    </row>
    <row r="3" spans="1:16" ht="21" customHeight="1">
      <c r="A3" s="572" t="s">
        <v>11</v>
      </c>
      <c r="B3" s="733" t="s">
        <v>437</v>
      </c>
      <c r="C3" s="733" t="s">
        <v>4</v>
      </c>
      <c r="D3" s="733" t="s">
        <v>5</v>
      </c>
      <c r="E3" s="1747" t="s">
        <v>252</v>
      </c>
      <c r="F3" s="733" t="s">
        <v>251</v>
      </c>
      <c r="G3" s="733" t="s">
        <v>173</v>
      </c>
      <c r="H3" s="733" t="s">
        <v>222</v>
      </c>
      <c r="I3" s="733" t="s">
        <v>10</v>
      </c>
      <c r="J3" s="733" t="s">
        <v>192</v>
      </c>
      <c r="K3" s="733" t="s">
        <v>224</v>
      </c>
      <c r="L3" s="733" t="s">
        <v>482</v>
      </c>
      <c r="M3" s="733" t="s">
        <v>561</v>
      </c>
      <c r="N3" s="733" t="s">
        <v>569</v>
      </c>
      <c r="O3" s="734" t="s">
        <v>947</v>
      </c>
    </row>
    <row r="4" spans="1:16">
      <c r="A4" s="741" t="s">
        <v>12</v>
      </c>
      <c r="B4" s="731">
        <v>54394</v>
      </c>
      <c r="C4" s="731">
        <v>49967</v>
      </c>
      <c r="D4" s="732">
        <v>65316</v>
      </c>
      <c r="E4" s="1746">
        <v>59055.5</v>
      </c>
      <c r="F4" s="735">
        <v>57661</v>
      </c>
      <c r="G4" s="735">
        <v>63198</v>
      </c>
      <c r="H4" s="735">
        <v>55832</v>
      </c>
      <c r="I4" s="735">
        <v>62722</v>
      </c>
      <c r="J4" s="735">
        <v>56906</v>
      </c>
      <c r="K4" s="735">
        <v>73730</v>
      </c>
      <c r="L4" s="735">
        <v>65532</v>
      </c>
      <c r="M4" s="735">
        <v>74396</v>
      </c>
      <c r="N4" s="737">
        <v>94092</v>
      </c>
      <c r="O4" s="736">
        <v>81574</v>
      </c>
    </row>
    <row r="5" spans="1:16" ht="16.5" customHeight="1">
      <c r="A5" s="741" t="s">
        <v>13</v>
      </c>
      <c r="B5" s="731">
        <v>5332</v>
      </c>
      <c r="C5" s="731">
        <v>6224</v>
      </c>
      <c r="D5" s="732">
        <v>4729.5</v>
      </c>
      <c r="E5" s="1746">
        <v>5240.5</v>
      </c>
      <c r="F5" s="735">
        <v>3875</v>
      </c>
      <c r="G5" s="735">
        <v>5460.5</v>
      </c>
      <c r="H5" s="735">
        <v>7849</v>
      </c>
      <c r="I5" s="735">
        <v>7092</v>
      </c>
      <c r="J5" s="735">
        <v>9592</v>
      </c>
      <c r="K5" s="735">
        <v>15545</v>
      </c>
      <c r="L5" s="735">
        <v>12905</v>
      </c>
      <c r="M5" s="735">
        <v>9756</v>
      </c>
      <c r="N5" s="737">
        <v>5755</v>
      </c>
      <c r="O5" s="736">
        <v>8303</v>
      </c>
    </row>
    <row r="6" spans="1:16">
      <c r="A6" s="741" t="s">
        <v>14</v>
      </c>
      <c r="B6" s="731">
        <v>335875</v>
      </c>
      <c r="C6" s="731">
        <v>347392</v>
      </c>
      <c r="D6" s="732">
        <v>380576</v>
      </c>
      <c r="E6" s="1746">
        <v>356009</v>
      </c>
      <c r="F6" s="735">
        <v>367230.5</v>
      </c>
      <c r="G6" s="735">
        <v>381709.5</v>
      </c>
      <c r="H6" s="735">
        <v>322067</v>
      </c>
      <c r="I6" s="735">
        <v>267702</v>
      </c>
      <c r="J6" s="735">
        <v>281199</v>
      </c>
      <c r="K6" s="735">
        <v>277208</v>
      </c>
      <c r="L6" s="735">
        <v>292404</v>
      </c>
      <c r="M6" s="735">
        <v>292394</v>
      </c>
      <c r="N6" s="737">
        <v>288770</v>
      </c>
      <c r="O6" s="736">
        <v>301731</v>
      </c>
    </row>
    <row r="7" spans="1:16">
      <c r="A7" s="741" t="s">
        <v>15</v>
      </c>
      <c r="B7" s="731">
        <v>20857</v>
      </c>
      <c r="C7" s="731">
        <v>26411</v>
      </c>
      <c r="D7" s="732">
        <v>26734.5</v>
      </c>
      <c r="E7" s="1746">
        <v>26193.5</v>
      </c>
      <c r="F7" s="735">
        <v>26353.5</v>
      </c>
      <c r="G7" s="735">
        <v>30830</v>
      </c>
      <c r="H7" s="735">
        <v>31582</v>
      </c>
      <c r="I7" s="735">
        <v>30520</v>
      </c>
      <c r="J7" s="735">
        <v>37741</v>
      </c>
      <c r="K7" s="735">
        <v>31145</v>
      </c>
      <c r="L7" s="735">
        <v>43665</v>
      </c>
      <c r="M7" s="735">
        <v>35190</v>
      </c>
      <c r="N7" s="737">
        <v>34478</v>
      </c>
      <c r="O7" s="736">
        <v>37853</v>
      </c>
    </row>
    <row r="8" spans="1:16">
      <c r="A8" s="741" t="s">
        <v>16</v>
      </c>
      <c r="B8" s="731">
        <v>42579</v>
      </c>
      <c r="C8" s="731">
        <v>45173</v>
      </c>
      <c r="D8" s="732">
        <v>53564.5</v>
      </c>
      <c r="E8" s="1746">
        <v>31601</v>
      </c>
      <c r="F8" s="735">
        <v>43507.5</v>
      </c>
      <c r="G8" s="735">
        <v>45705</v>
      </c>
      <c r="H8" s="735">
        <v>51584</v>
      </c>
      <c r="I8" s="735">
        <v>34519</v>
      </c>
      <c r="J8" s="735">
        <v>40257</v>
      </c>
      <c r="K8" s="735">
        <v>35938</v>
      </c>
      <c r="L8" s="735">
        <v>40323</v>
      </c>
      <c r="M8" s="735">
        <v>27474</v>
      </c>
      <c r="N8" s="737">
        <v>42681</v>
      </c>
      <c r="O8" s="736">
        <v>64039</v>
      </c>
    </row>
    <row r="9" spans="1:16">
      <c r="A9" s="741" t="s">
        <v>17</v>
      </c>
      <c r="B9" s="731">
        <v>218947</v>
      </c>
      <c r="C9" s="731">
        <v>198915</v>
      </c>
      <c r="D9" s="732">
        <v>198724</v>
      </c>
      <c r="E9" s="1746">
        <v>211992.5</v>
      </c>
      <c r="F9" s="735">
        <v>234505</v>
      </c>
      <c r="G9" s="735">
        <v>229492.5</v>
      </c>
      <c r="H9" s="735">
        <v>238189</v>
      </c>
      <c r="I9" s="735">
        <v>241768</v>
      </c>
      <c r="J9" s="735">
        <v>251447</v>
      </c>
      <c r="K9" s="735">
        <v>254030</v>
      </c>
      <c r="L9" s="735">
        <v>236447</v>
      </c>
      <c r="M9" s="737">
        <v>257264</v>
      </c>
      <c r="N9" s="737">
        <v>291369</v>
      </c>
      <c r="O9" s="736">
        <v>303617</v>
      </c>
    </row>
    <row r="10" spans="1:16">
      <c r="A10" s="741" t="s">
        <v>18</v>
      </c>
      <c r="B10" s="731">
        <v>74471</v>
      </c>
      <c r="C10" s="731">
        <v>94191</v>
      </c>
      <c r="D10" s="732">
        <v>93758.5</v>
      </c>
      <c r="E10" s="1746">
        <v>86665</v>
      </c>
      <c r="F10" s="735">
        <v>91077</v>
      </c>
      <c r="G10" s="735">
        <v>105664.5</v>
      </c>
      <c r="H10" s="735">
        <v>112403</v>
      </c>
      <c r="I10" s="735">
        <v>101997</v>
      </c>
      <c r="J10" s="735">
        <v>110062</v>
      </c>
      <c r="K10" s="735">
        <v>117394</v>
      </c>
      <c r="L10" s="735">
        <v>123299</v>
      </c>
      <c r="M10" s="737">
        <v>120700</v>
      </c>
      <c r="N10" s="737">
        <v>134768</v>
      </c>
      <c r="O10" s="736">
        <v>141352</v>
      </c>
    </row>
    <row r="11" spans="1:16">
      <c r="A11" s="741" t="s">
        <v>19</v>
      </c>
      <c r="B11" s="731">
        <v>68639</v>
      </c>
      <c r="C11" s="731">
        <v>69119</v>
      </c>
      <c r="D11" s="732">
        <v>69605.5</v>
      </c>
      <c r="E11" s="1746">
        <v>64356.5</v>
      </c>
      <c r="F11" s="735">
        <v>66871.5</v>
      </c>
      <c r="G11" s="735">
        <v>68018.5</v>
      </c>
      <c r="H11" s="735">
        <v>73736</v>
      </c>
      <c r="I11" s="735">
        <v>74994</v>
      </c>
      <c r="J11" s="735">
        <v>70890</v>
      </c>
      <c r="K11" s="735">
        <v>67549</v>
      </c>
      <c r="L11" s="735">
        <v>71306</v>
      </c>
      <c r="M11" s="737">
        <v>90119</v>
      </c>
      <c r="N11" s="737">
        <v>92028</v>
      </c>
      <c r="O11" s="736">
        <v>96550</v>
      </c>
    </row>
    <row r="12" spans="1:16">
      <c r="A12" s="741" t="s">
        <v>20</v>
      </c>
      <c r="B12" s="731">
        <v>48965</v>
      </c>
      <c r="C12" s="731">
        <v>51554</v>
      </c>
      <c r="D12" s="732">
        <v>44203.5</v>
      </c>
      <c r="E12" s="1746">
        <v>46757.5</v>
      </c>
      <c r="F12" s="735">
        <v>49397</v>
      </c>
      <c r="G12" s="735">
        <v>55326</v>
      </c>
      <c r="H12" s="735">
        <v>55155</v>
      </c>
      <c r="I12" s="735">
        <v>67119</v>
      </c>
      <c r="J12" s="735">
        <v>65137</v>
      </c>
      <c r="K12" s="735">
        <v>72016</v>
      </c>
      <c r="L12" s="735">
        <v>82080</v>
      </c>
      <c r="M12" s="737">
        <v>79468</v>
      </c>
      <c r="N12" s="737">
        <v>83517</v>
      </c>
      <c r="O12" s="736">
        <v>75923</v>
      </c>
    </row>
    <row r="13" spans="1:16">
      <c r="A13" s="741" t="s">
        <v>21</v>
      </c>
      <c r="B13" s="731">
        <v>154503</v>
      </c>
      <c r="C13" s="731">
        <v>137736</v>
      </c>
      <c r="D13" s="732">
        <v>140736.5</v>
      </c>
      <c r="E13" s="1746">
        <v>147544.5</v>
      </c>
      <c r="F13" s="735">
        <v>148907.5</v>
      </c>
      <c r="G13" s="735">
        <v>152563.5</v>
      </c>
      <c r="H13" s="735">
        <v>156837</v>
      </c>
      <c r="I13" s="735">
        <v>164689</v>
      </c>
      <c r="J13" s="735">
        <v>184575</v>
      </c>
      <c r="K13" s="735">
        <v>189387</v>
      </c>
      <c r="L13" s="735">
        <v>194986</v>
      </c>
      <c r="M13" s="737">
        <v>194720</v>
      </c>
      <c r="N13" s="737">
        <v>191598</v>
      </c>
      <c r="O13" s="736">
        <v>199704</v>
      </c>
    </row>
    <row r="14" spans="1:16">
      <c r="A14" s="741" t="s">
        <v>22</v>
      </c>
      <c r="B14" s="731">
        <v>368304</v>
      </c>
      <c r="C14" s="731">
        <v>393542</v>
      </c>
      <c r="D14" s="732">
        <v>403905</v>
      </c>
      <c r="E14" s="1746">
        <v>401844.5</v>
      </c>
      <c r="F14" s="735">
        <v>416197</v>
      </c>
      <c r="G14" s="735">
        <v>433943.5</v>
      </c>
      <c r="H14" s="735">
        <v>460813</v>
      </c>
      <c r="I14" s="735">
        <v>507872</v>
      </c>
      <c r="J14" s="735">
        <v>523323</v>
      </c>
      <c r="K14" s="735">
        <v>552274</v>
      </c>
      <c r="L14" s="735">
        <v>553281</v>
      </c>
      <c r="M14" s="737">
        <v>588320</v>
      </c>
      <c r="N14" s="737">
        <v>606440</v>
      </c>
      <c r="O14" s="736">
        <v>654852</v>
      </c>
    </row>
    <row r="15" spans="1:16" ht="17.25" customHeight="1">
      <c r="A15" s="572" t="s">
        <v>23</v>
      </c>
      <c r="B15" s="738">
        <f>SUM(B4:B14)</f>
        <v>1392866</v>
      </c>
      <c r="C15" s="738">
        <f>SUM(C4:C14)</f>
        <v>1420224</v>
      </c>
      <c r="D15" s="738">
        <f t="shared" ref="D15:N15" si="0">SUM(D4:D14)</f>
        <v>1481853.5</v>
      </c>
      <c r="E15" s="1748">
        <f t="shared" si="0"/>
        <v>1437260</v>
      </c>
      <c r="F15" s="739">
        <f t="shared" si="0"/>
        <v>1505582.5</v>
      </c>
      <c r="G15" s="739">
        <f t="shared" si="0"/>
        <v>1571911.5</v>
      </c>
      <c r="H15" s="739">
        <f t="shared" si="0"/>
        <v>1566047</v>
      </c>
      <c r="I15" s="739">
        <f t="shared" si="0"/>
        <v>1560994</v>
      </c>
      <c r="J15" s="739">
        <f t="shared" si="0"/>
        <v>1631129</v>
      </c>
      <c r="K15" s="739">
        <f t="shared" si="0"/>
        <v>1686216</v>
      </c>
      <c r="L15" s="739">
        <f t="shared" si="0"/>
        <v>1716228</v>
      </c>
      <c r="M15" s="739">
        <f t="shared" si="0"/>
        <v>1769801</v>
      </c>
      <c r="N15" s="739">
        <f t="shared" si="0"/>
        <v>1865496</v>
      </c>
      <c r="O15" s="740">
        <f t="shared" ref="O15" si="1">SUM(O4:O14)</f>
        <v>1965498</v>
      </c>
    </row>
    <row r="16" spans="1:16" s="94" customFormat="1" ht="13.5" customHeight="1">
      <c r="A16" s="147"/>
      <c r="B16" s="79"/>
      <c r="C16" s="79"/>
      <c r="D16" s="79"/>
      <c r="E16" s="95"/>
      <c r="F16" s="95"/>
      <c r="G16" s="95"/>
      <c r="H16" s="95"/>
      <c r="I16" s="95"/>
      <c r="J16" s="95"/>
      <c r="K16" s="95"/>
      <c r="L16" s="95"/>
    </row>
    <row r="17" spans="1:12" ht="9.75" customHeight="1">
      <c r="A17" s="30"/>
      <c r="B17" s="30"/>
      <c r="C17" s="30"/>
      <c r="D17" s="30"/>
      <c r="E17" s="96"/>
      <c r="F17" s="96"/>
      <c r="G17" s="96"/>
      <c r="H17" s="96"/>
      <c r="I17" s="96"/>
      <c r="J17" s="96"/>
      <c r="K17" s="96"/>
      <c r="L17" s="96"/>
    </row>
    <row r="18" spans="1:12">
      <c r="A18" s="96"/>
      <c r="B18" s="96"/>
      <c r="C18" s="96"/>
      <c r="D18" s="96"/>
      <c r="E18" s="96"/>
      <c r="F18" s="96"/>
      <c r="G18" s="96"/>
      <c r="H18" s="96"/>
      <c r="I18" s="96"/>
      <c r="J18" s="96"/>
      <c r="K18" s="96"/>
      <c r="L18" s="96"/>
    </row>
    <row r="19" spans="1:12">
      <c r="A19" s="96"/>
      <c r="B19" s="96"/>
      <c r="C19" s="96"/>
      <c r="D19" s="96"/>
      <c r="E19" s="96"/>
      <c r="F19" s="96"/>
      <c r="G19" s="96"/>
      <c r="H19" s="96"/>
      <c r="I19" s="96"/>
      <c r="J19" s="96"/>
      <c r="K19" s="96"/>
      <c r="L19" s="96"/>
    </row>
    <row r="20" spans="1:12">
      <c r="A20" s="96"/>
      <c r="B20" s="96"/>
      <c r="C20" s="96"/>
      <c r="D20" s="96"/>
      <c r="E20" s="96"/>
      <c r="F20" s="96"/>
      <c r="G20" s="96"/>
      <c r="H20" s="96"/>
      <c r="I20" s="96"/>
      <c r="J20" s="96"/>
      <c r="K20" s="96"/>
      <c r="L20" s="96"/>
    </row>
    <row r="21" spans="1:12">
      <c r="A21" s="96"/>
      <c r="B21" s="96"/>
      <c r="C21" s="96"/>
      <c r="D21" s="96"/>
      <c r="E21" s="96"/>
      <c r="F21" s="96"/>
      <c r="G21" s="96"/>
      <c r="H21" s="96"/>
      <c r="I21" s="96"/>
      <c r="J21" s="96"/>
      <c r="K21" s="96"/>
      <c r="L21" s="96"/>
    </row>
    <row r="22" spans="1:12">
      <c r="A22" s="96"/>
      <c r="B22" s="96"/>
      <c r="C22" s="96"/>
      <c r="D22" s="96"/>
      <c r="E22" s="96"/>
      <c r="F22" s="96"/>
      <c r="G22" s="96"/>
      <c r="H22" s="96"/>
      <c r="I22" s="96"/>
      <c r="J22" s="96"/>
      <c r="K22" s="96"/>
      <c r="L22" s="96"/>
    </row>
    <row r="23" spans="1:12">
      <c r="A23" s="96"/>
      <c r="B23" s="96"/>
      <c r="C23" s="96"/>
      <c r="D23" s="96"/>
      <c r="E23" s="96"/>
      <c r="F23" s="96"/>
      <c r="G23" s="96"/>
      <c r="H23" s="96"/>
      <c r="I23" s="96"/>
      <c r="J23" s="96"/>
      <c r="K23" s="96"/>
      <c r="L23" s="96"/>
    </row>
    <row r="24" spans="1:12">
      <c r="A24" s="96"/>
      <c r="B24" s="96"/>
      <c r="C24" s="96"/>
      <c r="D24" s="96"/>
      <c r="E24" s="96"/>
      <c r="F24" s="96"/>
      <c r="G24" s="96"/>
      <c r="H24" s="96"/>
      <c r="I24" s="96"/>
      <c r="J24" s="96"/>
      <c r="K24" s="96"/>
      <c r="L24" s="96"/>
    </row>
    <row r="25" spans="1:12">
      <c r="A25" s="96"/>
      <c r="B25" s="96"/>
      <c r="C25" s="96"/>
      <c r="D25" s="96"/>
      <c r="E25" s="96"/>
      <c r="F25" s="96"/>
      <c r="G25" s="96"/>
      <c r="H25" s="96"/>
      <c r="I25" s="96"/>
      <c r="J25" s="96"/>
      <c r="K25" s="96"/>
      <c r="L25" s="96"/>
    </row>
    <row r="26" spans="1:12">
      <c r="A26" s="96"/>
      <c r="B26" s="96"/>
      <c r="C26" s="96"/>
      <c r="D26" s="96"/>
      <c r="E26" s="96"/>
      <c r="F26" s="96"/>
      <c r="G26" s="96"/>
      <c r="H26" s="96"/>
      <c r="I26" s="96"/>
      <c r="J26" s="96"/>
      <c r="K26" s="96"/>
      <c r="L26" s="96"/>
    </row>
    <row r="27" spans="1:12">
      <c r="A27" s="96"/>
      <c r="B27" s="96"/>
      <c r="C27" s="96"/>
      <c r="D27" s="96"/>
      <c r="E27" s="96"/>
      <c r="F27" s="96"/>
      <c r="G27" s="96"/>
      <c r="H27" s="96"/>
      <c r="I27" s="96"/>
      <c r="J27" s="96"/>
      <c r="K27" s="96"/>
      <c r="L27" s="96"/>
    </row>
    <row r="28" spans="1:12">
      <c r="A28" s="96"/>
      <c r="B28" s="96"/>
      <c r="C28" s="96"/>
      <c r="D28" s="96"/>
      <c r="E28" s="96"/>
      <c r="F28" s="96"/>
      <c r="G28" s="96"/>
      <c r="H28" s="96"/>
      <c r="I28" s="96"/>
      <c r="J28" s="96"/>
      <c r="K28" s="96"/>
      <c r="L28" s="96"/>
    </row>
    <row r="29" spans="1:12">
      <c r="A29" s="96"/>
      <c r="B29" s="96"/>
      <c r="C29" s="96"/>
      <c r="D29" s="96"/>
      <c r="E29" s="96"/>
      <c r="F29" s="96"/>
      <c r="G29" s="96"/>
      <c r="H29" s="96"/>
      <c r="I29" s="96"/>
      <c r="J29" s="96"/>
      <c r="K29" s="96"/>
      <c r="L29" s="96"/>
    </row>
    <row r="30" spans="1:12">
      <c r="A30" s="96"/>
      <c r="B30" s="96"/>
      <c r="C30" s="96"/>
      <c r="D30" s="96"/>
      <c r="E30" s="96"/>
      <c r="F30" s="96"/>
      <c r="G30" s="96"/>
      <c r="H30" s="96"/>
      <c r="I30" s="96"/>
      <c r="J30" s="96"/>
      <c r="K30" s="96"/>
      <c r="L30" s="96"/>
    </row>
    <row r="31" spans="1:12">
      <c r="A31" s="96"/>
      <c r="B31" s="96"/>
      <c r="C31" s="96"/>
      <c r="D31" s="96"/>
      <c r="E31" s="96"/>
      <c r="F31" s="96"/>
      <c r="G31" s="96"/>
      <c r="H31" s="96"/>
      <c r="I31" s="96"/>
      <c r="J31" s="96"/>
      <c r="K31" s="96"/>
      <c r="L31" s="96"/>
    </row>
    <row r="32" spans="1:12">
      <c r="A32" s="96"/>
      <c r="B32" s="96"/>
      <c r="C32" s="96"/>
      <c r="D32" s="96"/>
      <c r="E32" s="96"/>
      <c r="F32" s="96"/>
      <c r="G32" s="96"/>
      <c r="H32" s="96"/>
      <c r="I32" s="96"/>
      <c r="J32" s="96"/>
      <c r="K32" s="96"/>
      <c r="L32" s="96"/>
    </row>
    <row r="33" spans="1:12">
      <c r="A33" s="96"/>
      <c r="B33" s="96"/>
      <c r="C33" s="96"/>
      <c r="D33" s="96"/>
      <c r="E33" s="96"/>
      <c r="F33" s="96"/>
      <c r="G33" s="96"/>
      <c r="H33" s="96"/>
      <c r="I33" s="96"/>
      <c r="J33" s="96"/>
      <c r="K33" s="96"/>
      <c r="L33" s="96"/>
    </row>
    <row r="34" spans="1:12">
      <c r="A34" s="96"/>
      <c r="B34" s="96"/>
      <c r="C34" s="96"/>
      <c r="D34" s="96"/>
      <c r="E34" s="96"/>
      <c r="F34" s="96"/>
      <c r="G34" s="96"/>
      <c r="H34" s="96"/>
      <c r="I34" s="96"/>
      <c r="J34" s="96"/>
      <c r="K34" s="96"/>
      <c r="L34" s="96"/>
    </row>
    <row r="35" spans="1:12">
      <c r="A35" s="96"/>
      <c r="B35" s="96"/>
      <c r="C35" s="96"/>
      <c r="D35" s="96"/>
      <c r="E35" s="96"/>
      <c r="F35" s="96"/>
      <c r="G35" s="96"/>
      <c r="H35" s="96"/>
      <c r="I35" s="96"/>
      <c r="J35" s="96"/>
      <c r="K35" s="96"/>
      <c r="L35" s="96"/>
    </row>
    <row r="36" spans="1:12">
      <c r="A36" s="96"/>
      <c r="B36" s="96"/>
      <c r="C36" s="96"/>
      <c r="D36" s="96"/>
      <c r="E36" s="96"/>
      <c r="F36" s="96"/>
      <c r="G36" s="96"/>
      <c r="H36" s="96"/>
      <c r="I36" s="96"/>
      <c r="J36" s="96"/>
      <c r="K36" s="96"/>
      <c r="L36" s="96"/>
    </row>
    <row r="37" spans="1:12">
      <c r="A37" s="96"/>
      <c r="B37" s="96"/>
      <c r="C37" s="96"/>
      <c r="D37" s="96"/>
      <c r="E37" s="96"/>
      <c r="F37" s="96"/>
      <c r="G37" s="96"/>
      <c r="H37" s="96"/>
      <c r="I37" s="96"/>
      <c r="J37" s="96"/>
      <c r="K37" s="96"/>
      <c r="L37" s="96"/>
    </row>
    <row r="38" spans="1:12">
      <c r="A38" s="96"/>
      <c r="B38" s="96"/>
      <c r="C38" s="96"/>
      <c r="D38" s="96"/>
      <c r="E38" s="96"/>
      <c r="F38" s="96"/>
      <c r="G38" s="96"/>
      <c r="H38" s="96"/>
      <c r="I38" s="96"/>
      <c r="J38" s="96"/>
      <c r="K38" s="96"/>
      <c r="L38" s="96"/>
    </row>
    <row r="39" spans="1:12">
      <c r="A39" s="96"/>
      <c r="B39" s="96"/>
      <c r="C39" s="96"/>
      <c r="D39" s="96"/>
      <c r="E39" s="96"/>
      <c r="F39" s="96"/>
      <c r="G39" s="96"/>
      <c r="H39" s="96"/>
      <c r="I39" s="96"/>
      <c r="J39" s="96"/>
      <c r="K39" s="96"/>
      <c r="L39" s="96"/>
    </row>
    <row r="40" spans="1:12">
      <c r="A40" s="96"/>
      <c r="B40" s="96"/>
      <c r="C40" s="96"/>
      <c r="D40" s="96"/>
      <c r="E40" s="96"/>
      <c r="F40" s="96"/>
      <c r="G40" s="96"/>
      <c r="H40" s="96"/>
      <c r="I40" s="96"/>
      <c r="J40" s="96"/>
      <c r="K40" s="96"/>
      <c r="L40" s="96"/>
    </row>
    <row r="41" spans="1:12">
      <c r="A41" s="96"/>
      <c r="B41" s="96"/>
      <c r="C41" s="96"/>
      <c r="D41" s="96"/>
      <c r="E41" s="96"/>
      <c r="F41" s="96"/>
      <c r="G41" s="96"/>
      <c r="H41" s="96"/>
      <c r="I41" s="96"/>
      <c r="J41" s="96"/>
      <c r="K41" s="96"/>
      <c r="L41" s="96"/>
    </row>
    <row r="42" spans="1:12">
      <c r="A42" s="96"/>
      <c r="B42" s="96"/>
      <c r="C42" s="96"/>
      <c r="D42" s="96"/>
      <c r="E42" s="96"/>
      <c r="F42" s="96"/>
      <c r="G42" s="96"/>
      <c r="H42" s="96"/>
      <c r="I42" s="96"/>
      <c r="J42" s="96"/>
      <c r="K42" s="96"/>
      <c r="L42" s="96"/>
    </row>
    <row r="43" spans="1:12">
      <c r="A43" s="96"/>
      <c r="B43" s="96"/>
      <c r="C43" s="96"/>
      <c r="D43" s="96"/>
      <c r="E43" s="96"/>
      <c r="F43" s="96"/>
      <c r="G43" s="96"/>
      <c r="H43" s="96"/>
      <c r="I43" s="96"/>
      <c r="J43" s="96"/>
      <c r="K43" s="96"/>
      <c r="L43" s="96"/>
    </row>
    <row r="44" spans="1:12">
      <c r="A44" s="96"/>
      <c r="B44" s="96"/>
      <c r="C44" s="96"/>
      <c r="D44" s="96"/>
      <c r="E44" s="96"/>
      <c r="F44" s="96"/>
      <c r="G44" s="96"/>
      <c r="H44" s="96"/>
      <c r="I44" s="96"/>
      <c r="J44" s="96"/>
      <c r="K44" s="96"/>
      <c r="L44" s="96"/>
    </row>
    <row r="45" spans="1:12">
      <c r="A45" s="96"/>
      <c r="B45" s="96"/>
      <c r="C45" s="96"/>
      <c r="D45" s="96"/>
      <c r="E45" s="96"/>
      <c r="F45" s="96"/>
      <c r="G45" s="96"/>
      <c r="H45" s="96"/>
      <c r="I45" s="96"/>
      <c r="J45" s="96"/>
      <c r="K45" s="96"/>
      <c r="L45" s="96"/>
    </row>
    <row r="46" spans="1:12" ht="11.25" customHeight="1">
      <c r="A46" s="96"/>
      <c r="B46" s="96"/>
      <c r="C46" s="96"/>
      <c r="D46" s="96"/>
      <c r="E46" s="96"/>
      <c r="F46" s="96"/>
      <c r="G46" s="96"/>
      <c r="H46" s="96"/>
      <c r="I46" s="96"/>
      <c r="J46" s="96"/>
      <c r="K46" s="96"/>
      <c r="L46" s="96"/>
    </row>
    <row r="47" spans="1:12">
      <c r="A47" s="96"/>
      <c r="B47" s="96"/>
      <c r="C47" s="96"/>
      <c r="D47" s="96"/>
      <c r="E47" s="96"/>
      <c r="F47" s="96"/>
      <c r="G47" s="96"/>
      <c r="H47" s="96"/>
      <c r="I47" s="96"/>
      <c r="J47" s="96"/>
      <c r="K47" s="96"/>
      <c r="L47" s="96"/>
    </row>
  </sheetData>
  <mergeCells count="2">
    <mergeCell ref="A1:P1"/>
    <mergeCell ref="A2:P2"/>
  </mergeCells>
  <printOptions horizontalCentered="1" verticalCentered="1"/>
  <pageMargins left="0.39370078740157499" right="0.39370078740157499" top="0.23622047244094499" bottom="0.157" header="0.23599999999999999" footer="0.157"/>
  <pageSetup scale="72" orientation="landscape" r:id="rId1"/>
  <drawing r:id="rId2"/>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4">
    <tabColor rgb="FFFF0000"/>
    <pageSetUpPr fitToPage="1"/>
  </sheetPr>
  <dimension ref="A1:O58"/>
  <sheetViews>
    <sheetView showGridLines="0" view="pageBreakPreview" zoomScale="85" zoomScaleNormal="100" zoomScaleSheetLayoutView="85" workbookViewId="0">
      <pane ySplit="1" topLeftCell="A2" activePane="bottomLeft" state="frozen"/>
      <selection activeCell="P10" sqref="P10"/>
      <selection pane="bottomLeft" activeCell="M33" sqref="M33"/>
    </sheetView>
  </sheetViews>
  <sheetFormatPr baseColWidth="10" defaultColWidth="11.42578125" defaultRowHeight="15"/>
  <cols>
    <col min="1" max="1" width="11.42578125" style="77"/>
    <col min="2" max="2" width="14.5703125" style="77" customWidth="1"/>
    <col min="3" max="3" width="17.140625" style="77" customWidth="1"/>
    <col min="4" max="4" width="20.7109375" style="77" customWidth="1"/>
    <col min="5" max="5" width="14.7109375" style="77" customWidth="1"/>
    <col min="6" max="6" width="15" style="43" customWidth="1"/>
    <col min="7" max="7" width="17.5703125" style="77" customWidth="1"/>
    <col min="8" max="9" width="16.28515625" style="77" customWidth="1"/>
    <col min="10" max="10" width="17" style="77" customWidth="1"/>
    <col min="11" max="11" width="11.42578125" style="77"/>
    <col min="12" max="12" width="6.28515625" style="77" customWidth="1"/>
    <col min="13" max="13" width="12.28515625" style="77" bestFit="1" customWidth="1"/>
    <col min="14" max="14" width="16.28515625" style="77" bestFit="1" customWidth="1"/>
    <col min="15" max="21" width="11.42578125" style="77"/>
    <col min="22" max="22" width="12.28515625" style="77" bestFit="1" customWidth="1"/>
    <col min="23" max="16384" width="11.42578125" style="77"/>
  </cols>
  <sheetData>
    <row r="1" spans="1:14" ht="75" customHeight="1">
      <c r="A1" s="2210"/>
      <c r="B1" s="2211"/>
      <c r="C1" s="2211"/>
      <c r="D1" s="2211"/>
      <c r="E1" s="2211"/>
      <c r="F1" s="2211"/>
      <c r="G1" s="2211"/>
      <c r="H1" s="2211"/>
      <c r="I1" s="2211"/>
      <c r="J1" s="2211"/>
      <c r="K1" s="2211"/>
      <c r="L1" s="2211"/>
    </row>
    <row r="2" spans="1:14" ht="6" customHeight="1">
      <c r="A2" s="2212"/>
      <c r="B2" s="2212"/>
      <c r="C2" s="2212"/>
      <c r="D2" s="2212"/>
      <c r="E2" s="2212"/>
      <c r="F2" s="2212"/>
      <c r="G2" s="2212"/>
      <c r="H2" s="2212"/>
      <c r="I2" s="2212"/>
      <c r="J2" s="2212"/>
      <c r="K2" s="2212"/>
      <c r="L2" s="2212"/>
    </row>
    <row r="3" spans="1:14" ht="45.75" customHeight="1">
      <c r="A3" s="730" t="s">
        <v>0</v>
      </c>
      <c r="B3" s="312" t="s">
        <v>33</v>
      </c>
      <c r="C3" s="312" t="s">
        <v>201</v>
      </c>
      <c r="D3" s="312" t="s">
        <v>202</v>
      </c>
      <c r="E3" s="312" t="s">
        <v>1</v>
      </c>
      <c r="F3" s="312" t="s">
        <v>449</v>
      </c>
      <c r="G3" s="312" t="s">
        <v>408</v>
      </c>
      <c r="H3" s="312" t="s">
        <v>174</v>
      </c>
      <c r="I3" s="312" t="s">
        <v>2</v>
      </c>
      <c r="J3" s="312" t="s">
        <v>3</v>
      </c>
      <c r="K3" s="313" t="s">
        <v>175</v>
      </c>
      <c r="L3" s="1"/>
    </row>
    <row r="4" spans="1:14" ht="18" hidden="1" customHeight="1">
      <c r="A4" s="447" t="s">
        <v>147</v>
      </c>
      <c r="B4" s="445"/>
      <c r="C4" s="445">
        <f>D4+K4</f>
        <v>6764678</v>
      </c>
      <c r="D4" s="723">
        <f>E4+H4</f>
        <v>3701525</v>
      </c>
      <c r="E4" s="723">
        <f>F4+G4</f>
        <v>3104294</v>
      </c>
      <c r="F4" s="723">
        <v>1392866</v>
      </c>
      <c r="G4" s="723">
        <v>1711428</v>
      </c>
      <c r="H4" s="445">
        <f>I4+J4</f>
        <v>597231</v>
      </c>
      <c r="I4" s="445">
        <v>329439</v>
      </c>
      <c r="J4" s="445">
        <v>267792</v>
      </c>
      <c r="K4" s="725">
        <v>3063153</v>
      </c>
      <c r="L4" s="1"/>
      <c r="N4" s="49"/>
    </row>
    <row r="5" spans="1:14" ht="16.5" hidden="1" customHeight="1">
      <c r="A5" s="447" t="s">
        <v>4</v>
      </c>
      <c r="B5" s="722">
        <f>+'[3]I.1.1 Cobertura SDSS '!E4</f>
        <v>8742318</v>
      </c>
      <c r="C5" s="722">
        <f>D5+K5</f>
        <v>6826593</v>
      </c>
      <c r="D5" s="724">
        <f>E5+H5</f>
        <v>3731676</v>
      </c>
      <c r="E5" s="724">
        <f>F5+G5</f>
        <v>3098443</v>
      </c>
      <c r="F5" s="723">
        <v>1420224</v>
      </c>
      <c r="G5" s="723">
        <v>1678219</v>
      </c>
      <c r="H5" s="722">
        <f>I5+J5</f>
        <v>633233</v>
      </c>
      <c r="I5" s="445">
        <v>395034</v>
      </c>
      <c r="J5" s="445">
        <v>238199</v>
      </c>
      <c r="K5" s="725">
        <v>3094917</v>
      </c>
      <c r="N5" s="49"/>
    </row>
    <row r="6" spans="1:14" ht="15" hidden="1" customHeight="1">
      <c r="A6" s="447" t="s">
        <v>5</v>
      </c>
      <c r="B6" s="722">
        <f>+'[3]I.1.1 Cobertura SDSS '!E5</f>
        <v>8855026</v>
      </c>
      <c r="C6" s="722">
        <v>6981868.5</v>
      </c>
      <c r="D6" s="724">
        <v>3933660.5</v>
      </c>
      <c r="E6" s="724">
        <v>3209932</v>
      </c>
      <c r="F6" s="723">
        <v>1481853.5</v>
      </c>
      <c r="G6" s="723">
        <v>1727862.5</v>
      </c>
      <c r="H6" s="722">
        <v>723728.5</v>
      </c>
      <c r="I6" s="445">
        <v>391070.5</v>
      </c>
      <c r="J6" s="445">
        <v>332658</v>
      </c>
      <c r="K6" s="725">
        <v>3048208</v>
      </c>
      <c r="N6" s="49"/>
    </row>
    <row r="7" spans="1:14" ht="14.25" customHeight="1">
      <c r="A7" s="447" t="s">
        <v>6</v>
      </c>
      <c r="B7" s="747">
        <v>8968144</v>
      </c>
      <c r="C7" s="745">
        <v>7144758</v>
      </c>
      <c r="D7" s="744">
        <v>3992211</v>
      </c>
      <c r="E7" s="743">
        <v>3276373</v>
      </c>
      <c r="F7" s="744">
        <v>1437260</v>
      </c>
      <c r="G7" s="744">
        <v>1839113</v>
      </c>
      <c r="H7" s="742">
        <v>715838</v>
      </c>
      <c r="I7" s="745">
        <v>415113</v>
      </c>
      <c r="J7" s="745">
        <v>300725</v>
      </c>
      <c r="K7" s="746">
        <v>3152547</v>
      </c>
      <c r="N7" s="49"/>
    </row>
    <row r="8" spans="1:14" ht="13.5" customHeight="1">
      <c r="A8" s="447" t="s">
        <v>7</v>
      </c>
      <c r="B8" s="589">
        <v>9072308</v>
      </c>
      <c r="C8" s="445">
        <v>7320436</v>
      </c>
      <c r="D8" s="723">
        <v>4100433</v>
      </c>
      <c r="E8" s="724">
        <v>3435086</v>
      </c>
      <c r="F8" s="723">
        <v>1505582.5</v>
      </c>
      <c r="G8" s="723">
        <v>1929503.5</v>
      </c>
      <c r="H8" s="722">
        <v>665347</v>
      </c>
      <c r="I8" s="445">
        <v>352829</v>
      </c>
      <c r="J8" s="445">
        <v>312518</v>
      </c>
      <c r="K8" s="725">
        <v>3220003</v>
      </c>
      <c r="N8" s="49"/>
    </row>
    <row r="9" spans="1:14" ht="12.75" customHeight="1">
      <c r="A9" s="447" t="s">
        <v>8</v>
      </c>
      <c r="B9" s="589">
        <v>9175265</v>
      </c>
      <c r="C9" s="445">
        <v>7484808</v>
      </c>
      <c r="D9" s="723">
        <v>4202277</v>
      </c>
      <c r="E9" s="724">
        <v>3548304</v>
      </c>
      <c r="F9" s="723">
        <v>1571911.5</v>
      </c>
      <c r="G9" s="723">
        <v>1976392.5</v>
      </c>
      <c r="H9" s="722">
        <v>653973</v>
      </c>
      <c r="I9" s="445">
        <v>336868</v>
      </c>
      <c r="J9" s="445">
        <v>317105</v>
      </c>
      <c r="K9" s="725">
        <v>3282531</v>
      </c>
      <c r="N9" s="49"/>
    </row>
    <row r="10" spans="1:14" ht="15" customHeight="1">
      <c r="A10" s="447" t="s">
        <v>9</v>
      </c>
      <c r="B10" s="589">
        <v>9277181</v>
      </c>
      <c r="C10" s="445">
        <v>7663945</v>
      </c>
      <c r="D10" s="723">
        <v>4256447</v>
      </c>
      <c r="E10" s="724">
        <v>3653946</v>
      </c>
      <c r="F10" s="723">
        <v>1566047</v>
      </c>
      <c r="G10" s="723">
        <v>2087899</v>
      </c>
      <c r="H10" s="722">
        <v>602501</v>
      </c>
      <c r="I10" s="445">
        <v>264997</v>
      </c>
      <c r="J10" s="445">
        <v>337504</v>
      </c>
      <c r="K10" s="725">
        <v>3407498</v>
      </c>
      <c r="N10" s="49"/>
    </row>
    <row r="11" spans="1:14" ht="15.75" customHeight="1">
      <c r="A11" s="447" t="s">
        <v>10</v>
      </c>
      <c r="B11" s="589">
        <v>9378455</v>
      </c>
      <c r="C11" s="445">
        <v>7848901</v>
      </c>
      <c r="D11" s="723">
        <v>4221883</v>
      </c>
      <c r="E11" s="724">
        <v>3593988</v>
      </c>
      <c r="F11" s="445">
        <v>1560994</v>
      </c>
      <c r="G11" s="445">
        <v>2032994</v>
      </c>
      <c r="H11" s="722">
        <v>627895</v>
      </c>
      <c r="I11" s="445">
        <v>318576</v>
      </c>
      <c r="J11" s="445">
        <v>309319</v>
      </c>
      <c r="K11" s="725">
        <v>3627018</v>
      </c>
      <c r="N11" s="49"/>
    </row>
    <row r="12" spans="1:14" ht="14.25" customHeight="1">
      <c r="A12" s="447" t="s">
        <v>148</v>
      </c>
      <c r="B12" s="589">
        <v>9478612</v>
      </c>
      <c r="C12" s="445">
        <v>7967202</v>
      </c>
      <c r="D12" s="723">
        <v>4378866</v>
      </c>
      <c r="E12" s="724">
        <v>3753529</v>
      </c>
      <c r="F12" s="445">
        <v>1631129</v>
      </c>
      <c r="G12" s="445">
        <v>2122400</v>
      </c>
      <c r="H12" s="722">
        <v>625337</v>
      </c>
      <c r="I12" s="445">
        <v>314055</v>
      </c>
      <c r="J12" s="445">
        <v>311282</v>
      </c>
      <c r="K12" s="725">
        <v>3588336</v>
      </c>
      <c r="N12" s="49"/>
    </row>
    <row r="13" spans="1:14" ht="15.75">
      <c r="A13" s="447" t="s">
        <v>224</v>
      </c>
      <c r="B13" s="589">
        <v>9579983</v>
      </c>
      <c r="C13" s="445">
        <v>8144337</v>
      </c>
      <c r="D13" s="723">
        <v>4580813</v>
      </c>
      <c r="E13" s="724">
        <v>3912405</v>
      </c>
      <c r="F13" s="445">
        <v>1686216</v>
      </c>
      <c r="G13" s="445">
        <v>2226189</v>
      </c>
      <c r="H13" s="722">
        <v>668408</v>
      </c>
      <c r="I13" s="445">
        <v>368019</v>
      </c>
      <c r="J13" s="445">
        <v>300389</v>
      </c>
      <c r="K13" s="725">
        <v>3563524</v>
      </c>
      <c r="N13" s="49"/>
    </row>
    <row r="14" spans="1:14" ht="15.75">
      <c r="A14" s="447" t="s">
        <v>482</v>
      </c>
      <c r="B14" s="589">
        <v>9680534</v>
      </c>
      <c r="C14" s="445">
        <v>8276419</v>
      </c>
      <c r="D14" s="723">
        <v>4677824</v>
      </c>
      <c r="E14" s="724">
        <v>3990748</v>
      </c>
      <c r="F14" s="445">
        <v>1716228</v>
      </c>
      <c r="G14" s="445">
        <v>2274520</v>
      </c>
      <c r="H14" s="722">
        <v>687076</v>
      </c>
      <c r="I14" s="445">
        <v>377404</v>
      </c>
      <c r="J14" s="445">
        <v>309672</v>
      </c>
      <c r="K14" s="725">
        <v>3598595</v>
      </c>
      <c r="N14" s="49"/>
    </row>
    <row r="15" spans="1:14" ht="15.75">
      <c r="A15" s="447" t="s">
        <v>561</v>
      </c>
      <c r="B15" s="589">
        <v>9780743</v>
      </c>
      <c r="C15" s="445">
        <v>8422139</v>
      </c>
      <c r="D15" s="723">
        <v>4728655</v>
      </c>
      <c r="E15" s="724">
        <v>4018420</v>
      </c>
      <c r="F15" s="445">
        <v>1769801</v>
      </c>
      <c r="G15" s="445">
        <v>2248619</v>
      </c>
      <c r="H15" s="722">
        <v>710235</v>
      </c>
      <c r="I15" s="445">
        <v>404825</v>
      </c>
      <c r="J15" s="445">
        <v>305410</v>
      </c>
      <c r="K15" s="725">
        <v>3693484</v>
      </c>
    </row>
    <row r="16" spans="1:14" ht="15.75">
      <c r="A16" s="447" t="s">
        <v>569</v>
      </c>
      <c r="B16" s="589">
        <v>9880505</v>
      </c>
      <c r="C16" s="445">
        <v>8571213</v>
      </c>
      <c r="D16" s="723">
        <v>4913588</v>
      </c>
      <c r="E16" s="724">
        <v>4199885</v>
      </c>
      <c r="F16" s="445">
        <v>1865496</v>
      </c>
      <c r="G16" s="445">
        <v>2334389</v>
      </c>
      <c r="H16" s="722">
        <v>713703</v>
      </c>
      <c r="I16" s="445">
        <v>403839</v>
      </c>
      <c r="J16" s="445">
        <v>309864</v>
      </c>
      <c r="K16" s="725">
        <v>3657625</v>
      </c>
    </row>
    <row r="17" spans="1:15" ht="15.75">
      <c r="A17" s="461" t="s">
        <v>947</v>
      </c>
      <c r="B17" s="748">
        <v>10028012</v>
      </c>
      <c r="C17" s="728">
        <v>8699672</v>
      </c>
      <c r="D17" s="749">
        <v>5012107</v>
      </c>
      <c r="E17" s="727">
        <f>F17+G17</f>
        <v>4309050</v>
      </c>
      <c r="F17" s="728">
        <v>1965498</v>
      </c>
      <c r="G17" s="728">
        <v>2343552</v>
      </c>
      <c r="H17" s="726">
        <f>I17+J17</f>
        <v>974155</v>
      </c>
      <c r="I17" s="728">
        <f>174422+375878</f>
        <v>550300</v>
      </c>
      <c r="J17" s="728">
        <f>327179+96676</f>
        <v>423855</v>
      </c>
      <c r="K17" s="729">
        <v>3687565</v>
      </c>
    </row>
    <row r="18" spans="1:15">
      <c r="A18" s="95"/>
      <c r="B18" s="95"/>
      <c r="C18" s="95"/>
      <c r="D18" s="95"/>
      <c r="E18" s="95"/>
      <c r="F18" s="95"/>
      <c r="G18" s="95"/>
      <c r="H18" s="95"/>
      <c r="I18" s="95"/>
      <c r="J18" s="95"/>
      <c r="K18" s="95"/>
    </row>
    <row r="19" spans="1:15">
      <c r="A19" s="95"/>
      <c r="B19" s="95"/>
      <c r="C19" s="95"/>
      <c r="D19" s="95"/>
      <c r="E19" s="95"/>
      <c r="F19" s="78"/>
      <c r="G19" s="95"/>
      <c r="H19" s="95"/>
      <c r="I19" s="95"/>
      <c r="J19" s="95"/>
      <c r="K19" s="95"/>
    </row>
    <row r="20" spans="1:15">
      <c r="A20" s="95"/>
      <c r="B20" s="95"/>
      <c r="C20" s="95"/>
      <c r="D20" s="95"/>
      <c r="E20" s="95"/>
      <c r="F20" s="78"/>
      <c r="G20" s="95"/>
      <c r="H20" s="95"/>
      <c r="I20" s="95"/>
      <c r="J20" s="95"/>
      <c r="K20" s="95"/>
      <c r="N20" s="49"/>
      <c r="O20" s="49"/>
    </row>
    <row r="21" spans="1:15">
      <c r="A21" s="95"/>
      <c r="B21" s="95"/>
      <c r="C21" s="95"/>
      <c r="D21" s="95"/>
      <c r="E21" s="95"/>
      <c r="F21" s="78"/>
      <c r="G21" s="95"/>
      <c r="H21" s="95"/>
      <c r="I21" s="95"/>
      <c r="J21" s="95"/>
      <c r="K21" s="95"/>
      <c r="N21" s="49"/>
      <c r="O21" s="49"/>
    </row>
    <row r="22" spans="1:15">
      <c r="A22" s="95"/>
      <c r="B22" s="95"/>
      <c r="C22" s="95"/>
      <c r="D22" s="95"/>
      <c r="E22" s="95"/>
      <c r="F22" s="78"/>
      <c r="G22" s="95"/>
      <c r="H22" s="95"/>
      <c r="I22" s="95"/>
      <c r="J22" s="95"/>
      <c r="K22" s="95"/>
      <c r="N22" s="49"/>
      <c r="O22" s="49"/>
    </row>
    <row r="23" spans="1:15">
      <c r="A23" s="95"/>
      <c r="B23" s="95"/>
      <c r="C23" s="95"/>
      <c r="D23" s="95"/>
      <c r="E23" s="95"/>
      <c r="F23" s="78"/>
      <c r="G23" s="95"/>
      <c r="H23" s="95"/>
      <c r="I23" s="95"/>
      <c r="J23" s="95"/>
      <c r="K23" s="95"/>
      <c r="O23" s="49"/>
    </row>
    <row r="24" spans="1:15">
      <c r="A24" s="95"/>
      <c r="B24" s="95"/>
      <c r="C24" s="95"/>
      <c r="D24" s="95"/>
      <c r="E24" s="95"/>
      <c r="F24" s="78"/>
      <c r="G24" s="95"/>
      <c r="H24" s="95"/>
      <c r="I24" s="95"/>
      <c r="J24" s="95"/>
      <c r="K24" s="95"/>
      <c r="O24" s="49"/>
    </row>
    <row r="25" spans="1:15">
      <c r="A25" s="95"/>
      <c r="B25" s="95"/>
      <c r="C25" s="95"/>
      <c r="D25" s="95"/>
      <c r="E25" s="95"/>
      <c r="F25" s="78"/>
      <c r="G25" s="95"/>
      <c r="H25" s="95"/>
      <c r="I25" s="95"/>
      <c r="J25" s="95"/>
      <c r="K25" s="95"/>
      <c r="O25" s="49"/>
    </row>
    <row r="26" spans="1:15">
      <c r="A26" s="95"/>
      <c r="B26" s="95"/>
      <c r="C26" s="95"/>
      <c r="D26" s="95"/>
      <c r="E26" s="95"/>
      <c r="F26" s="78"/>
      <c r="G26" s="95"/>
      <c r="H26" s="95"/>
      <c r="I26" s="95"/>
      <c r="J26" s="95"/>
      <c r="K26" s="95"/>
      <c r="O26" s="49"/>
    </row>
    <row r="27" spans="1:15">
      <c r="A27" s="95"/>
      <c r="B27" s="95"/>
      <c r="C27" s="95"/>
      <c r="D27" s="95"/>
      <c r="E27" s="95"/>
      <c r="F27" s="78"/>
      <c r="G27" s="95"/>
      <c r="H27" s="95"/>
      <c r="I27" s="95"/>
      <c r="J27" s="95"/>
      <c r="K27" s="95"/>
      <c r="O27" s="49"/>
    </row>
    <row r="28" spans="1:15">
      <c r="A28" s="95"/>
      <c r="B28" s="95"/>
      <c r="C28" s="95"/>
      <c r="D28" s="95"/>
      <c r="E28" s="95"/>
      <c r="F28" s="78"/>
      <c r="G28" s="95"/>
      <c r="H28" s="95"/>
      <c r="I28" s="95"/>
      <c r="J28" s="95"/>
      <c r="K28" s="95"/>
      <c r="O28" s="49"/>
    </row>
    <row r="29" spans="1:15">
      <c r="A29" s="95"/>
      <c r="B29" s="95"/>
      <c r="C29" s="95"/>
      <c r="D29" s="95"/>
      <c r="E29" s="95"/>
      <c r="F29" s="78"/>
      <c r="G29" s="95"/>
      <c r="H29" s="95"/>
      <c r="I29" s="95"/>
      <c r="J29" s="95"/>
      <c r="K29" s="95"/>
      <c r="O29" s="49"/>
    </row>
    <row r="30" spans="1:15">
      <c r="A30" s="95"/>
      <c r="B30" s="95"/>
      <c r="C30" s="95"/>
      <c r="D30" s="95"/>
      <c r="E30" s="95"/>
      <c r="F30" s="78"/>
      <c r="G30" s="95"/>
      <c r="H30" s="95"/>
      <c r="I30" s="95"/>
      <c r="J30" s="95"/>
      <c r="K30" s="95"/>
    </row>
    <row r="31" spans="1:15">
      <c r="A31" s="95"/>
      <c r="B31" s="95"/>
      <c r="C31" s="95"/>
      <c r="D31" s="95"/>
      <c r="E31" s="95"/>
      <c r="F31" s="78"/>
      <c r="G31" s="95"/>
      <c r="H31" s="95"/>
      <c r="I31" s="95"/>
      <c r="J31" s="95"/>
      <c r="K31" s="95"/>
    </row>
    <row r="32" spans="1:15">
      <c r="A32" s="95"/>
      <c r="B32" s="95"/>
      <c r="C32" s="95"/>
      <c r="D32" s="95"/>
      <c r="E32" s="95"/>
      <c r="F32" s="78"/>
      <c r="G32" s="95"/>
      <c r="H32" s="95"/>
      <c r="I32" s="95"/>
      <c r="J32" s="95"/>
      <c r="K32" s="95"/>
    </row>
    <row r="33" spans="1:11">
      <c r="A33" s="95"/>
      <c r="B33" s="95"/>
      <c r="C33" s="95"/>
      <c r="D33" s="95"/>
      <c r="E33" s="95"/>
      <c r="F33" s="78"/>
      <c r="G33" s="95"/>
      <c r="H33" s="95"/>
      <c r="I33" s="95"/>
      <c r="J33" s="95"/>
      <c r="K33" s="95"/>
    </row>
    <row r="34" spans="1:11">
      <c r="A34" s="95"/>
      <c r="B34" s="95"/>
      <c r="C34" s="95"/>
      <c r="D34" s="95"/>
      <c r="E34" s="95"/>
      <c r="F34" s="78"/>
      <c r="G34" s="95"/>
      <c r="H34" s="95"/>
      <c r="I34" s="95"/>
      <c r="J34" s="95"/>
      <c r="K34" s="95"/>
    </row>
    <row r="35" spans="1:11">
      <c r="A35" s="95"/>
      <c r="B35" s="95"/>
      <c r="C35" s="95"/>
      <c r="D35" s="95"/>
      <c r="E35" s="95"/>
      <c r="F35" s="78"/>
      <c r="G35" s="95"/>
      <c r="H35" s="95"/>
      <c r="I35" s="95"/>
      <c r="J35" s="95"/>
      <c r="K35" s="95"/>
    </row>
    <row r="36" spans="1:11">
      <c r="A36" s="95"/>
      <c r="B36" s="95"/>
      <c r="C36" s="95"/>
      <c r="D36" s="95"/>
      <c r="E36" s="95"/>
      <c r="F36" s="78"/>
      <c r="G36" s="95"/>
      <c r="H36" s="95"/>
      <c r="I36" s="95"/>
      <c r="J36" s="95"/>
      <c r="K36" s="95"/>
    </row>
    <row r="37" spans="1:11">
      <c r="A37" s="95"/>
      <c r="B37" s="95"/>
      <c r="C37" s="95"/>
      <c r="D37" s="95"/>
      <c r="E37" s="95"/>
      <c r="F37" s="78"/>
      <c r="G37" s="95"/>
      <c r="H37" s="95"/>
      <c r="I37" s="95"/>
      <c r="J37" s="95"/>
      <c r="K37" s="95"/>
    </row>
    <row r="38" spans="1:11">
      <c r="A38" s="95"/>
      <c r="B38" s="95"/>
      <c r="C38" s="95"/>
      <c r="D38" s="95"/>
      <c r="E38" s="95"/>
      <c r="F38" s="78"/>
      <c r="G38" s="95"/>
      <c r="H38" s="95"/>
      <c r="I38" s="95"/>
      <c r="J38" s="95"/>
      <c r="K38" s="95"/>
    </row>
    <row r="39" spans="1:11" ht="3" customHeight="1">
      <c r="A39" s="51"/>
      <c r="B39" s="51"/>
      <c r="C39" s="51"/>
      <c r="D39" s="51"/>
      <c r="E39" s="51"/>
      <c r="F39" s="51"/>
      <c r="G39" s="51"/>
      <c r="H39" s="51"/>
      <c r="I39" s="51"/>
      <c r="J39" s="51"/>
      <c r="K39" s="51"/>
    </row>
    <row r="40" spans="1:11">
      <c r="A40" s="96"/>
      <c r="B40" s="96"/>
      <c r="C40" s="96"/>
      <c r="D40" s="96"/>
      <c r="E40" s="96"/>
      <c r="F40" s="42"/>
      <c r="G40" s="96"/>
      <c r="H40" s="96"/>
      <c r="I40" s="96"/>
      <c r="J40" s="96"/>
      <c r="K40" s="96"/>
    </row>
    <row r="43" spans="1:11">
      <c r="A43" s="96"/>
      <c r="B43" s="96"/>
      <c r="C43" s="96"/>
      <c r="D43" s="96"/>
      <c r="E43" s="96"/>
      <c r="F43" s="42"/>
      <c r="G43" s="96"/>
      <c r="H43" s="96"/>
      <c r="I43" s="96"/>
      <c r="J43" s="96"/>
      <c r="K43" s="96"/>
    </row>
    <row r="58" spans="7:7">
      <c r="G58" s="77">
        <f>2600+350+1150</f>
        <v>4100</v>
      </c>
    </row>
  </sheetData>
  <mergeCells count="2">
    <mergeCell ref="A1:L1"/>
    <mergeCell ref="A2:L2"/>
  </mergeCells>
  <printOptions horizontalCentered="1" verticalCentered="1"/>
  <pageMargins left="0.39370078740157483" right="0.39370078740157483" top="0.23622047244094491" bottom="0.15748031496062992" header="0.23622047244094491" footer="0.15748031496062992"/>
  <pageSetup scale="73" orientation="landscape" r:id="rId1"/>
  <drawing r:id="rId2"/>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5">
    <tabColor rgb="FFFFFF00"/>
    <pageSetUpPr fitToPage="1"/>
  </sheetPr>
  <dimension ref="A1:AG91"/>
  <sheetViews>
    <sheetView showGridLines="0" view="pageBreakPreview" zoomScale="55" zoomScaleNormal="100" zoomScaleSheetLayoutView="55" zoomScalePageLayoutView="62" workbookViewId="0">
      <selection activeCell="Q2" sqref="Q2"/>
    </sheetView>
  </sheetViews>
  <sheetFormatPr baseColWidth="10" defaultColWidth="11.42578125" defaultRowHeight="15"/>
  <cols>
    <col min="1" max="1" width="18.42578125" style="77" customWidth="1"/>
    <col min="2" max="2" width="20" style="77" customWidth="1"/>
    <col min="3" max="3" width="19.140625" style="77" customWidth="1"/>
    <col min="4" max="4" width="16.140625" style="77" customWidth="1"/>
    <col min="5" max="5" width="19.42578125" style="77" customWidth="1"/>
    <col min="6" max="6" width="16.85546875" style="77" customWidth="1"/>
    <col min="7" max="7" width="16.42578125" style="77" customWidth="1"/>
    <col min="8" max="8" width="14.85546875" style="77" customWidth="1"/>
    <col min="9" max="9" width="22.42578125" style="77" customWidth="1"/>
    <col min="10" max="10" width="18.7109375" style="77" customWidth="1"/>
    <col min="11" max="11" width="17.140625" style="77" customWidth="1"/>
    <col min="12" max="12" width="24.28515625" style="77" customWidth="1"/>
    <col min="13" max="13" width="16.85546875" style="77" customWidth="1"/>
    <col min="14" max="14" width="16.28515625" style="77" customWidth="1"/>
    <col min="15" max="15" width="15" style="77" customWidth="1"/>
    <col min="16" max="16" width="41.85546875" style="77" customWidth="1"/>
    <col min="17" max="17" width="18" style="77" bestFit="1" customWidth="1"/>
    <col min="18" max="18" width="17.42578125" style="77" customWidth="1"/>
    <col min="19" max="19" width="24.7109375" style="77" customWidth="1"/>
    <col min="20" max="20" width="20.42578125" style="77" customWidth="1"/>
    <col min="21" max="21" width="14.7109375" style="77" customWidth="1"/>
    <col min="22" max="22" width="13" style="77" customWidth="1"/>
    <col min="23" max="26" width="11.42578125" style="77"/>
    <col min="27" max="27" width="18.7109375" style="77" bestFit="1" customWidth="1"/>
    <col min="28" max="16384" width="11.42578125" style="77"/>
  </cols>
  <sheetData>
    <row r="1" spans="1:33" s="783" customFormat="1" ht="90.75" customHeight="1">
      <c r="A1" s="2213"/>
      <c r="B1" s="2213"/>
      <c r="C1" s="2213"/>
      <c r="D1" s="2213"/>
      <c r="E1" s="2213"/>
      <c r="F1" s="2213"/>
      <c r="G1" s="2213"/>
      <c r="H1" s="2213"/>
      <c r="I1" s="2213"/>
      <c r="J1" s="2213"/>
      <c r="K1" s="2213"/>
      <c r="L1" s="2213"/>
      <c r="M1" s="2213"/>
      <c r="N1" s="2213"/>
      <c r="O1" s="2213"/>
      <c r="P1" s="2213"/>
    </row>
    <row r="2" spans="1:33" ht="357.75" customHeight="1">
      <c r="A2" s="2214" t="s">
        <v>415</v>
      </c>
      <c r="B2" s="2215"/>
      <c r="C2" s="2215"/>
      <c r="D2" s="2215"/>
      <c r="E2" s="2215"/>
      <c r="F2" s="2215"/>
      <c r="G2" s="2215"/>
      <c r="H2" s="2215"/>
      <c r="I2" s="2215"/>
      <c r="J2" s="2215"/>
      <c r="K2" s="2215"/>
      <c r="L2" s="2215"/>
      <c r="M2" s="2215"/>
      <c r="N2" s="2215"/>
      <c r="O2" s="2215"/>
      <c r="P2" s="2215"/>
      <c r="Q2" s="61"/>
      <c r="R2" s="61"/>
      <c r="S2" s="24"/>
      <c r="T2" s="24"/>
      <c r="U2" s="24"/>
      <c r="V2" s="24"/>
    </row>
    <row r="3" spans="1:33" ht="408.75" customHeight="1">
      <c r="A3" s="2216"/>
      <c r="B3" s="2216"/>
      <c r="C3" s="2216"/>
      <c r="D3" s="2216"/>
      <c r="E3" s="2216"/>
      <c r="F3" s="2216"/>
      <c r="G3" s="2216"/>
      <c r="H3" s="2216"/>
      <c r="I3" s="2216"/>
      <c r="J3" s="2216"/>
      <c r="K3" s="2216"/>
      <c r="L3" s="2216"/>
      <c r="M3" s="2216"/>
      <c r="N3" s="2216"/>
      <c r="O3" s="2216"/>
      <c r="P3" s="2216"/>
      <c r="Q3" s="61"/>
      <c r="R3" s="61"/>
      <c r="S3" s="24"/>
      <c r="T3" s="24"/>
      <c r="U3" s="24"/>
      <c r="V3" s="24"/>
    </row>
    <row r="4" spans="1:33" ht="361.5" customHeight="1">
      <c r="A4" s="2216"/>
      <c r="B4" s="2216"/>
      <c r="C4" s="2216"/>
      <c r="D4" s="2216"/>
      <c r="E4" s="2216"/>
      <c r="F4" s="2216"/>
      <c r="G4" s="2216"/>
      <c r="H4" s="2216"/>
      <c r="I4" s="2216"/>
      <c r="J4" s="2216"/>
      <c r="K4" s="2216"/>
      <c r="L4" s="2216"/>
      <c r="M4" s="2216"/>
      <c r="N4" s="2216"/>
      <c r="O4" s="2216"/>
      <c r="P4" s="2216"/>
      <c r="Q4" s="61"/>
      <c r="R4" s="61"/>
      <c r="S4" s="24"/>
      <c r="T4" s="24"/>
      <c r="U4" s="24"/>
      <c r="V4" s="24"/>
    </row>
    <row r="5" spans="1:33" ht="60.75" customHeight="1">
      <c r="A5" s="2217"/>
      <c r="B5" s="2217"/>
      <c r="C5" s="2217"/>
      <c r="D5" s="2217"/>
      <c r="E5" s="2217"/>
      <c r="F5" s="2217"/>
      <c r="G5" s="2217"/>
      <c r="H5" s="2217"/>
      <c r="I5" s="2217"/>
      <c r="J5" s="2217"/>
      <c r="K5" s="2217"/>
      <c r="L5" s="2217"/>
      <c r="M5" s="2217"/>
      <c r="N5" s="2217"/>
      <c r="O5" s="2217"/>
      <c r="P5" s="2217"/>
      <c r="Q5" s="61"/>
      <c r="R5" s="61"/>
      <c r="S5" s="24"/>
      <c r="T5" s="24"/>
      <c r="U5" s="24"/>
      <c r="V5" s="24"/>
    </row>
    <row r="6" spans="1:33" ht="25.5" customHeight="1">
      <c r="Q6" s="61"/>
      <c r="R6" s="61"/>
      <c r="S6" s="24"/>
      <c r="T6" s="24"/>
      <c r="U6" s="24"/>
      <c r="V6" s="24"/>
    </row>
    <row r="7" spans="1:33" ht="25.5" customHeight="1">
      <c r="Q7" s="61"/>
      <c r="R7" s="61"/>
      <c r="S7" s="24"/>
      <c r="T7" s="24"/>
      <c r="U7" s="24"/>
      <c r="V7" s="24"/>
    </row>
    <row r="8" spans="1:33" ht="25.5" customHeight="1">
      <c r="Q8" s="61"/>
      <c r="R8" s="61"/>
      <c r="S8" s="24"/>
      <c r="T8" s="24"/>
      <c r="U8" s="24"/>
      <c r="V8" s="24"/>
    </row>
    <row r="9" spans="1:33" ht="25.5" customHeight="1">
      <c r="Q9" s="61"/>
      <c r="R9" s="61"/>
      <c r="S9" s="24"/>
      <c r="T9" s="24"/>
      <c r="U9" s="24"/>
      <c r="V9" s="24"/>
    </row>
    <row r="10" spans="1:33" ht="25.5" customHeight="1">
      <c r="Q10" s="61"/>
      <c r="R10" s="61"/>
      <c r="S10" s="24"/>
      <c r="T10" s="24"/>
      <c r="U10" s="24"/>
      <c r="V10" s="24"/>
    </row>
    <row r="11" spans="1:33" ht="25.5" customHeight="1">
      <c r="Q11" s="61"/>
      <c r="R11" s="61"/>
      <c r="S11" s="24"/>
      <c r="T11" s="24"/>
      <c r="U11" s="24"/>
      <c r="V11" s="24"/>
    </row>
    <row r="12" spans="1:33" ht="23.25" customHeight="1">
      <c r="Q12" s="61"/>
      <c r="R12" s="61"/>
      <c r="S12" s="24"/>
      <c r="T12" s="24"/>
      <c r="U12" s="24"/>
      <c r="V12" s="24"/>
    </row>
    <row r="13" spans="1:33" ht="25.5" customHeight="1">
      <c r="A13" s="31"/>
      <c r="B13" s="31"/>
      <c r="C13" s="31"/>
      <c r="D13" s="31"/>
      <c r="E13" s="31"/>
      <c r="F13" s="31"/>
      <c r="G13" s="31"/>
      <c r="H13" s="31"/>
      <c r="I13" s="31"/>
      <c r="J13" s="31"/>
      <c r="K13" s="31"/>
      <c r="L13" s="31"/>
      <c r="M13" s="31"/>
      <c r="N13" s="31"/>
      <c r="O13" s="31"/>
      <c r="P13" s="31"/>
      <c r="R13" s="61"/>
      <c r="S13" s="24"/>
      <c r="T13" s="24"/>
      <c r="U13" s="24"/>
      <c r="V13" s="24"/>
    </row>
    <row r="14" spans="1:33" ht="25.5" customHeight="1">
      <c r="A14" s="31"/>
      <c r="B14" s="31"/>
      <c r="C14" s="31"/>
      <c r="D14" s="31"/>
      <c r="E14" s="31"/>
      <c r="F14" s="31"/>
      <c r="G14" s="31"/>
      <c r="H14" s="31"/>
      <c r="I14" s="31"/>
      <c r="J14" s="31"/>
      <c r="K14" s="31"/>
      <c r="L14" s="31"/>
      <c r="M14" s="31"/>
      <c r="N14" s="31"/>
      <c r="O14" s="31"/>
      <c r="P14" s="31"/>
      <c r="Q14" s="31"/>
      <c r="R14" s="31"/>
      <c r="S14" s="31"/>
      <c r="T14" s="31"/>
      <c r="U14" s="31"/>
      <c r="V14" s="31"/>
    </row>
    <row r="15" spans="1:33" ht="25.5" customHeight="1">
      <c r="A15" s="31"/>
      <c r="B15" s="31"/>
      <c r="C15" s="31"/>
      <c r="D15" s="31"/>
      <c r="E15" s="31"/>
      <c r="F15" s="31"/>
      <c r="G15" s="31"/>
      <c r="H15" s="31"/>
      <c r="I15" s="31"/>
      <c r="J15" s="31"/>
      <c r="K15" s="31"/>
      <c r="L15" s="31"/>
      <c r="M15" s="31"/>
      <c r="N15" s="31"/>
      <c r="O15" s="31"/>
      <c r="P15" s="31"/>
      <c r="Q15" s="31"/>
      <c r="R15" s="31"/>
      <c r="S15" s="31"/>
      <c r="T15" s="31"/>
      <c r="U15" s="31"/>
      <c r="V15" s="31"/>
      <c r="AG15" s="77" t="s">
        <v>31</v>
      </c>
    </row>
    <row r="16" spans="1:33" ht="25.5" customHeight="1">
      <c r="A16" s="31"/>
      <c r="B16" s="31"/>
      <c r="C16" s="31"/>
      <c r="D16" s="31"/>
      <c r="E16" s="31"/>
      <c r="F16" s="31"/>
      <c r="G16" s="31"/>
      <c r="H16" s="31"/>
      <c r="I16" s="31"/>
      <c r="J16" s="31"/>
      <c r="K16" s="31"/>
      <c r="L16" s="31"/>
      <c r="M16" s="31"/>
      <c r="N16" s="31"/>
      <c r="O16" s="31"/>
      <c r="P16" s="31"/>
      <c r="Q16" s="31"/>
      <c r="R16" s="31"/>
      <c r="S16" s="31"/>
      <c r="T16" s="31"/>
      <c r="U16" s="31"/>
      <c r="V16" s="31"/>
    </row>
    <row r="17" spans="1:23" ht="25.5" customHeight="1">
      <c r="A17" s="31"/>
      <c r="B17" s="31"/>
      <c r="C17" s="31"/>
      <c r="D17" s="31"/>
      <c r="E17" s="31"/>
      <c r="F17" s="31"/>
      <c r="G17" s="31"/>
      <c r="H17" s="31"/>
      <c r="I17" s="31"/>
      <c r="J17" s="31"/>
      <c r="K17" s="31"/>
      <c r="L17" s="31"/>
      <c r="M17" s="31"/>
      <c r="N17" s="31"/>
      <c r="O17" s="31"/>
      <c r="P17" s="31"/>
      <c r="Q17" s="31"/>
      <c r="R17" s="31"/>
      <c r="S17" s="31"/>
      <c r="T17" s="31"/>
      <c r="U17" s="31"/>
      <c r="V17" s="31"/>
    </row>
    <row r="18" spans="1:23" ht="25.5" customHeight="1">
      <c r="A18" s="31"/>
      <c r="B18" s="31"/>
      <c r="C18" s="31"/>
      <c r="D18" s="31"/>
      <c r="E18" s="31"/>
      <c r="F18" s="31"/>
      <c r="G18" s="31"/>
      <c r="H18" s="31"/>
      <c r="I18" s="31"/>
      <c r="J18" s="31"/>
      <c r="K18" s="31"/>
      <c r="L18" s="31"/>
      <c r="M18" s="31"/>
      <c r="N18" s="31"/>
      <c r="O18" s="31"/>
      <c r="P18" s="31"/>
      <c r="Q18" s="31"/>
      <c r="R18" s="31"/>
      <c r="S18" s="31"/>
      <c r="T18" s="31"/>
      <c r="U18" s="31"/>
      <c r="V18" s="31"/>
    </row>
    <row r="19" spans="1:23" ht="25.5" customHeight="1">
      <c r="A19" s="31"/>
      <c r="B19" s="31"/>
      <c r="C19" s="31"/>
      <c r="D19" s="31"/>
      <c r="E19" s="31"/>
      <c r="F19" s="31"/>
      <c r="G19" s="31"/>
      <c r="H19" s="31"/>
      <c r="I19" s="31"/>
      <c r="J19" s="31"/>
      <c r="K19" s="31"/>
      <c r="L19" s="31"/>
      <c r="M19" s="31"/>
      <c r="N19" s="31"/>
      <c r="O19" s="31"/>
      <c r="P19" s="31"/>
      <c r="Q19" s="31"/>
      <c r="R19" s="31"/>
      <c r="S19" s="31"/>
      <c r="T19" s="31"/>
      <c r="U19" s="31"/>
      <c r="V19" s="31"/>
    </row>
    <row r="20" spans="1:23" ht="25.5" customHeight="1">
      <c r="A20" s="31"/>
      <c r="B20" s="31"/>
      <c r="C20" s="31"/>
      <c r="D20" s="31"/>
      <c r="E20" s="31"/>
      <c r="F20" s="31"/>
      <c r="G20" s="31"/>
      <c r="H20" s="31"/>
      <c r="I20" s="31"/>
      <c r="J20" s="31"/>
      <c r="K20" s="31"/>
      <c r="L20" s="31"/>
      <c r="M20" s="31"/>
      <c r="N20" s="31"/>
      <c r="O20" s="31"/>
      <c r="P20" s="31"/>
      <c r="Q20" s="31"/>
      <c r="R20" s="31"/>
      <c r="S20" s="31"/>
      <c r="T20" s="31"/>
      <c r="U20" s="31"/>
      <c r="V20" s="31"/>
    </row>
    <row r="21" spans="1:23" ht="25.5" customHeight="1">
      <c r="A21" s="31"/>
      <c r="B21" s="31"/>
      <c r="C21" s="31"/>
      <c r="D21" s="31"/>
      <c r="E21" s="31"/>
      <c r="F21" s="31"/>
      <c r="G21" s="31"/>
      <c r="H21" s="31"/>
      <c r="I21" s="31"/>
      <c r="J21" s="31"/>
      <c r="K21" s="31"/>
      <c r="L21" s="31"/>
      <c r="M21" s="31"/>
      <c r="N21" s="31"/>
      <c r="O21" s="31"/>
      <c r="P21" s="31"/>
      <c r="Q21" s="31"/>
      <c r="R21" s="31"/>
      <c r="S21" s="31"/>
      <c r="T21" s="31"/>
      <c r="U21" s="31"/>
      <c r="V21" s="31"/>
    </row>
    <row r="22" spans="1:23" ht="25.5" customHeight="1">
      <c r="A22" s="31"/>
      <c r="B22" s="31"/>
      <c r="C22" s="31"/>
      <c r="D22" s="31"/>
      <c r="E22" s="31"/>
      <c r="F22" s="31"/>
      <c r="G22" s="31"/>
      <c r="H22" s="31"/>
      <c r="I22" s="31"/>
      <c r="J22" s="31"/>
      <c r="K22" s="31"/>
      <c r="L22" s="31"/>
      <c r="M22" s="31"/>
      <c r="N22" s="31"/>
      <c r="O22" s="31"/>
      <c r="P22" s="31"/>
      <c r="Q22" s="31"/>
      <c r="R22" s="31"/>
      <c r="S22" s="31"/>
      <c r="T22" s="31"/>
      <c r="U22" s="31"/>
      <c r="V22" s="31"/>
    </row>
    <row r="23" spans="1:23" ht="25.5" customHeight="1">
      <c r="A23" s="31"/>
      <c r="B23" s="31"/>
      <c r="C23" s="31"/>
      <c r="D23" s="31"/>
      <c r="E23" s="31"/>
      <c r="F23" s="31"/>
      <c r="G23" s="31"/>
      <c r="H23" s="31"/>
      <c r="I23" s="31"/>
      <c r="J23" s="31"/>
      <c r="K23" s="31"/>
      <c r="L23" s="31"/>
      <c r="M23" s="31"/>
      <c r="N23" s="31"/>
      <c r="O23" s="31"/>
      <c r="P23" s="31"/>
      <c r="Q23" s="31"/>
      <c r="R23" s="31"/>
      <c r="S23" s="31"/>
      <c r="T23" s="31"/>
      <c r="U23" s="31"/>
      <c r="V23" s="31"/>
    </row>
    <row r="24" spans="1:23" ht="25.5" customHeight="1">
      <c r="A24" s="31"/>
      <c r="B24" s="31"/>
      <c r="C24" s="31"/>
      <c r="D24" s="31"/>
      <c r="E24" s="31"/>
      <c r="F24" s="31"/>
      <c r="G24" s="31"/>
      <c r="H24" s="31"/>
      <c r="I24" s="31"/>
      <c r="J24" s="31"/>
      <c r="K24" s="31"/>
      <c r="L24" s="31"/>
      <c r="M24" s="31"/>
      <c r="N24" s="31"/>
      <c r="O24" s="31"/>
      <c r="P24" s="31"/>
      <c r="Q24" s="31"/>
      <c r="R24" s="31"/>
      <c r="S24" s="31"/>
      <c r="T24" s="31"/>
      <c r="U24" s="31"/>
      <c r="V24" s="31"/>
    </row>
    <row r="25" spans="1:23" ht="25.5" customHeight="1">
      <c r="A25" s="31"/>
      <c r="B25" s="31"/>
      <c r="C25" s="31"/>
      <c r="D25" s="31"/>
      <c r="E25" s="31"/>
      <c r="F25" s="31"/>
      <c r="G25" s="31"/>
      <c r="H25" s="31"/>
      <c r="I25" s="31"/>
      <c r="J25" s="31"/>
      <c r="K25" s="31"/>
      <c r="L25" s="31"/>
      <c r="M25" s="31"/>
      <c r="N25" s="31"/>
      <c r="O25" s="31"/>
      <c r="P25" s="31"/>
      <c r="Q25" s="31"/>
      <c r="R25" s="31"/>
      <c r="S25" s="31"/>
      <c r="T25" s="31"/>
      <c r="U25" s="31"/>
      <c r="V25" s="31"/>
    </row>
    <row r="26" spans="1:23" ht="25.5" customHeight="1">
      <c r="A26" s="31"/>
      <c r="B26" s="31"/>
      <c r="C26" s="31"/>
      <c r="D26" s="31"/>
      <c r="E26" s="31"/>
      <c r="F26" s="31"/>
      <c r="G26" s="31"/>
      <c r="H26" s="31"/>
      <c r="I26" s="31"/>
      <c r="J26" s="31"/>
      <c r="K26" s="31"/>
      <c r="L26" s="31"/>
      <c r="M26" s="31"/>
      <c r="N26" s="31"/>
      <c r="O26" s="31"/>
      <c r="P26" s="31"/>
      <c r="Q26" s="31"/>
      <c r="R26" s="31"/>
      <c r="S26" s="31"/>
      <c r="T26" s="31"/>
      <c r="U26" s="31"/>
      <c r="V26" s="31"/>
    </row>
    <row r="27" spans="1:23" ht="25.5" customHeight="1">
      <c r="A27" s="31"/>
      <c r="B27" s="31"/>
      <c r="C27" s="31"/>
      <c r="D27" s="31"/>
      <c r="E27" s="31"/>
      <c r="F27" s="31"/>
      <c r="G27" s="31"/>
      <c r="H27" s="31"/>
      <c r="I27" s="31"/>
      <c r="J27" s="31"/>
      <c r="K27" s="31"/>
      <c r="L27" s="31"/>
      <c r="M27" s="31"/>
      <c r="N27" s="31"/>
      <c r="O27" s="31"/>
      <c r="P27" s="31"/>
      <c r="Q27" s="31"/>
      <c r="R27" s="31"/>
      <c r="S27" s="31"/>
      <c r="T27" s="31"/>
      <c r="U27" s="31"/>
      <c r="V27" s="31"/>
      <c r="W27" s="77" t="s">
        <v>31</v>
      </c>
    </row>
    <row r="28" spans="1:23" ht="25.5" customHeight="1">
      <c r="A28" s="31"/>
      <c r="B28" s="31"/>
      <c r="C28" s="31"/>
      <c r="D28" s="31"/>
      <c r="E28" s="31"/>
      <c r="F28" s="31"/>
      <c r="G28" s="31"/>
      <c r="H28" s="31"/>
      <c r="I28" s="31"/>
      <c r="J28" s="31"/>
      <c r="K28" s="31"/>
      <c r="L28" s="31"/>
      <c r="M28" s="31"/>
      <c r="N28" s="31"/>
      <c r="O28" s="31"/>
      <c r="P28" s="31"/>
      <c r="Q28" s="31"/>
      <c r="R28" s="31"/>
      <c r="S28" s="31"/>
      <c r="T28" s="31"/>
      <c r="U28" s="31"/>
      <c r="V28" s="31"/>
    </row>
    <row r="29" spans="1:23" ht="25.5" customHeight="1">
      <c r="A29" s="31"/>
      <c r="B29" s="31"/>
      <c r="C29" s="31"/>
      <c r="D29" s="31"/>
      <c r="E29" s="31"/>
      <c r="F29" s="31"/>
      <c r="G29" s="31"/>
      <c r="H29" s="31"/>
      <c r="I29" s="31"/>
      <c r="J29" s="31"/>
      <c r="K29" s="31"/>
      <c r="L29" s="31"/>
      <c r="M29" s="31"/>
      <c r="N29" s="31"/>
      <c r="O29" s="31"/>
      <c r="P29" s="31"/>
      <c r="Q29" s="31"/>
      <c r="R29" s="31"/>
      <c r="S29" s="31"/>
      <c r="T29" s="31"/>
      <c r="U29" s="31"/>
      <c r="V29" s="31"/>
    </row>
    <row r="30" spans="1:23" ht="25.5" customHeight="1">
      <c r="A30" s="31"/>
      <c r="B30" s="31"/>
      <c r="C30" s="31"/>
      <c r="D30" s="31"/>
      <c r="E30" s="31"/>
      <c r="F30" s="31"/>
      <c r="G30" s="31"/>
      <c r="H30" s="31"/>
      <c r="I30" s="31"/>
      <c r="J30" s="31"/>
      <c r="K30" s="31"/>
      <c r="L30" s="31"/>
      <c r="M30" s="31"/>
      <c r="N30" s="31"/>
      <c r="O30" s="31"/>
      <c r="P30" s="31"/>
      <c r="Q30" s="31"/>
      <c r="R30" s="31"/>
      <c r="S30" s="31"/>
      <c r="T30" s="31"/>
      <c r="U30" s="31"/>
      <c r="V30" s="31"/>
    </row>
    <row r="31" spans="1:23" ht="25.5" customHeight="1">
      <c r="A31" s="31"/>
      <c r="B31" s="31"/>
      <c r="C31" s="31"/>
      <c r="D31" s="31"/>
      <c r="E31" s="31"/>
      <c r="F31" s="31"/>
      <c r="G31" s="31"/>
      <c r="H31" s="31"/>
      <c r="I31" s="31"/>
      <c r="J31" s="31"/>
      <c r="K31" s="31"/>
      <c r="L31" s="31"/>
      <c r="M31" s="31"/>
      <c r="N31" s="31"/>
      <c r="O31" s="31"/>
      <c r="P31" s="31"/>
      <c r="Q31" s="31"/>
      <c r="R31" s="31"/>
      <c r="S31" s="31"/>
      <c r="T31" s="31"/>
      <c r="U31" s="31"/>
      <c r="V31" s="31"/>
    </row>
    <row r="32" spans="1:23" ht="25.5" customHeight="1">
      <c r="A32" s="31"/>
      <c r="B32" s="31"/>
      <c r="C32" s="31"/>
      <c r="D32" s="31"/>
      <c r="E32" s="31"/>
      <c r="F32" s="31"/>
      <c r="G32" s="31"/>
      <c r="H32" s="31"/>
      <c r="I32" s="31"/>
      <c r="J32" s="31"/>
      <c r="K32" s="31"/>
      <c r="L32" s="31"/>
      <c r="M32" s="31"/>
      <c r="N32" s="31"/>
      <c r="O32" s="31"/>
      <c r="P32" s="31"/>
      <c r="Q32" s="31"/>
      <c r="R32" s="31"/>
      <c r="S32" s="31"/>
      <c r="T32" s="31"/>
      <c r="U32" s="31"/>
      <c r="V32" s="31"/>
    </row>
    <row r="33" spans="1:30" ht="25.5" customHeight="1">
      <c r="A33" s="31"/>
      <c r="B33" s="31"/>
      <c r="C33" s="31"/>
      <c r="D33" s="31"/>
      <c r="E33" s="31"/>
      <c r="F33" s="31"/>
      <c r="G33" s="31"/>
      <c r="H33" s="31"/>
      <c r="I33" s="31"/>
      <c r="J33" s="31"/>
      <c r="K33" s="31"/>
      <c r="L33" s="31"/>
      <c r="M33" s="31"/>
      <c r="N33" s="31"/>
      <c r="O33" s="31"/>
      <c r="P33" s="31"/>
      <c r="Q33" s="31"/>
      <c r="R33" s="31"/>
      <c r="S33" s="31"/>
      <c r="T33" s="31"/>
      <c r="U33" s="31"/>
      <c r="V33" s="31"/>
    </row>
    <row r="34" spans="1:30" ht="25.5" customHeight="1">
      <c r="A34" s="31"/>
      <c r="B34" s="31"/>
      <c r="C34" s="31"/>
      <c r="D34" s="31"/>
      <c r="E34" s="31"/>
      <c r="F34" s="31"/>
      <c r="G34" s="31"/>
      <c r="H34" s="31"/>
      <c r="I34" s="31"/>
      <c r="J34" s="31"/>
      <c r="K34" s="31"/>
      <c r="L34" s="31"/>
      <c r="M34" s="31"/>
      <c r="N34" s="31"/>
      <c r="O34" s="31"/>
      <c r="P34" s="31"/>
      <c r="Q34" s="31"/>
      <c r="R34" s="31"/>
      <c r="S34" s="31"/>
      <c r="T34" s="31"/>
      <c r="U34" s="31"/>
      <c r="V34" s="31"/>
    </row>
    <row r="35" spans="1:30">
      <c r="S35" s="95"/>
      <c r="T35" s="95"/>
      <c r="U35" s="95"/>
      <c r="V35" s="95"/>
      <c r="W35" s="96"/>
      <c r="X35" s="96"/>
      <c r="Y35" s="96"/>
      <c r="Z35" s="96"/>
      <c r="AA35" s="96"/>
      <c r="AB35" s="96"/>
    </row>
    <row r="36" spans="1:30">
      <c r="S36" s="95"/>
      <c r="T36" s="95"/>
      <c r="U36" s="95"/>
      <c r="V36" s="95"/>
      <c r="W36" s="96"/>
      <c r="X36" s="96"/>
      <c r="Y36" s="96"/>
      <c r="Z36" s="96"/>
      <c r="AA36" s="96"/>
      <c r="AB36" s="96"/>
    </row>
    <row r="37" spans="1:30">
      <c r="S37" s="95"/>
      <c r="T37" s="95"/>
      <c r="U37" s="95"/>
      <c r="V37" s="95"/>
      <c r="W37" s="96"/>
      <c r="X37" s="96"/>
      <c r="Y37" s="96"/>
      <c r="Z37" s="96"/>
      <c r="AA37" s="96"/>
      <c r="AB37" s="96"/>
    </row>
    <row r="38" spans="1:30">
      <c r="S38" s="95"/>
      <c r="T38" s="95"/>
      <c r="U38" s="95"/>
      <c r="V38" s="95"/>
      <c r="W38" s="96"/>
      <c r="X38" s="96"/>
      <c r="Y38" s="96"/>
      <c r="Z38" s="96"/>
      <c r="AA38" s="96"/>
      <c r="AB38" s="96"/>
    </row>
    <row r="39" spans="1:30" ht="51" customHeight="1">
      <c r="S39" s="95"/>
      <c r="T39" s="95"/>
      <c r="U39" s="95"/>
      <c r="V39" s="95"/>
      <c r="W39" s="96"/>
      <c r="X39" s="96"/>
      <c r="Y39" s="96"/>
      <c r="Z39" s="96"/>
      <c r="AA39" s="96"/>
      <c r="AB39" s="96"/>
    </row>
    <row r="40" spans="1:30" ht="78" customHeight="1">
      <c r="A40" s="2023"/>
      <c r="B40" s="2023"/>
      <c r="C40" s="2023"/>
      <c r="D40" s="2023"/>
      <c r="E40" s="2023"/>
      <c r="F40" s="2023"/>
      <c r="G40" s="2023"/>
      <c r="H40" s="2023"/>
      <c r="I40" s="2023"/>
      <c r="J40" s="2023"/>
      <c r="K40" s="2023"/>
      <c r="L40" s="2023"/>
      <c r="M40" s="2023"/>
      <c r="N40" s="2023"/>
      <c r="O40" s="2023"/>
      <c r="P40" s="2023"/>
      <c r="Q40" s="2023"/>
      <c r="R40" s="2023"/>
      <c r="S40" s="2023"/>
      <c r="T40" s="2023"/>
      <c r="U40" s="2023"/>
      <c r="V40" s="2023"/>
      <c r="W40" s="2023"/>
      <c r="X40" s="2023"/>
      <c r="Y40" s="2023"/>
      <c r="Z40" s="96"/>
      <c r="AA40" s="96"/>
      <c r="AB40" s="96"/>
    </row>
    <row r="41" spans="1:30">
      <c r="S41" s="96"/>
      <c r="T41" s="96"/>
      <c r="U41" s="96"/>
      <c r="V41" s="96"/>
      <c r="W41" s="96"/>
    </row>
    <row r="42" spans="1:30">
      <c r="S42" s="96"/>
      <c r="T42" s="96"/>
      <c r="U42" s="96"/>
      <c r="V42" s="96"/>
      <c r="W42" s="96"/>
    </row>
    <row r="43" spans="1:30">
      <c r="S43" s="96"/>
      <c r="T43" s="96"/>
      <c r="U43" s="96"/>
      <c r="V43" s="96"/>
      <c r="W43" s="96"/>
    </row>
    <row r="44" spans="1:30">
      <c r="S44" s="96"/>
      <c r="T44" s="96"/>
      <c r="U44" s="96"/>
      <c r="V44" s="96"/>
      <c r="W44" s="96"/>
    </row>
    <row r="45" spans="1:30">
      <c r="S45" s="96"/>
      <c r="T45" s="96"/>
      <c r="U45" s="96"/>
      <c r="V45" s="96"/>
      <c r="W45" s="96"/>
    </row>
    <row r="46" spans="1:30">
      <c r="S46" s="96"/>
      <c r="T46" s="96"/>
      <c r="U46" s="96"/>
      <c r="V46" s="96"/>
      <c r="W46" s="96"/>
      <c r="X46" s="96"/>
      <c r="Y46" s="96"/>
      <c r="Z46" s="96"/>
      <c r="AA46" s="96"/>
      <c r="AB46" s="96"/>
      <c r="AC46" s="96"/>
      <c r="AD46" s="96"/>
    </row>
    <row r="47" spans="1:30">
      <c r="S47" s="96"/>
      <c r="T47" s="96"/>
      <c r="U47" s="96"/>
      <c r="V47" s="96"/>
      <c r="W47" s="96"/>
      <c r="X47" s="96"/>
      <c r="Y47" s="96"/>
      <c r="Z47" s="96"/>
      <c r="AA47" s="96"/>
      <c r="AB47" s="96"/>
      <c r="AC47" s="96"/>
      <c r="AD47" s="96"/>
    </row>
    <row r="48" spans="1:30">
      <c r="S48" s="96"/>
      <c r="T48" s="96"/>
      <c r="U48" s="96"/>
      <c r="V48" s="96"/>
      <c r="W48" s="96"/>
      <c r="X48" s="96"/>
      <c r="Y48" s="96"/>
      <c r="Z48" s="96"/>
      <c r="AA48" s="96"/>
      <c r="AB48" s="96"/>
      <c r="AC48" s="96"/>
      <c r="AD48" s="96"/>
    </row>
    <row r="49" spans="2:30">
      <c r="S49" s="96"/>
      <c r="T49" s="96"/>
      <c r="U49" s="96"/>
      <c r="V49" s="96"/>
      <c r="W49" s="96"/>
      <c r="X49" s="96"/>
      <c r="Y49" s="96"/>
      <c r="Z49" s="96"/>
      <c r="AA49" s="96"/>
      <c r="AB49" s="96"/>
      <c r="AC49" s="96"/>
      <c r="AD49" s="96"/>
    </row>
    <row r="50" spans="2:30">
      <c r="S50" s="96"/>
      <c r="T50" s="96"/>
      <c r="U50" s="96"/>
      <c r="V50" s="96"/>
      <c r="W50" s="96"/>
      <c r="X50" s="96"/>
      <c r="Y50" s="96"/>
      <c r="Z50" s="96"/>
      <c r="AA50" s="96"/>
      <c r="AB50" s="96"/>
      <c r="AC50" s="96"/>
      <c r="AD50" s="96"/>
    </row>
    <row r="51" spans="2:30">
      <c r="S51" s="96"/>
      <c r="T51" s="96"/>
      <c r="U51" s="96"/>
      <c r="V51" s="96"/>
      <c r="W51" s="96"/>
      <c r="X51" s="96"/>
      <c r="Y51" s="96"/>
      <c r="Z51" s="96"/>
      <c r="AA51" s="96"/>
      <c r="AB51" s="96"/>
      <c r="AC51" s="96"/>
      <c r="AD51" s="96"/>
    </row>
    <row r="52" spans="2:30">
      <c r="B52" s="96"/>
      <c r="C52" s="96"/>
      <c r="D52" s="96"/>
      <c r="E52" s="96"/>
      <c r="F52" s="96"/>
      <c r="G52" s="96"/>
      <c r="H52" s="96"/>
      <c r="I52" s="96"/>
      <c r="J52" s="96"/>
      <c r="K52" s="96"/>
      <c r="L52" s="96"/>
      <c r="M52" s="96"/>
      <c r="N52" s="96"/>
      <c r="O52" s="96"/>
      <c r="P52" s="96"/>
      <c r="Q52" s="96"/>
      <c r="R52" s="96"/>
      <c r="S52" s="96"/>
      <c r="T52" s="96"/>
      <c r="U52" s="96"/>
      <c r="V52" s="96"/>
      <c r="W52" s="96"/>
      <c r="X52" s="96"/>
      <c r="Y52" s="96"/>
      <c r="Z52" s="96"/>
      <c r="AA52" s="96"/>
      <c r="AB52" s="96"/>
      <c r="AC52" s="96"/>
      <c r="AD52" s="96"/>
    </row>
    <row r="71" spans="24:24">
      <c r="X71" s="96"/>
    </row>
    <row r="72" spans="24:24">
      <c r="X72" s="96"/>
    </row>
    <row r="73" spans="24:24">
      <c r="X73" s="96"/>
    </row>
    <row r="74" spans="24:24">
      <c r="X74" s="96"/>
    </row>
    <row r="75" spans="24:24">
      <c r="X75" s="96"/>
    </row>
    <row r="76" spans="24:24">
      <c r="X76" s="96"/>
    </row>
    <row r="77" spans="24:24">
      <c r="X77" s="96"/>
    </row>
    <row r="78" spans="24:24">
      <c r="X78" s="96"/>
    </row>
    <row r="88" spans="24:24">
      <c r="X88" s="96"/>
    </row>
    <row r="89" spans="24:24">
      <c r="X89" s="96"/>
    </row>
    <row r="90" spans="24:24">
      <c r="X90" s="96"/>
    </row>
    <row r="91" spans="24:24">
      <c r="X91" s="96"/>
    </row>
  </sheetData>
  <mergeCells count="4">
    <mergeCell ref="A1:P1"/>
    <mergeCell ref="A2:P4"/>
    <mergeCell ref="A40:Y40"/>
    <mergeCell ref="A5:P5"/>
  </mergeCells>
  <printOptions horizontalCentered="1" verticalCentered="1"/>
  <pageMargins left="0.39370078740157483" right="0.39370078740157483" top="0.23622047244094491" bottom="0.23622047244094491" header="0.31496062992125984" footer="0.31496062992125984"/>
  <pageSetup scale="41" orientation="landscape" r:id="rId1"/>
  <drawing r:id="rId2"/>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6">
    <tabColor rgb="FFFFFF00"/>
    <pageSetUpPr fitToPage="1"/>
  </sheetPr>
  <dimension ref="A1:AC91"/>
  <sheetViews>
    <sheetView showGridLines="0" view="pageBreakPreview" zoomScale="40" zoomScaleNormal="100" zoomScaleSheetLayoutView="40" zoomScalePageLayoutView="62" workbookViewId="0">
      <selection activeCell="T3" sqref="T3"/>
    </sheetView>
  </sheetViews>
  <sheetFormatPr baseColWidth="10" defaultColWidth="11.42578125" defaultRowHeight="15"/>
  <cols>
    <col min="1" max="1" width="18.42578125" style="77" customWidth="1"/>
    <col min="2" max="2" width="20" style="77" customWidth="1"/>
    <col min="3" max="3" width="19.140625" style="77" customWidth="1"/>
    <col min="4" max="4" width="16.140625" style="77" customWidth="1"/>
    <col min="5" max="5" width="19.42578125" style="77" customWidth="1"/>
    <col min="6" max="6" width="16.85546875" style="77" customWidth="1"/>
    <col min="7" max="7" width="16.42578125" style="77" customWidth="1"/>
    <col min="8" max="8" width="14.85546875" style="77" customWidth="1"/>
    <col min="9" max="9" width="16" style="77" customWidth="1"/>
    <col min="10" max="10" width="18.7109375" style="77" customWidth="1"/>
    <col min="11" max="11" width="17.140625" style="77" customWidth="1"/>
    <col min="12" max="12" width="15.7109375" style="77" customWidth="1"/>
    <col min="13" max="13" width="16.85546875" style="77" customWidth="1"/>
    <col min="14" max="14" width="16.28515625" style="77" customWidth="1"/>
    <col min="15" max="15" width="15" style="77" customWidth="1"/>
    <col min="16" max="16" width="9.7109375" style="77" customWidth="1"/>
    <col min="17" max="17" width="18" style="77" bestFit="1" customWidth="1"/>
    <col min="18" max="18" width="17.42578125" style="77" customWidth="1"/>
    <col min="19" max="22" width="11.42578125" style="77"/>
    <col min="23" max="23" width="18.7109375" style="77" bestFit="1" customWidth="1"/>
    <col min="24" max="16384" width="11.42578125" style="77"/>
  </cols>
  <sheetData>
    <row r="1" spans="1:29" ht="90.75" customHeight="1">
      <c r="A1" s="2218"/>
      <c r="B1" s="2218"/>
      <c r="C1" s="2218"/>
      <c r="D1" s="2218"/>
      <c r="E1" s="2218"/>
      <c r="F1" s="2218"/>
      <c r="G1" s="2218"/>
      <c r="H1" s="2218"/>
      <c r="I1" s="2218"/>
      <c r="J1" s="2218"/>
      <c r="K1" s="2218"/>
      <c r="L1" s="2218"/>
      <c r="M1" s="2218"/>
      <c r="N1" s="2218"/>
      <c r="O1" s="2218"/>
      <c r="P1" s="2218"/>
    </row>
    <row r="2" spans="1:29" ht="408.75" customHeight="1">
      <c r="A2" s="2219" t="s">
        <v>1038</v>
      </c>
      <c r="B2" s="2220"/>
      <c r="C2" s="2220"/>
      <c r="D2" s="2220"/>
      <c r="E2" s="2220"/>
      <c r="F2" s="2220"/>
      <c r="G2" s="2220"/>
      <c r="H2" s="2220"/>
      <c r="I2" s="2220"/>
      <c r="J2" s="2220"/>
      <c r="K2" s="2220"/>
      <c r="L2" s="2220"/>
      <c r="M2" s="2220"/>
      <c r="N2" s="2220"/>
      <c r="O2" s="2220"/>
      <c r="P2" s="2220"/>
      <c r="Q2" s="61"/>
      <c r="R2" s="61"/>
    </row>
    <row r="3" spans="1:29" ht="408.75" customHeight="1">
      <c r="A3" s="2220"/>
      <c r="B3" s="2220"/>
      <c r="C3" s="2220"/>
      <c r="D3" s="2220"/>
      <c r="E3" s="2220"/>
      <c r="F3" s="2220"/>
      <c r="G3" s="2220"/>
      <c r="H3" s="2220"/>
      <c r="I3" s="2220"/>
      <c r="J3" s="2220"/>
      <c r="K3" s="2220"/>
      <c r="L3" s="2220"/>
      <c r="M3" s="2220"/>
      <c r="N3" s="2220"/>
      <c r="O3" s="2220"/>
      <c r="P3" s="2220"/>
      <c r="Q3" s="61"/>
      <c r="R3" s="61"/>
    </row>
    <row r="4" spans="1:29" ht="357" customHeight="1">
      <c r="A4" s="2220"/>
      <c r="B4" s="2220"/>
      <c r="C4" s="2220"/>
      <c r="D4" s="2220"/>
      <c r="E4" s="2220"/>
      <c r="F4" s="2220"/>
      <c r="G4" s="2220"/>
      <c r="H4" s="2220"/>
      <c r="I4" s="2220"/>
      <c r="J4" s="2220"/>
      <c r="K4" s="2220"/>
      <c r="L4" s="2220"/>
      <c r="M4" s="2220"/>
      <c r="N4" s="2220"/>
      <c r="O4" s="2220"/>
      <c r="P4" s="2220"/>
      <c r="Q4" s="61"/>
      <c r="R4" s="61"/>
      <c r="S4" s="77" t="s">
        <v>31</v>
      </c>
    </row>
    <row r="5" spans="1:29" s="2221" customFormat="1" ht="25.5" customHeight="1"/>
    <row r="6" spans="1:29" ht="25.5" customHeight="1">
      <c r="A6"/>
      <c r="B6"/>
      <c r="C6"/>
      <c r="D6"/>
      <c r="E6"/>
      <c r="F6"/>
      <c r="G6"/>
      <c r="H6"/>
      <c r="I6"/>
      <c r="J6"/>
      <c r="K6"/>
      <c r="L6"/>
      <c r="M6"/>
      <c r="N6"/>
      <c r="O6"/>
      <c r="P6"/>
      <c r="Q6" s="61"/>
      <c r="R6" s="61"/>
    </row>
    <row r="7" spans="1:29" ht="25.5" customHeight="1">
      <c r="A7"/>
      <c r="B7"/>
      <c r="C7"/>
      <c r="D7"/>
      <c r="E7"/>
      <c r="F7"/>
      <c r="G7"/>
      <c r="H7"/>
      <c r="I7"/>
      <c r="J7"/>
      <c r="K7"/>
      <c r="L7"/>
      <c r="M7"/>
      <c r="N7"/>
      <c r="O7"/>
      <c r="P7"/>
      <c r="Q7" s="61"/>
      <c r="R7" s="61"/>
    </row>
    <row r="8" spans="1:29" ht="25.5" customHeight="1">
      <c r="A8"/>
      <c r="B8"/>
      <c r="C8"/>
      <c r="D8"/>
      <c r="E8"/>
      <c r="F8"/>
      <c r="G8"/>
      <c r="H8"/>
      <c r="I8"/>
      <c r="J8"/>
      <c r="K8"/>
      <c r="L8"/>
      <c r="M8"/>
      <c r="N8"/>
      <c r="O8"/>
      <c r="P8"/>
      <c r="Q8" s="61"/>
      <c r="R8" s="61"/>
    </row>
    <row r="9" spans="1:29" ht="25.5" customHeight="1">
      <c r="A9"/>
      <c r="B9"/>
      <c r="C9"/>
      <c r="D9"/>
      <c r="E9"/>
      <c r="F9"/>
      <c r="G9"/>
      <c r="H9"/>
      <c r="I9"/>
      <c r="J9"/>
      <c r="K9"/>
      <c r="L9"/>
      <c r="M9"/>
      <c r="N9"/>
      <c r="O9"/>
      <c r="P9"/>
      <c r="Q9" s="61"/>
      <c r="R9" s="61"/>
    </row>
    <row r="10" spans="1:29" ht="25.5" customHeight="1">
      <c r="A10"/>
      <c r="B10"/>
      <c r="C10"/>
      <c r="D10"/>
      <c r="E10"/>
      <c r="F10"/>
      <c r="G10"/>
      <c r="H10"/>
      <c r="I10"/>
      <c r="J10"/>
      <c r="K10"/>
      <c r="L10"/>
      <c r="M10"/>
      <c r="N10"/>
      <c r="O10"/>
      <c r="P10"/>
      <c r="Q10" s="61"/>
      <c r="R10" s="61"/>
    </row>
    <row r="11" spans="1:29" ht="25.5" customHeight="1">
      <c r="A11"/>
      <c r="B11"/>
      <c r="C11"/>
      <c r="D11"/>
      <c r="E11"/>
      <c r="F11"/>
      <c r="G11"/>
      <c r="H11"/>
      <c r="I11"/>
      <c r="J11"/>
      <c r="K11"/>
      <c r="L11"/>
      <c r="M11"/>
      <c r="N11"/>
      <c r="O11"/>
      <c r="P11"/>
      <c r="Q11" s="61"/>
      <c r="R11" s="61"/>
    </row>
    <row r="12" spans="1:29" ht="23.25" customHeight="1">
      <c r="A12"/>
      <c r="B12"/>
      <c r="C12"/>
      <c r="D12"/>
      <c r="E12"/>
      <c r="F12"/>
      <c r="G12"/>
      <c r="H12"/>
      <c r="I12"/>
      <c r="J12"/>
      <c r="K12"/>
      <c r="L12"/>
      <c r="M12"/>
      <c r="N12"/>
      <c r="O12"/>
      <c r="P12"/>
      <c r="Q12" s="61"/>
      <c r="R12" s="61"/>
    </row>
    <row r="13" spans="1:29" ht="25.5" customHeight="1">
      <c r="A13" s="31"/>
      <c r="B13" s="31"/>
      <c r="C13" s="31"/>
      <c r="D13" s="31"/>
      <c r="E13" s="31"/>
      <c r="F13" s="31"/>
      <c r="G13" s="31"/>
      <c r="H13" s="31"/>
      <c r="I13" s="31"/>
      <c r="J13" s="31"/>
      <c r="K13" s="31"/>
      <c r="L13" s="31"/>
      <c r="M13" s="31"/>
      <c r="N13" s="31"/>
      <c r="O13" s="31"/>
      <c r="P13" s="31"/>
      <c r="R13" s="61"/>
    </row>
    <row r="14" spans="1:29" ht="25.5" customHeight="1">
      <c r="A14" s="31"/>
      <c r="B14" s="31"/>
      <c r="C14" s="31"/>
      <c r="D14" s="31"/>
      <c r="E14" s="31"/>
      <c r="F14" s="31"/>
      <c r="G14" s="31"/>
      <c r="H14" s="31"/>
      <c r="I14" s="31"/>
      <c r="J14" s="31"/>
      <c r="K14" s="31"/>
      <c r="L14" s="31"/>
      <c r="M14" s="31"/>
      <c r="N14" s="31"/>
      <c r="O14" s="31"/>
      <c r="P14" s="31"/>
      <c r="Q14" s="31"/>
      <c r="R14" s="31"/>
    </row>
    <row r="15" spans="1:29" ht="25.5" customHeight="1">
      <c r="A15" s="31"/>
      <c r="B15" s="31"/>
      <c r="C15" s="31"/>
      <c r="D15" s="31"/>
      <c r="E15" s="31"/>
      <c r="F15" s="31"/>
      <c r="G15" s="31"/>
      <c r="H15" s="31"/>
      <c r="I15" s="31"/>
      <c r="J15" s="31"/>
      <c r="K15" s="31"/>
      <c r="L15" s="31"/>
      <c r="M15" s="31"/>
      <c r="N15" s="31"/>
      <c r="O15" s="31"/>
      <c r="P15" s="31"/>
      <c r="Q15" s="31"/>
      <c r="R15" s="31"/>
      <c r="AC15" s="77" t="s">
        <v>31</v>
      </c>
    </row>
    <row r="16" spans="1:29" ht="25.5" customHeight="1">
      <c r="A16" s="31"/>
      <c r="B16" s="31"/>
      <c r="C16" s="31"/>
      <c r="D16" s="31"/>
      <c r="E16" s="31"/>
      <c r="F16" s="31"/>
      <c r="G16" s="31"/>
      <c r="H16" s="31"/>
      <c r="I16" s="31"/>
      <c r="J16" s="31"/>
      <c r="K16" s="31"/>
      <c r="L16" s="31"/>
      <c r="M16" s="31"/>
      <c r="N16" s="31"/>
      <c r="O16" s="31"/>
      <c r="P16" s="31"/>
      <c r="Q16" s="31"/>
      <c r="R16" s="31"/>
    </row>
    <row r="17" spans="1:19" ht="25.5" customHeight="1">
      <c r="A17" s="31"/>
      <c r="B17" s="31"/>
      <c r="C17" s="31"/>
      <c r="D17" s="31"/>
      <c r="E17" s="31"/>
      <c r="F17" s="31"/>
      <c r="G17" s="31"/>
      <c r="H17" s="31"/>
      <c r="I17" s="31"/>
      <c r="J17" s="31"/>
      <c r="K17" s="31"/>
      <c r="L17" s="31"/>
      <c r="M17" s="31"/>
      <c r="N17" s="31"/>
      <c r="O17" s="31"/>
      <c r="P17" s="31"/>
      <c r="Q17" s="31"/>
      <c r="R17" s="31"/>
    </row>
    <row r="18" spans="1:19" ht="25.5" customHeight="1">
      <c r="A18" s="31"/>
      <c r="B18" s="31"/>
      <c r="C18" s="31"/>
      <c r="D18" s="31"/>
      <c r="E18" s="31"/>
      <c r="F18" s="31"/>
      <c r="G18" s="31"/>
      <c r="H18" s="31"/>
      <c r="I18" s="31"/>
      <c r="J18" s="31"/>
      <c r="K18" s="31"/>
      <c r="L18" s="31"/>
      <c r="M18" s="31"/>
      <c r="N18" s="31"/>
      <c r="O18" s="31"/>
      <c r="P18" s="31"/>
      <c r="Q18" s="31"/>
      <c r="R18" s="31"/>
    </row>
    <row r="19" spans="1:19" ht="25.5" customHeight="1">
      <c r="A19" s="31"/>
      <c r="B19" s="31"/>
      <c r="C19" s="31"/>
      <c r="D19" s="31"/>
      <c r="E19" s="31"/>
      <c r="F19" s="31"/>
      <c r="G19" s="31"/>
      <c r="H19" s="31"/>
      <c r="I19" s="31"/>
      <c r="J19" s="31"/>
      <c r="K19" s="31"/>
      <c r="L19" s="31"/>
      <c r="M19" s="31"/>
      <c r="N19" s="31"/>
      <c r="O19" s="31"/>
      <c r="P19" s="31"/>
      <c r="Q19" s="31"/>
      <c r="R19" s="31"/>
    </row>
    <row r="20" spans="1:19" ht="25.5" customHeight="1">
      <c r="A20" s="31"/>
      <c r="B20" s="31"/>
      <c r="C20" s="31"/>
      <c r="D20" s="31"/>
      <c r="E20" s="31"/>
      <c r="F20" s="31"/>
      <c r="G20" s="31"/>
      <c r="H20" s="31"/>
      <c r="I20" s="31"/>
      <c r="J20" s="31"/>
      <c r="K20" s="31"/>
      <c r="L20" s="31"/>
      <c r="M20" s="31"/>
      <c r="N20" s="31"/>
      <c r="O20" s="31"/>
      <c r="P20" s="31"/>
      <c r="Q20" s="31"/>
      <c r="R20" s="31"/>
    </row>
    <row r="21" spans="1:19" ht="25.5" customHeight="1">
      <c r="A21" s="31"/>
      <c r="B21" s="31"/>
      <c r="C21" s="31"/>
      <c r="D21" s="31"/>
      <c r="E21" s="31"/>
      <c r="F21" s="31"/>
      <c r="G21" s="31"/>
      <c r="H21" s="31"/>
      <c r="I21" s="31"/>
      <c r="J21" s="31"/>
      <c r="K21" s="31"/>
      <c r="L21" s="31"/>
      <c r="M21" s="31"/>
      <c r="N21" s="31"/>
      <c r="O21" s="31"/>
      <c r="P21" s="31"/>
      <c r="Q21" s="31"/>
      <c r="R21" s="31"/>
    </row>
    <row r="22" spans="1:19" ht="25.5" customHeight="1">
      <c r="A22" s="31"/>
      <c r="B22" s="31"/>
      <c r="C22" s="31"/>
      <c r="D22" s="31"/>
      <c r="E22" s="31"/>
      <c r="F22" s="31"/>
      <c r="G22" s="31"/>
      <c r="H22" s="31"/>
      <c r="I22" s="31"/>
      <c r="J22" s="31"/>
      <c r="K22" s="31"/>
      <c r="L22" s="31"/>
      <c r="M22" s="31"/>
      <c r="N22" s="31"/>
      <c r="O22" s="31"/>
      <c r="P22" s="31"/>
      <c r="Q22" s="31"/>
      <c r="R22" s="31"/>
    </row>
    <row r="23" spans="1:19" ht="25.5" customHeight="1">
      <c r="A23" s="31"/>
      <c r="B23" s="31"/>
      <c r="C23" s="31"/>
      <c r="D23" s="31"/>
      <c r="E23" s="31"/>
      <c r="F23" s="31"/>
      <c r="G23" s="31"/>
      <c r="H23" s="31"/>
      <c r="I23" s="31"/>
      <c r="J23" s="31"/>
      <c r="K23" s="31"/>
      <c r="L23" s="31"/>
      <c r="M23" s="31"/>
      <c r="N23" s="31"/>
      <c r="O23" s="31"/>
      <c r="P23" s="31"/>
      <c r="Q23" s="31"/>
      <c r="R23" s="31"/>
    </row>
    <row r="24" spans="1:19" ht="25.5" customHeight="1">
      <c r="A24" s="31"/>
      <c r="B24" s="31"/>
      <c r="C24" s="31"/>
      <c r="D24" s="31"/>
      <c r="E24" s="31"/>
      <c r="F24" s="31"/>
      <c r="G24" s="31"/>
      <c r="H24" s="31"/>
      <c r="I24" s="31"/>
      <c r="J24" s="31"/>
      <c r="K24" s="31"/>
      <c r="L24" s="31"/>
      <c r="M24" s="31"/>
      <c r="N24" s="31"/>
      <c r="O24" s="31"/>
      <c r="P24" s="31"/>
      <c r="Q24" s="31"/>
      <c r="R24" s="31"/>
    </row>
    <row r="25" spans="1:19" ht="25.5" customHeight="1">
      <c r="A25" s="31"/>
      <c r="B25" s="31"/>
      <c r="C25" s="31"/>
      <c r="D25" s="31"/>
      <c r="E25" s="31"/>
      <c r="F25" s="31"/>
      <c r="G25" s="31"/>
      <c r="H25" s="31"/>
      <c r="I25" s="31"/>
      <c r="J25" s="31"/>
      <c r="K25" s="31"/>
      <c r="L25" s="31"/>
      <c r="M25" s="31"/>
      <c r="N25" s="31"/>
      <c r="O25" s="31"/>
      <c r="P25" s="31"/>
      <c r="Q25" s="31"/>
      <c r="R25" s="31"/>
    </row>
    <row r="26" spans="1:19" ht="25.5" customHeight="1">
      <c r="A26" s="31"/>
      <c r="B26" s="31"/>
      <c r="C26" s="31"/>
      <c r="D26" s="31"/>
      <c r="E26" s="31"/>
      <c r="F26" s="31"/>
      <c r="G26" s="31"/>
      <c r="H26" s="31"/>
      <c r="I26" s="31"/>
      <c r="J26" s="31"/>
      <c r="K26" s="31"/>
      <c r="L26" s="31"/>
      <c r="M26" s="31"/>
      <c r="N26" s="31"/>
      <c r="O26" s="31"/>
      <c r="P26" s="31"/>
      <c r="Q26" s="31"/>
      <c r="R26" s="31"/>
    </row>
    <row r="27" spans="1:19" ht="25.5" customHeight="1">
      <c r="A27" s="31"/>
      <c r="B27" s="31"/>
      <c r="C27" s="31"/>
      <c r="D27" s="31"/>
      <c r="E27" s="31"/>
      <c r="F27" s="31"/>
      <c r="G27" s="31"/>
      <c r="H27" s="31"/>
      <c r="I27" s="31"/>
      <c r="J27" s="31"/>
      <c r="K27" s="31"/>
      <c r="L27" s="31"/>
      <c r="M27" s="31"/>
      <c r="N27" s="31"/>
      <c r="O27" s="31"/>
      <c r="P27" s="31"/>
      <c r="Q27" s="31"/>
      <c r="R27" s="31"/>
      <c r="S27" s="77" t="s">
        <v>31</v>
      </c>
    </row>
    <row r="28" spans="1:19" ht="25.5" customHeight="1">
      <c r="A28" s="31"/>
      <c r="B28" s="31"/>
      <c r="C28" s="31"/>
      <c r="D28" s="31"/>
      <c r="E28" s="31"/>
      <c r="F28" s="31"/>
      <c r="G28" s="31"/>
      <c r="H28" s="31"/>
      <c r="I28" s="31"/>
      <c r="J28" s="31"/>
      <c r="K28" s="31"/>
      <c r="L28" s="31"/>
      <c r="M28" s="31"/>
      <c r="N28" s="31"/>
      <c r="O28" s="31"/>
      <c r="P28" s="31"/>
      <c r="Q28" s="31"/>
      <c r="R28" s="31"/>
    </row>
    <row r="29" spans="1:19" ht="25.5" customHeight="1">
      <c r="A29" s="31"/>
      <c r="B29" s="31"/>
      <c r="C29" s="31"/>
      <c r="D29" s="31"/>
      <c r="E29" s="31"/>
      <c r="F29" s="31"/>
      <c r="G29" s="31"/>
      <c r="H29" s="31"/>
      <c r="I29" s="31"/>
      <c r="J29" s="31"/>
      <c r="K29" s="31"/>
      <c r="L29" s="31"/>
      <c r="M29" s="31"/>
      <c r="N29" s="31"/>
      <c r="O29" s="31"/>
      <c r="P29" s="31"/>
      <c r="Q29" s="31"/>
      <c r="R29" s="31"/>
    </row>
    <row r="30" spans="1:19" ht="25.5" customHeight="1">
      <c r="A30" s="31"/>
      <c r="B30" s="31"/>
      <c r="C30" s="31"/>
      <c r="D30" s="31"/>
      <c r="E30" s="31"/>
      <c r="F30" s="31"/>
      <c r="G30" s="31"/>
      <c r="H30" s="31"/>
      <c r="I30" s="31"/>
      <c r="J30" s="31"/>
      <c r="K30" s="31"/>
      <c r="L30" s="31"/>
      <c r="M30" s="31"/>
      <c r="N30" s="31"/>
      <c r="O30" s="31"/>
      <c r="P30" s="31"/>
      <c r="Q30" s="31"/>
      <c r="R30" s="31"/>
    </row>
    <row r="31" spans="1:19" ht="25.5" customHeight="1">
      <c r="A31" s="31"/>
      <c r="B31" s="31"/>
      <c r="C31" s="31"/>
      <c r="D31" s="31"/>
      <c r="E31" s="31"/>
      <c r="F31" s="31"/>
      <c r="G31" s="31"/>
      <c r="H31" s="31"/>
      <c r="I31" s="31"/>
      <c r="J31" s="31"/>
      <c r="K31" s="31"/>
      <c r="L31" s="31"/>
      <c r="M31" s="31"/>
      <c r="N31" s="31"/>
      <c r="O31" s="31"/>
      <c r="P31" s="31"/>
      <c r="Q31" s="31"/>
      <c r="R31" s="31"/>
    </row>
    <row r="32" spans="1:19" ht="25.5" customHeight="1">
      <c r="A32" s="31"/>
      <c r="B32" s="31"/>
      <c r="C32" s="31"/>
      <c r="D32" s="31"/>
      <c r="E32" s="31"/>
      <c r="F32" s="31"/>
      <c r="G32" s="31"/>
      <c r="H32" s="31"/>
      <c r="I32" s="31"/>
      <c r="J32" s="31"/>
      <c r="K32" s="31"/>
      <c r="L32" s="31"/>
      <c r="M32" s="31"/>
      <c r="N32" s="31"/>
      <c r="O32" s="31"/>
      <c r="P32" s="31"/>
      <c r="Q32" s="31"/>
      <c r="R32" s="31"/>
    </row>
    <row r="33" spans="1:26" ht="25.5" customHeight="1">
      <c r="A33" s="31"/>
      <c r="B33" s="31"/>
      <c r="C33" s="31"/>
      <c r="D33" s="31"/>
      <c r="E33" s="31"/>
      <c r="F33" s="31"/>
      <c r="G33" s="31"/>
      <c r="H33" s="31"/>
      <c r="I33" s="31"/>
      <c r="J33" s="31"/>
      <c r="K33" s="31"/>
      <c r="L33" s="31"/>
      <c r="M33" s="31"/>
      <c r="N33" s="31"/>
      <c r="O33" s="31"/>
      <c r="P33" s="31"/>
      <c r="Q33" s="31"/>
      <c r="R33" s="31"/>
    </row>
    <row r="34" spans="1:26" ht="25.5" customHeight="1">
      <c r="A34" s="31"/>
      <c r="B34" s="31"/>
      <c r="C34" s="31"/>
      <c r="D34" s="31"/>
      <c r="E34" s="31"/>
      <c r="F34" s="31"/>
      <c r="G34" s="31"/>
      <c r="H34" s="31"/>
      <c r="I34" s="31"/>
      <c r="J34" s="31"/>
      <c r="K34" s="31"/>
      <c r="L34" s="31"/>
      <c r="M34" s="31"/>
      <c r="N34" s="31"/>
      <c r="O34" s="31"/>
      <c r="P34" s="31"/>
      <c r="Q34" s="31"/>
      <c r="R34" s="31"/>
    </row>
    <row r="35" spans="1:26">
      <c r="S35" s="96"/>
      <c r="T35" s="96"/>
      <c r="U35" s="96"/>
      <c r="V35" s="96"/>
      <c r="W35" s="96"/>
      <c r="X35" s="96"/>
    </row>
    <row r="36" spans="1:26">
      <c r="S36" s="96"/>
      <c r="T36" s="96"/>
      <c r="U36" s="96"/>
      <c r="V36" s="96"/>
      <c r="W36" s="96"/>
      <c r="X36" s="96"/>
    </row>
    <row r="37" spans="1:26">
      <c r="S37" s="96"/>
      <c r="T37" s="96"/>
      <c r="U37" s="96"/>
      <c r="V37" s="96"/>
      <c r="W37" s="96"/>
      <c r="X37" s="96"/>
    </row>
    <row r="38" spans="1:26">
      <c r="S38" s="96"/>
      <c r="T38" s="96"/>
      <c r="U38" s="96"/>
      <c r="V38" s="96"/>
      <c r="W38" s="96"/>
      <c r="X38" s="96"/>
    </row>
    <row r="39" spans="1:26" ht="51" customHeight="1">
      <c r="S39" s="96"/>
      <c r="T39" s="96"/>
      <c r="U39" s="96"/>
      <c r="V39" s="96"/>
      <c r="W39" s="96"/>
      <c r="X39" s="96"/>
    </row>
    <row r="40" spans="1:26" ht="78" customHeight="1">
      <c r="A40" s="2023"/>
      <c r="B40" s="2023"/>
      <c r="C40" s="2023"/>
      <c r="D40" s="2023"/>
      <c r="E40" s="2023"/>
      <c r="F40" s="2023"/>
      <c r="G40" s="2023"/>
      <c r="H40" s="2023"/>
      <c r="I40" s="2023"/>
      <c r="J40" s="2023"/>
      <c r="K40" s="2023"/>
      <c r="L40" s="2023"/>
      <c r="M40" s="2023"/>
      <c r="N40" s="2023"/>
      <c r="O40" s="2023"/>
      <c r="P40" s="2023"/>
      <c r="Q40" s="2023"/>
      <c r="R40" s="2023"/>
      <c r="S40" s="2023"/>
      <c r="T40" s="2023"/>
      <c r="U40" s="2023"/>
      <c r="V40" s="96"/>
      <c r="W40" s="96"/>
      <c r="X40" s="96"/>
    </row>
    <row r="41" spans="1:26">
      <c r="S41" s="96"/>
    </row>
    <row r="42" spans="1:26">
      <c r="S42" s="96"/>
    </row>
    <row r="43" spans="1:26">
      <c r="S43" s="96"/>
    </row>
    <row r="44" spans="1:26">
      <c r="S44" s="96"/>
    </row>
    <row r="45" spans="1:26">
      <c r="S45" s="96"/>
    </row>
    <row r="46" spans="1:26">
      <c r="S46" s="96"/>
      <c r="T46" s="96"/>
      <c r="U46" s="96"/>
      <c r="V46" s="96"/>
      <c r="W46" s="96"/>
      <c r="X46" s="96"/>
      <c r="Y46" s="96"/>
      <c r="Z46" s="96"/>
    </row>
    <row r="47" spans="1:26">
      <c r="S47" s="96"/>
      <c r="T47" s="96"/>
      <c r="U47" s="96"/>
      <c r="V47" s="96"/>
      <c r="W47" s="96"/>
      <c r="X47" s="96"/>
      <c r="Y47" s="96"/>
      <c r="Z47" s="96"/>
    </row>
    <row r="48" spans="1:26">
      <c r="S48" s="96"/>
      <c r="T48" s="96"/>
      <c r="U48" s="96"/>
      <c r="V48" s="96"/>
      <c r="W48" s="96"/>
      <c r="X48" s="96"/>
      <c r="Y48" s="96"/>
      <c r="Z48" s="96"/>
    </row>
    <row r="49" spans="2:26">
      <c r="S49" s="96"/>
      <c r="T49" s="96"/>
      <c r="U49" s="96"/>
      <c r="V49" s="96"/>
      <c r="W49" s="96"/>
      <c r="X49" s="96"/>
      <c r="Y49" s="96"/>
      <c r="Z49" s="96"/>
    </row>
    <row r="50" spans="2:26">
      <c r="S50" s="96"/>
      <c r="T50" s="96"/>
      <c r="U50" s="96"/>
      <c r="V50" s="96"/>
      <c r="W50" s="96"/>
      <c r="X50" s="96"/>
      <c r="Y50" s="96"/>
      <c r="Z50" s="96"/>
    </row>
    <row r="51" spans="2:26">
      <c r="S51" s="96"/>
      <c r="T51" s="96"/>
      <c r="U51" s="96"/>
      <c r="V51" s="96"/>
      <c r="W51" s="96"/>
      <c r="X51" s="96"/>
      <c r="Y51" s="96"/>
      <c r="Z51" s="96"/>
    </row>
    <row r="52" spans="2:26">
      <c r="B52" s="96"/>
      <c r="C52" s="96"/>
      <c r="D52" s="96"/>
      <c r="E52" s="96"/>
      <c r="F52" s="96"/>
      <c r="G52" s="96"/>
      <c r="H52" s="96"/>
      <c r="I52" s="96"/>
      <c r="J52" s="96"/>
      <c r="K52" s="96"/>
      <c r="L52" s="96"/>
      <c r="M52" s="96"/>
      <c r="N52" s="96"/>
      <c r="O52" s="96"/>
      <c r="P52" s="96"/>
      <c r="Q52" s="96"/>
      <c r="R52" s="96"/>
      <c r="S52" s="96"/>
      <c r="T52" s="96"/>
      <c r="U52" s="96"/>
      <c r="V52" s="96"/>
      <c r="W52" s="96"/>
      <c r="X52" s="96"/>
      <c r="Y52" s="96"/>
      <c r="Z52" s="96"/>
    </row>
    <row r="71" spans="20:20">
      <c r="T71" s="96"/>
    </row>
    <row r="72" spans="20:20">
      <c r="T72" s="96"/>
    </row>
    <row r="73" spans="20:20">
      <c r="T73" s="96"/>
    </row>
    <row r="74" spans="20:20">
      <c r="T74" s="96"/>
    </row>
    <row r="75" spans="20:20">
      <c r="T75" s="96"/>
    </row>
    <row r="76" spans="20:20">
      <c r="T76" s="96"/>
    </row>
    <row r="77" spans="20:20">
      <c r="T77" s="96"/>
    </row>
    <row r="78" spans="20:20">
      <c r="T78" s="96"/>
    </row>
    <row r="88" spans="20:20">
      <c r="T88" s="96"/>
    </row>
    <row r="89" spans="20:20">
      <c r="T89" s="96"/>
    </row>
    <row r="90" spans="20:20">
      <c r="T90" s="96"/>
    </row>
    <row r="91" spans="20:20">
      <c r="T91" s="96"/>
    </row>
  </sheetData>
  <mergeCells count="4">
    <mergeCell ref="A1:P1"/>
    <mergeCell ref="A40:U40"/>
    <mergeCell ref="A2:P4"/>
    <mergeCell ref="A5:XFD5"/>
  </mergeCells>
  <printOptions horizontalCentered="1" verticalCentered="1"/>
  <pageMargins left="0.39370078740157483" right="0.39370078740157483" top="0.23622047244094491" bottom="0.23622047244094491" header="0.31496062992125984" footer="0.31496062992125984"/>
  <pageSetup scale="47" orientation="landscape" r:id="rId1"/>
  <drawing r:id="rId2"/>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7">
    <tabColor rgb="FFFFFF00"/>
    <pageSetUpPr fitToPage="1"/>
  </sheetPr>
  <dimension ref="A1:AG91"/>
  <sheetViews>
    <sheetView showGridLines="0" view="pageBreakPreview" zoomScale="55" zoomScaleNormal="100" zoomScaleSheetLayoutView="55" zoomScalePageLayoutView="62" workbookViewId="0">
      <selection activeCell="Q3" sqref="Q3"/>
    </sheetView>
  </sheetViews>
  <sheetFormatPr baseColWidth="10" defaultColWidth="11.42578125" defaultRowHeight="15"/>
  <cols>
    <col min="1" max="1" width="18.42578125" style="77" customWidth="1"/>
    <col min="2" max="2" width="20" style="77" customWidth="1"/>
    <col min="3" max="3" width="19.140625" style="77" customWidth="1"/>
    <col min="4" max="4" width="16.140625" style="77" customWidth="1"/>
    <col min="5" max="5" width="19.42578125" style="77" customWidth="1"/>
    <col min="6" max="6" width="16.85546875" style="77" customWidth="1"/>
    <col min="7" max="7" width="16.42578125" style="77" customWidth="1"/>
    <col min="8" max="8" width="14.85546875" style="77" customWidth="1"/>
    <col min="9" max="9" width="22.42578125" style="77" customWidth="1"/>
    <col min="10" max="10" width="18.7109375" style="77" customWidth="1"/>
    <col min="11" max="11" width="17.140625" style="77" customWidth="1"/>
    <col min="12" max="12" width="24.28515625" style="77" customWidth="1"/>
    <col min="13" max="13" width="16.85546875" style="77" customWidth="1"/>
    <col min="14" max="14" width="16.28515625" style="77" customWidth="1"/>
    <col min="15" max="15" width="15" style="77" customWidth="1"/>
    <col min="16" max="16" width="29" style="77" customWidth="1"/>
    <col min="17" max="17" width="18" style="77" bestFit="1" customWidth="1"/>
    <col min="18" max="18" width="17.42578125" style="77" customWidth="1"/>
    <col min="19" max="19" width="24.7109375" style="77" customWidth="1"/>
    <col min="20" max="20" width="20.42578125" style="77" customWidth="1"/>
    <col min="21" max="21" width="14.7109375" style="77" customWidth="1"/>
    <col min="22" max="22" width="13" style="77" customWidth="1"/>
    <col min="23" max="26" width="11.42578125" style="77"/>
    <col min="27" max="27" width="18.7109375" style="77" bestFit="1" customWidth="1"/>
    <col min="28" max="16384" width="11.42578125" style="77"/>
  </cols>
  <sheetData>
    <row r="1" spans="1:33" ht="105.75" customHeight="1">
      <c r="A1" s="2025"/>
      <c r="B1" s="2025"/>
      <c r="C1" s="2025"/>
      <c r="D1" s="2025"/>
      <c r="E1" s="2025"/>
      <c r="F1" s="2025"/>
      <c r="G1" s="2025"/>
      <c r="H1" s="2025"/>
      <c r="I1" s="2025"/>
      <c r="J1" s="2025"/>
      <c r="K1" s="2025"/>
      <c r="L1" s="2025"/>
      <c r="M1" s="2025"/>
      <c r="N1" s="2025"/>
      <c r="O1" s="2025"/>
      <c r="P1" s="2025"/>
    </row>
    <row r="2" spans="1:33" ht="408.75" customHeight="1">
      <c r="A2" s="2222" t="s">
        <v>1039</v>
      </c>
      <c r="B2" s="2223"/>
      <c r="C2" s="2223"/>
      <c r="D2" s="2223"/>
      <c r="E2" s="2223"/>
      <c r="F2" s="2223"/>
      <c r="G2" s="2223"/>
      <c r="H2" s="2223"/>
      <c r="I2" s="2223"/>
      <c r="J2" s="2223"/>
      <c r="K2" s="2223"/>
      <c r="L2" s="2223"/>
      <c r="M2" s="2223"/>
      <c r="N2" s="2223"/>
      <c r="O2" s="2223"/>
      <c r="P2" s="2223"/>
      <c r="Q2" s="61"/>
      <c r="R2" s="61"/>
      <c r="S2" s="24"/>
      <c r="T2" s="24"/>
      <c r="U2" s="24"/>
      <c r="V2" s="24"/>
    </row>
    <row r="3" spans="1:33" ht="408.75" customHeight="1">
      <c r="A3" s="2223"/>
      <c r="B3" s="2223"/>
      <c r="C3" s="2223"/>
      <c r="D3" s="2223"/>
      <c r="E3" s="2223"/>
      <c r="F3" s="2223"/>
      <c r="G3" s="2223"/>
      <c r="H3" s="2223"/>
      <c r="I3" s="2223"/>
      <c r="J3" s="2223"/>
      <c r="K3" s="2223"/>
      <c r="L3" s="2223"/>
      <c r="M3" s="2223"/>
      <c r="N3" s="2223"/>
      <c r="O3" s="2223"/>
      <c r="P3" s="2223"/>
      <c r="Q3" s="61"/>
      <c r="R3" s="61"/>
      <c r="S3" s="24"/>
      <c r="T3" s="24"/>
      <c r="U3" s="24"/>
      <c r="V3" s="24"/>
    </row>
    <row r="4" spans="1:33" ht="409.5" customHeight="1">
      <c r="A4" s="2223"/>
      <c r="B4" s="2223"/>
      <c r="C4" s="2223"/>
      <c r="D4" s="2223"/>
      <c r="E4" s="2223"/>
      <c r="F4" s="2223"/>
      <c r="G4" s="2223"/>
      <c r="H4" s="2223"/>
      <c r="I4" s="2223"/>
      <c r="J4" s="2223"/>
      <c r="K4" s="2223"/>
      <c r="L4" s="2223"/>
      <c r="M4" s="2223"/>
      <c r="N4" s="2223"/>
      <c r="O4" s="2223"/>
      <c r="P4" s="2223"/>
      <c r="Q4" s="61"/>
      <c r="R4" s="61"/>
      <c r="S4" s="24"/>
      <c r="T4" s="24"/>
      <c r="U4" s="24"/>
      <c r="V4" s="24"/>
    </row>
    <row r="5" spans="1:33" ht="114.75" customHeight="1">
      <c r="A5" s="2223"/>
      <c r="B5" s="2223"/>
      <c r="C5" s="2223"/>
      <c r="D5" s="2223"/>
      <c r="E5" s="2223"/>
      <c r="F5" s="2223"/>
      <c r="G5" s="2223"/>
      <c r="H5" s="2223"/>
      <c r="I5" s="2223"/>
      <c r="J5" s="2223"/>
      <c r="K5" s="2223"/>
      <c r="L5" s="2223"/>
      <c r="M5" s="2223"/>
      <c r="N5" s="2223"/>
      <c r="O5" s="2223"/>
      <c r="P5" s="2223"/>
      <c r="Q5" s="61"/>
      <c r="R5" s="61"/>
      <c r="S5" s="24"/>
      <c r="T5" s="24"/>
      <c r="U5" s="24"/>
      <c r="V5" s="24"/>
    </row>
    <row r="6" spans="1:33" ht="25.5" customHeight="1">
      <c r="Q6" s="61"/>
      <c r="R6" s="61"/>
      <c r="S6" s="24"/>
      <c r="T6" s="24"/>
      <c r="U6" s="24"/>
      <c r="V6" s="24"/>
    </row>
    <row r="7" spans="1:33" ht="25.5" customHeight="1">
      <c r="Q7" s="61"/>
      <c r="R7" s="61"/>
      <c r="S7" s="24"/>
      <c r="T7" s="24"/>
      <c r="U7" s="24"/>
      <c r="V7" s="24"/>
    </row>
    <row r="8" spans="1:33" ht="25.5" customHeight="1">
      <c r="Q8" s="61"/>
      <c r="R8" s="61"/>
      <c r="S8" s="24"/>
      <c r="T8" s="24"/>
      <c r="U8" s="24"/>
      <c r="V8" s="24"/>
    </row>
    <row r="9" spans="1:33" ht="25.5" customHeight="1">
      <c r="Q9" s="61"/>
      <c r="R9" s="61"/>
      <c r="S9" s="24"/>
      <c r="T9" s="24"/>
      <c r="U9" s="24"/>
      <c r="V9" s="24"/>
    </row>
    <row r="10" spans="1:33" ht="25.5" customHeight="1">
      <c r="Q10" s="61"/>
      <c r="R10" s="61"/>
      <c r="S10" s="24"/>
      <c r="T10" s="24"/>
      <c r="U10" s="24"/>
      <c r="V10" s="24"/>
    </row>
    <row r="11" spans="1:33" ht="25.5" customHeight="1">
      <c r="Q11" s="61"/>
      <c r="R11" s="61"/>
      <c r="S11" s="24"/>
      <c r="T11" s="24"/>
      <c r="U11" s="24"/>
      <c r="V11" s="24"/>
    </row>
    <row r="12" spans="1:33" ht="23.25" customHeight="1">
      <c r="Q12" s="61"/>
      <c r="R12" s="61"/>
      <c r="S12" s="24"/>
      <c r="T12" s="24"/>
      <c r="U12" s="24"/>
      <c r="V12" s="24"/>
    </row>
    <row r="13" spans="1:33" ht="25.5" customHeight="1">
      <c r="A13" s="31"/>
      <c r="B13" s="31"/>
      <c r="C13" s="31"/>
      <c r="D13" s="31"/>
      <c r="E13" s="31"/>
      <c r="F13" s="31"/>
      <c r="G13" s="31"/>
      <c r="H13" s="31"/>
      <c r="I13" s="31"/>
      <c r="J13" s="31"/>
      <c r="K13" s="31"/>
      <c r="L13" s="31"/>
      <c r="M13" s="31"/>
      <c r="N13" s="31"/>
      <c r="O13" s="31"/>
      <c r="P13" s="31"/>
      <c r="R13" s="61"/>
      <c r="S13" s="24"/>
      <c r="T13" s="24"/>
      <c r="U13" s="24"/>
      <c r="V13" s="24"/>
    </row>
    <row r="14" spans="1:33" ht="25.5" customHeight="1">
      <c r="A14" s="31"/>
      <c r="B14" s="31"/>
      <c r="C14" s="31"/>
      <c r="D14" s="31"/>
      <c r="E14" s="31"/>
      <c r="F14" s="31"/>
      <c r="G14" s="31"/>
      <c r="H14" s="31"/>
      <c r="I14" s="31"/>
      <c r="J14" s="31"/>
      <c r="K14" s="31"/>
      <c r="L14" s="31"/>
      <c r="M14" s="31"/>
      <c r="N14" s="31"/>
      <c r="O14" s="31"/>
      <c r="P14" s="31"/>
      <c r="Q14" s="31"/>
      <c r="R14" s="31"/>
      <c r="S14" s="31"/>
      <c r="T14" s="31"/>
      <c r="U14" s="31"/>
      <c r="V14" s="31"/>
    </row>
    <row r="15" spans="1:33" ht="25.5" customHeight="1">
      <c r="A15" s="31"/>
      <c r="B15" s="31"/>
      <c r="C15" s="31"/>
      <c r="D15" s="31"/>
      <c r="E15" s="31"/>
      <c r="F15" s="31"/>
      <c r="G15" s="31"/>
      <c r="H15" s="31"/>
      <c r="I15" s="31"/>
      <c r="J15" s="31"/>
      <c r="K15" s="31"/>
      <c r="L15" s="31"/>
      <c r="M15" s="31"/>
      <c r="N15" s="31"/>
      <c r="O15" s="31"/>
      <c r="P15" s="31"/>
      <c r="Q15" s="31"/>
      <c r="R15" s="31"/>
      <c r="S15" s="31"/>
      <c r="T15" s="31"/>
      <c r="U15" s="31"/>
      <c r="V15" s="31"/>
      <c r="AG15" s="77" t="s">
        <v>31</v>
      </c>
    </row>
    <row r="16" spans="1:33" ht="25.5" customHeight="1">
      <c r="A16" s="31"/>
      <c r="B16" s="31"/>
      <c r="C16" s="31"/>
      <c r="D16" s="31"/>
      <c r="E16" s="31"/>
      <c r="F16" s="31"/>
      <c r="G16" s="31"/>
      <c r="H16" s="31"/>
      <c r="I16" s="31"/>
      <c r="J16" s="31"/>
      <c r="K16" s="31"/>
      <c r="L16" s="31"/>
      <c r="M16" s="31"/>
      <c r="N16" s="31"/>
      <c r="O16" s="31"/>
      <c r="P16" s="31"/>
      <c r="Q16" s="31"/>
      <c r="R16" s="31"/>
      <c r="S16" s="31"/>
      <c r="T16" s="31"/>
      <c r="U16" s="31"/>
      <c r="V16" s="31"/>
    </row>
    <row r="17" spans="1:23" ht="25.5" customHeight="1">
      <c r="A17" s="31"/>
      <c r="B17" s="31"/>
      <c r="C17" s="31"/>
      <c r="D17" s="31"/>
      <c r="E17" s="31"/>
      <c r="F17" s="31"/>
      <c r="G17" s="31"/>
      <c r="H17" s="31"/>
      <c r="I17" s="31"/>
      <c r="J17" s="31"/>
      <c r="K17" s="31"/>
      <c r="L17" s="31"/>
      <c r="M17" s="31"/>
      <c r="N17" s="31"/>
      <c r="O17" s="31"/>
      <c r="P17" s="31"/>
      <c r="Q17" s="31"/>
      <c r="R17" s="31"/>
      <c r="S17" s="31"/>
      <c r="T17" s="31"/>
      <c r="U17" s="31"/>
      <c r="V17" s="31"/>
    </row>
    <row r="18" spans="1:23" ht="25.5" customHeight="1">
      <c r="A18" s="31"/>
      <c r="B18" s="31"/>
      <c r="C18" s="31"/>
      <c r="D18" s="31"/>
      <c r="E18" s="31"/>
      <c r="F18" s="31"/>
      <c r="G18" s="31"/>
      <c r="H18" s="31"/>
      <c r="I18" s="31"/>
      <c r="J18" s="31"/>
      <c r="K18" s="31"/>
      <c r="L18" s="31"/>
      <c r="M18" s="31"/>
      <c r="N18" s="31"/>
      <c r="O18" s="31"/>
      <c r="P18" s="31"/>
      <c r="Q18" s="31"/>
      <c r="R18" s="31"/>
      <c r="S18" s="31"/>
      <c r="T18" s="31"/>
      <c r="U18" s="31"/>
      <c r="V18" s="31"/>
    </row>
    <row r="19" spans="1:23" ht="25.5" customHeight="1">
      <c r="A19" s="31"/>
      <c r="B19" s="31"/>
      <c r="C19" s="31"/>
      <c r="D19" s="31"/>
      <c r="E19" s="31"/>
      <c r="F19" s="31"/>
      <c r="G19" s="31"/>
      <c r="H19" s="31"/>
      <c r="I19" s="31"/>
      <c r="J19" s="31"/>
      <c r="K19" s="31"/>
      <c r="L19" s="31"/>
      <c r="M19" s="31"/>
      <c r="N19" s="31"/>
      <c r="O19" s="31"/>
      <c r="P19" s="31"/>
      <c r="Q19" s="31"/>
      <c r="R19" s="31"/>
      <c r="S19" s="31"/>
      <c r="T19" s="31"/>
      <c r="U19" s="31"/>
      <c r="V19" s="31"/>
    </row>
    <row r="20" spans="1:23" ht="25.5" customHeight="1">
      <c r="A20" s="31"/>
      <c r="B20" s="31"/>
      <c r="C20" s="31"/>
      <c r="D20" s="31"/>
      <c r="E20" s="31"/>
      <c r="F20" s="31"/>
      <c r="G20" s="31"/>
      <c r="H20" s="31"/>
      <c r="I20" s="31"/>
      <c r="J20" s="31"/>
      <c r="K20" s="31"/>
      <c r="L20" s="31"/>
      <c r="M20" s="31"/>
      <c r="N20" s="31"/>
      <c r="O20" s="31"/>
      <c r="P20" s="31"/>
      <c r="Q20" s="31"/>
      <c r="R20" s="31"/>
      <c r="S20" s="31"/>
      <c r="T20" s="31"/>
      <c r="U20" s="31"/>
      <c r="V20" s="31"/>
    </row>
    <row r="21" spans="1:23" ht="25.5" customHeight="1">
      <c r="A21" s="31"/>
      <c r="B21" s="31"/>
      <c r="C21" s="31"/>
      <c r="D21" s="31"/>
      <c r="E21" s="31"/>
      <c r="F21" s="31"/>
      <c r="G21" s="31"/>
      <c r="H21" s="31"/>
      <c r="I21" s="31"/>
      <c r="J21" s="31"/>
      <c r="K21" s="31"/>
      <c r="L21" s="31"/>
      <c r="M21" s="31"/>
      <c r="N21" s="31"/>
      <c r="O21" s="31"/>
      <c r="P21" s="31"/>
      <c r="Q21" s="31"/>
      <c r="R21" s="31"/>
      <c r="S21" s="31"/>
      <c r="T21" s="31"/>
      <c r="U21" s="31"/>
      <c r="V21" s="31"/>
    </row>
    <row r="22" spans="1:23" ht="25.5" customHeight="1">
      <c r="A22" s="31"/>
      <c r="B22" s="31"/>
      <c r="C22" s="31"/>
      <c r="D22" s="31"/>
      <c r="E22" s="31"/>
      <c r="F22" s="31"/>
      <c r="G22" s="31"/>
      <c r="H22" s="31"/>
      <c r="I22" s="31"/>
      <c r="J22" s="31"/>
      <c r="K22" s="31"/>
      <c r="L22" s="31"/>
      <c r="M22" s="31"/>
      <c r="N22" s="31"/>
      <c r="O22" s="31"/>
      <c r="P22" s="31"/>
      <c r="Q22" s="31"/>
      <c r="R22" s="31"/>
      <c r="S22" s="31"/>
      <c r="T22" s="31"/>
      <c r="U22" s="31"/>
      <c r="V22" s="31"/>
    </row>
    <row r="23" spans="1:23" ht="25.5" customHeight="1">
      <c r="A23" s="31"/>
      <c r="B23" s="31"/>
      <c r="C23" s="31"/>
      <c r="D23" s="31"/>
      <c r="E23" s="31"/>
      <c r="F23" s="31"/>
      <c r="G23" s="31"/>
      <c r="H23" s="31"/>
      <c r="I23" s="31"/>
      <c r="J23" s="31"/>
      <c r="K23" s="31"/>
      <c r="L23" s="31"/>
      <c r="M23" s="31"/>
      <c r="N23" s="31"/>
      <c r="O23" s="31"/>
      <c r="P23" s="31"/>
      <c r="Q23" s="31"/>
      <c r="R23" s="31"/>
      <c r="S23" s="31"/>
      <c r="T23" s="31"/>
      <c r="U23" s="31"/>
      <c r="V23" s="31"/>
    </row>
    <row r="24" spans="1:23" ht="25.5" customHeight="1">
      <c r="A24" s="31"/>
      <c r="B24" s="31"/>
      <c r="C24" s="31"/>
      <c r="D24" s="31"/>
      <c r="E24" s="31"/>
      <c r="F24" s="31"/>
      <c r="G24" s="31"/>
      <c r="H24" s="31"/>
      <c r="I24" s="31"/>
      <c r="J24" s="31"/>
      <c r="K24" s="31"/>
      <c r="L24" s="31"/>
      <c r="M24" s="31"/>
      <c r="N24" s="31"/>
      <c r="O24" s="31"/>
      <c r="P24" s="31"/>
      <c r="Q24" s="31"/>
      <c r="R24" s="31"/>
      <c r="S24" s="31"/>
      <c r="T24" s="31"/>
      <c r="U24" s="31"/>
      <c r="V24" s="31"/>
    </row>
    <row r="25" spans="1:23" ht="25.5" customHeight="1">
      <c r="A25" s="31"/>
      <c r="B25" s="31"/>
      <c r="C25" s="31"/>
      <c r="D25" s="31"/>
      <c r="E25" s="31"/>
      <c r="F25" s="31"/>
      <c r="G25" s="31"/>
      <c r="H25" s="31"/>
      <c r="I25" s="31"/>
      <c r="J25" s="31"/>
      <c r="K25" s="31"/>
      <c r="L25" s="31"/>
      <c r="M25" s="31"/>
      <c r="N25" s="31"/>
      <c r="O25" s="31"/>
      <c r="P25" s="31"/>
      <c r="Q25" s="31"/>
      <c r="R25" s="31"/>
      <c r="S25" s="31"/>
      <c r="T25" s="31"/>
      <c r="U25" s="31"/>
      <c r="V25" s="31"/>
    </row>
    <row r="26" spans="1:23" ht="25.5" customHeight="1">
      <c r="A26" s="31"/>
      <c r="B26" s="31"/>
      <c r="C26" s="31"/>
      <c r="D26" s="31"/>
      <c r="E26" s="31"/>
      <c r="F26" s="31"/>
      <c r="G26" s="31"/>
      <c r="H26" s="31"/>
      <c r="I26" s="31"/>
      <c r="J26" s="31"/>
      <c r="K26" s="31"/>
      <c r="L26" s="31"/>
      <c r="M26" s="31"/>
      <c r="N26" s="31"/>
      <c r="O26" s="31"/>
      <c r="P26" s="31"/>
      <c r="Q26" s="31"/>
      <c r="R26" s="31"/>
      <c r="S26" s="31"/>
      <c r="T26" s="31"/>
      <c r="U26" s="31"/>
      <c r="V26" s="31"/>
    </row>
    <row r="27" spans="1:23" ht="25.5" customHeight="1">
      <c r="A27" s="31"/>
      <c r="B27" s="31"/>
      <c r="C27" s="31"/>
      <c r="D27" s="31"/>
      <c r="E27" s="31"/>
      <c r="F27" s="31"/>
      <c r="G27" s="31"/>
      <c r="H27" s="31"/>
      <c r="I27" s="31"/>
      <c r="J27" s="31"/>
      <c r="K27" s="31"/>
      <c r="L27" s="31"/>
      <c r="M27" s="31"/>
      <c r="N27" s="31"/>
      <c r="O27" s="31"/>
      <c r="P27" s="31"/>
      <c r="Q27" s="31"/>
      <c r="R27" s="31"/>
      <c r="S27" s="31"/>
      <c r="T27" s="31"/>
      <c r="U27" s="31"/>
      <c r="V27" s="31"/>
      <c r="W27" s="77" t="s">
        <v>31</v>
      </c>
    </row>
    <row r="28" spans="1:23" ht="25.5" customHeight="1">
      <c r="A28" s="31"/>
      <c r="B28" s="31"/>
      <c r="C28" s="31"/>
      <c r="D28" s="31"/>
      <c r="E28" s="31"/>
      <c r="F28" s="31"/>
      <c r="G28" s="31"/>
      <c r="H28" s="31"/>
      <c r="I28" s="31"/>
      <c r="J28" s="31"/>
      <c r="K28" s="31"/>
      <c r="L28" s="31"/>
      <c r="M28" s="31"/>
      <c r="N28" s="31"/>
      <c r="O28" s="31"/>
      <c r="P28" s="31"/>
      <c r="Q28" s="31"/>
      <c r="R28" s="31"/>
      <c r="S28" s="31"/>
      <c r="T28" s="31"/>
      <c r="U28" s="31"/>
      <c r="V28" s="31"/>
    </row>
    <row r="29" spans="1:23" ht="25.5" customHeight="1">
      <c r="A29" s="31"/>
      <c r="B29" s="31"/>
      <c r="C29" s="31"/>
      <c r="D29" s="31"/>
      <c r="E29" s="31"/>
      <c r="F29" s="31"/>
      <c r="G29" s="31"/>
      <c r="H29" s="31"/>
      <c r="I29" s="31"/>
      <c r="J29" s="31"/>
      <c r="K29" s="31"/>
      <c r="L29" s="31"/>
      <c r="M29" s="31"/>
      <c r="N29" s="31"/>
      <c r="O29" s="31"/>
      <c r="P29" s="31"/>
      <c r="Q29" s="31"/>
      <c r="R29" s="31"/>
      <c r="S29" s="31"/>
      <c r="T29" s="31"/>
      <c r="U29" s="31"/>
      <c r="V29" s="31"/>
    </row>
    <row r="30" spans="1:23" ht="25.5" customHeight="1">
      <c r="A30" s="31"/>
      <c r="B30" s="31"/>
      <c r="C30" s="31"/>
      <c r="D30" s="31"/>
      <c r="E30" s="31"/>
      <c r="F30" s="31"/>
      <c r="G30" s="31"/>
      <c r="H30" s="31"/>
      <c r="I30" s="31"/>
      <c r="J30" s="31"/>
      <c r="K30" s="31"/>
      <c r="L30" s="31"/>
      <c r="M30" s="31"/>
      <c r="N30" s="31"/>
      <c r="O30" s="31"/>
      <c r="P30" s="31"/>
      <c r="Q30" s="31"/>
      <c r="R30" s="31"/>
      <c r="S30" s="31"/>
      <c r="T30" s="31"/>
      <c r="U30" s="31"/>
      <c r="V30" s="31"/>
    </row>
    <row r="31" spans="1:23" ht="25.5" customHeight="1">
      <c r="A31" s="31"/>
      <c r="B31" s="31"/>
      <c r="C31" s="31"/>
      <c r="D31" s="31"/>
      <c r="E31" s="31"/>
      <c r="F31" s="31"/>
      <c r="G31" s="31"/>
      <c r="H31" s="31"/>
      <c r="I31" s="31"/>
      <c r="J31" s="31"/>
      <c r="K31" s="31"/>
      <c r="L31" s="31"/>
      <c r="M31" s="31"/>
      <c r="N31" s="31"/>
      <c r="O31" s="31"/>
      <c r="P31" s="31"/>
      <c r="Q31" s="31"/>
      <c r="R31" s="31"/>
      <c r="S31" s="31"/>
      <c r="T31" s="31"/>
      <c r="U31" s="31"/>
      <c r="V31" s="31"/>
    </row>
    <row r="32" spans="1:23" ht="25.5" customHeight="1">
      <c r="A32" s="31"/>
      <c r="B32" s="31"/>
      <c r="C32" s="31"/>
      <c r="D32" s="31"/>
      <c r="E32" s="31"/>
      <c r="F32" s="31"/>
      <c r="G32" s="31"/>
      <c r="H32" s="31"/>
      <c r="I32" s="31"/>
      <c r="J32" s="31"/>
      <c r="K32" s="31"/>
      <c r="L32" s="31"/>
      <c r="M32" s="31"/>
      <c r="N32" s="31"/>
      <c r="O32" s="31"/>
      <c r="P32" s="31"/>
      <c r="Q32" s="31"/>
      <c r="R32" s="31"/>
      <c r="S32" s="31"/>
      <c r="T32" s="31"/>
      <c r="U32" s="31"/>
      <c r="V32" s="31"/>
    </row>
    <row r="33" spans="1:30" ht="25.5" customHeight="1">
      <c r="A33" s="31"/>
      <c r="B33" s="31"/>
      <c r="C33" s="31"/>
      <c r="D33" s="31"/>
      <c r="E33" s="31"/>
      <c r="F33" s="31"/>
      <c r="G33" s="31"/>
      <c r="H33" s="31"/>
      <c r="I33" s="31"/>
      <c r="J33" s="31"/>
      <c r="K33" s="31"/>
      <c r="L33" s="31"/>
      <c r="M33" s="31"/>
      <c r="N33" s="31"/>
      <c r="O33" s="31"/>
      <c r="P33" s="31"/>
      <c r="Q33" s="31"/>
      <c r="R33" s="31"/>
      <c r="S33" s="31"/>
      <c r="T33" s="31"/>
      <c r="U33" s="31"/>
      <c r="V33" s="31"/>
    </row>
    <row r="34" spans="1:30" ht="25.5" customHeight="1">
      <c r="A34" s="31"/>
      <c r="B34" s="31"/>
      <c r="C34" s="31"/>
      <c r="D34" s="31"/>
      <c r="E34" s="31"/>
      <c r="F34" s="31"/>
      <c r="G34" s="31"/>
      <c r="H34" s="31"/>
      <c r="I34" s="31"/>
      <c r="J34" s="31"/>
      <c r="K34" s="31"/>
      <c r="L34" s="31"/>
      <c r="M34" s="31"/>
      <c r="N34" s="31"/>
      <c r="O34" s="31"/>
      <c r="P34" s="31"/>
      <c r="Q34" s="31"/>
      <c r="R34" s="31"/>
      <c r="S34" s="31"/>
      <c r="T34" s="31"/>
      <c r="U34" s="31"/>
      <c r="V34" s="31"/>
    </row>
    <row r="35" spans="1:30">
      <c r="S35" s="95"/>
      <c r="T35" s="95"/>
      <c r="U35" s="95"/>
      <c r="V35" s="95"/>
      <c r="W35" s="96"/>
      <c r="X35" s="96"/>
      <c r="Y35" s="96"/>
      <c r="Z35" s="96"/>
      <c r="AA35" s="96"/>
      <c r="AB35" s="96"/>
    </row>
    <row r="36" spans="1:30">
      <c r="S36" s="95"/>
      <c r="T36" s="95"/>
      <c r="U36" s="95"/>
      <c r="V36" s="95"/>
      <c r="W36" s="96"/>
      <c r="X36" s="96"/>
      <c r="Y36" s="96"/>
      <c r="Z36" s="96"/>
      <c r="AA36" s="96"/>
      <c r="AB36" s="96"/>
    </row>
    <row r="37" spans="1:30">
      <c r="S37" s="95"/>
      <c r="T37" s="95"/>
      <c r="U37" s="95"/>
      <c r="V37" s="95"/>
      <c r="W37" s="96"/>
      <c r="X37" s="96"/>
      <c r="Y37" s="96"/>
      <c r="Z37" s="96"/>
      <c r="AA37" s="96"/>
      <c r="AB37" s="96"/>
    </row>
    <row r="38" spans="1:30">
      <c r="S38" s="95"/>
      <c r="T38" s="95"/>
      <c r="U38" s="95"/>
      <c r="V38" s="95"/>
      <c r="W38" s="96"/>
      <c r="X38" s="96"/>
      <c r="Y38" s="96"/>
      <c r="Z38" s="96"/>
      <c r="AA38" s="96"/>
      <c r="AB38" s="96"/>
    </row>
    <row r="39" spans="1:30" ht="51" customHeight="1">
      <c r="S39" s="95"/>
      <c r="T39" s="95"/>
      <c r="U39" s="95"/>
      <c r="V39" s="95"/>
      <c r="W39" s="96"/>
      <c r="X39" s="96"/>
      <c r="Y39" s="96"/>
      <c r="Z39" s="96"/>
      <c r="AA39" s="96"/>
      <c r="AB39" s="96"/>
    </row>
    <row r="40" spans="1:30" ht="78" customHeight="1">
      <c r="A40" s="2023"/>
      <c r="B40" s="2023"/>
      <c r="C40" s="2023"/>
      <c r="D40" s="2023"/>
      <c r="E40" s="2023"/>
      <c r="F40" s="2023"/>
      <c r="G40" s="2023"/>
      <c r="H40" s="2023"/>
      <c r="I40" s="2023"/>
      <c r="J40" s="2023"/>
      <c r="K40" s="2023"/>
      <c r="L40" s="2023"/>
      <c r="M40" s="2023"/>
      <c r="N40" s="2023"/>
      <c r="O40" s="2023"/>
      <c r="P40" s="2023"/>
      <c r="Q40" s="2023"/>
      <c r="R40" s="2023"/>
      <c r="S40" s="2023"/>
      <c r="T40" s="2023"/>
      <c r="U40" s="2023"/>
      <c r="V40" s="2023"/>
      <c r="W40" s="2023"/>
      <c r="X40" s="2023"/>
      <c r="Y40" s="2023"/>
      <c r="Z40" s="96"/>
      <c r="AA40" s="96"/>
      <c r="AB40" s="96"/>
    </row>
    <row r="41" spans="1:30">
      <c r="S41" s="96"/>
      <c r="T41" s="96"/>
      <c r="U41" s="96"/>
      <c r="V41" s="96"/>
      <c r="W41" s="96"/>
    </row>
    <row r="42" spans="1:30">
      <c r="S42" s="96"/>
      <c r="T42" s="96"/>
      <c r="U42" s="96"/>
      <c r="V42" s="96"/>
      <c r="W42" s="96"/>
    </row>
    <row r="43" spans="1:30">
      <c r="S43" s="96"/>
      <c r="T43" s="96"/>
      <c r="U43" s="96"/>
      <c r="V43" s="96"/>
      <c r="W43" s="96"/>
    </row>
    <row r="44" spans="1:30">
      <c r="S44" s="96"/>
      <c r="T44" s="96"/>
      <c r="U44" s="96"/>
      <c r="V44" s="96"/>
      <c r="W44" s="96"/>
    </row>
    <row r="45" spans="1:30">
      <c r="S45" s="96"/>
      <c r="T45" s="96"/>
      <c r="U45" s="96"/>
      <c r="V45" s="96"/>
      <c r="W45" s="96"/>
    </row>
    <row r="46" spans="1:30">
      <c r="S46" s="96"/>
      <c r="T46" s="96"/>
      <c r="U46" s="96"/>
      <c r="V46" s="96"/>
      <c r="W46" s="96"/>
      <c r="X46" s="96"/>
      <c r="Y46" s="96"/>
      <c r="Z46" s="96"/>
      <c r="AA46" s="96"/>
      <c r="AB46" s="96"/>
      <c r="AC46" s="96"/>
      <c r="AD46" s="96"/>
    </row>
    <row r="47" spans="1:30">
      <c r="S47" s="96"/>
      <c r="T47" s="96"/>
      <c r="U47" s="96"/>
      <c r="V47" s="96"/>
      <c r="W47" s="96"/>
      <c r="X47" s="96"/>
      <c r="Y47" s="96"/>
      <c r="Z47" s="96"/>
      <c r="AA47" s="96"/>
      <c r="AB47" s="96"/>
      <c r="AC47" s="96"/>
      <c r="AD47" s="96"/>
    </row>
    <row r="48" spans="1:30">
      <c r="S48" s="96"/>
      <c r="T48" s="96"/>
      <c r="U48" s="96"/>
      <c r="V48" s="96"/>
      <c r="W48" s="96"/>
      <c r="X48" s="96"/>
      <c r="Y48" s="96"/>
      <c r="Z48" s="96"/>
      <c r="AA48" s="96"/>
      <c r="AB48" s="96"/>
      <c r="AC48" s="96"/>
      <c r="AD48" s="96"/>
    </row>
    <row r="49" spans="2:30">
      <c r="S49" s="96"/>
      <c r="T49" s="96"/>
      <c r="U49" s="96"/>
      <c r="V49" s="96"/>
      <c r="W49" s="96"/>
      <c r="X49" s="96"/>
      <c r="Y49" s="96"/>
      <c r="Z49" s="96"/>
      <c r="AA49" s="96"/>
      <c r="AB49" s="96"/>
      <c r="AC49" s="96"/>
      <c r="AD49" s="96"/>
    </row>
    <row r="50" spans="2:30">
      <c r="S50" s="96"/>
      <c r="T50" s="96"/>
      <c r="U50" s="96"/>
      <c r="V50" s="96"/>
      <c r="W50" s="96"/>
      <c r="X50" s="96"/>
      <c r="Y50" s="96"/>
      <c r="Z50" s="96"/>
      <c r="AA50" s="96"/>
      <c r="AB50" s="96"/>
      <c r="AC50" s="96"/>
      <c r="AD50" s="96"/>
    </row>
    <row r="51" spans="2:30">
      <c r="S51" s="96"/>
      <c r="T51" s="96"/>
      <c r="U51" s="96"/>
      <c r="V51" s="96"/>
      <c r="W51" s="96"/>
      <c r="X51" s="96"/>
      <c r="Y51" s="96"/>
      <c r="Z51" s="96"/>
      <c r="AA51" s="96"/>
      <c r="AB51" s="96"/>
      <c r="AC51" s="96"/>
      <c r="AD51" s="96"/>
    </row>
    <row r="52" spans="2:30">
      <c r="B52" s="96"/>
      <c r="C52" s="96"/>
      <c r="D52" s="96"/>
      <c r="E52" s="96"/>
      <c r="F52" s="96"/>
      <c r="G52" s="96"/>
      <c r="H52" s="96"/>
      <c r="I52" s="96"/>
      <c r="J52" s="96"/>
      <c r="K52" s="96"/>
      <c r="L52" s="96"/>
      <c r="M52" s="96"/>
      <c r="N52" s="96"/>
      <c r="O52" s="96"/>
      <c r="P52" s="96"/>
      <c r="Q52" s="96"/>
      <c r="R52" s="96"/>
      <c r="S52" s="96"/>
      <c r="T52" s="96"/>
      <c r="U52" s="96"/>
      <c r="V52" s="96"/>
      <c r="W52" s="96"/>
      <c r="X52" s="96"/>
      <c r="Y52" s="96"/>
      <c r="Z52" s="96"/>
      <c r="AA52" s="96"/>
      <c r="AB52" s="96"/>
      <c r="AC52" s="96"/>
      <c r="AD52" s="96"/>
    </row>
    <row r="71" spans="24:24">
      <c r="X71" s="96"/>
    </row>
    <row r="72" spans="24:24">
      <c r="X72" s="96"/>
    </row>
    <row r="73" spans="24:24">
      <c r="X73" s="96"/>
    </row>
    <row r="74" spans="24:24">
      <c r="X74" s="96"/>
    </row>
    <row r="75" spans="24:24">
      <c r="X75" s="96"/>
    </row>
    <row r="76" spans="24:24">
      <c r="X76" s="96"/>
    </row>
    <row r="77" spans="24:24">
      <c r="X77" s="96"/>
    </row>
    <row r="78" spans="24:24">
      <c r="X78" s="96"/>
    </row>
    <row r="88" spans="24:24">
      <c r="X88" s="96"/>
    </row>
    <row r="89" spans="24:24">
      <c r="X89" s="96"/>
    </row>
    <row r="90" spans="24:24">
      <c r="X90" s="96"/>
    </row>
    <row r="91" spans="24:24">
      <c r="X91" s="96"/>
    </row>
  </sheetData>
  <mergeCells count="3">
    <mergeCell ref="A1:P1"/>
    <mergeCell ref="A40:Y40"/>
    <mergeCell ref="A2:P5"/>
  </mergeCells>
  <printOptions horizontalCentered="1" verticalCentered="1"/>
  <pageMargins left="0.39370078740157483" right="0.39370078740157483" top="0.23622047244094491" bottom="0.23622047244094491" header="0.31496062992125984" footer="0.31496062992125984"/>
  <pageSetup scale="41" orientation="landscape" r:id="rId1"/>
  <drawing r:id="rId2"/>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8">
    <tabColor rgb="FFFFFF00"/>
    <pageSetUpPr fitToPage="1"/>
  </sheetPr>
  <dimension ref="A1:AG91"/>
  <sheetViews>
    <sheetView showGridLines="0" view="pageBreakPreview" zoomScale="55" zoomScaleNormal="100" zoomScaleSheetLayoutView="55" zoomScalePageLayoutView="62" workbookViewId="0">
      <selection activeCell="Q2" sqref="Q2"/>
    </sheetView>
  </sheetViews>
  <sheetFormatPr baseColWidth="10" defaultColWidth="11.42578125" defaultRowHeight="15"/>
  <cols>
    <col min="1" max="1" width="18.42578125" style="77" customWidth="1"/>
    <col min="2" max="2" width="20" style="77" customWidth="1"/>
    <col min="3" max="3" width="19.140625" style="77" customWidth="1"/>
    <col min="4" max="4" width="16.140625" style="77" customWidth="1"/>
    <col min="5" max="5" width="19.42578125" style="77" customWidth="1"/>
    <col min="6" max="6" width="16.85546875" style="77" customWidth="1"/>
    <col min="7" max="7" width="16.42578125" style="77" customWidth="1"/>
    <col min="8" max="8" width="14.85546875" style="77" customWidth="1"/>
    <col min="9" max="9" width="22.42578125" style="77" customWidth="1"/>
    <col min="10" max="10" width="18.7109375" style="77" customWidth="1"/>
    <col min="11" max="11" width="17.140625" style="77" customWidth="1"/>
    <col min="12" max="12" width="24.28515625" style="77" customWidth="1"/>
    <col min="13" max="13" width="16.85546875" style="77" customWidth="1"/>
    <col min="14" max="14" width="16.28515625" style="77" customWidth="1"/>
    <col min="15" max="15" width="15" style="77" customWidth="1"/>
    <col min="16" max="16" width="21.42578125" style="77" customWidth="1"/>
    <col min="17" max="17" width="18" style="77" bestFit="1" customWidth="1"/>
    <col min="18" max="18" width="17.42578125" style="77" customWidth="1"/>
    <col min="19" max="19" width="24.7109375" style="77" customWidth="1"/>
    <col min="20" max="20" width="20.42578125" style="77" customWidth="1"/>
    <col min="21" max="21" width="14.7109375" style="77" customWidth="1"/>
    <col min="22" max="22" width="13" style="77" customWidth="1"/>
    <col min="23" max="26" width="11.42578125" style="77"/>
    <col min="27" max="27" width="18.7109375" style="77" bestFit="1" customWidth="1"/>
    <col min="28" max="16384" width="11.42578125" style="77"/>
  </cols>
  <sheetData>
    <row r="1" spans="1:33" ht="90.75" customHeight="1">
      <c r="A1" s="2021"/>
      <c r="B1" s="2021"/>
      <c r="C1" s="2021"/>
      <c r="D1" s="2021"/>
      <c r="E1" s="2021"/>
      <c r="F1" s="2021"/>
      <c r="G1" s="2021"/>
      <c r="H1" s="2021"/>
      <c r="I1" s="2021"/>
      <c r="J1" s="2021"/>
      <c r="K1" s="2021"/>
      <c r="L1" s="2021"/>
      <c r="M1" s="2021"/>
      <c r="N1" s="2021"/>
      <c r="O1" s="2021"/>
      <c r="P1" s="2021"/>
    </row>
    <row r="2" spans="1:33" ht="408.75" customHeight="1">
      <c r="A2" s="2219" t="s">
        <v>612</v>
      </c>
      <c r="B2" s="2220"/>
      <c r="C2" s="2220"/>
      <c r="D2" s="2220"/>
      <c r="E2" s="2220"/>
      <c r="F2" s="2220"/>
      <c r="G2" s="2220"/>
      <c r="H2" s="2220"/>
      <c r="I2" s="2220"/>
      <c r="J2" s="2220"/>
      <c r="K2" s="2220"/>
      <c r="L2" s="2220"/>
      <c r="M2" s="2220"/>
      <c r="N2" s="2220"/>
      <c r="O2" s="2220"/>
      <c r="P2" s="2220"/>
      <c r="Q2" s="61"/>
      <c r="R2" s="61"/>
      <c r="S2" s="24"/>
      <c r="T2" s="24"/>
      <c r="U2" s="24"/>
      <c r="V2" s="24"/>
    </row>
    <row r="3" spans="1:33" ht="408.75" customHeight="1">
      <c r="A3" s="2220"/>
      <c r="B3" s="2220"/>
      <c r="C3" s="2220"/>
      <c r="D3" s="2220"/>
      <c r="E3" s="2220"/>
      <c r="F3" s="2220"/>
      <c r="G3" s="2220"/>
      <c r="H3" s="2220"/>
      <c r="I3" s="2220"/>
      <c r="J3" s="2220"/>
      <c r="K3" s="2220"/>
      <c r="L3" s="2220"/>
      <c r="M3" s="2220"/>
      <c r="N3" s="2220"/>
      <c r="O3" s="2220"/>
      <c r="P3" s="2220"/>
      <c r="Q3" s="61"/>
      <c r="R3" s="61"/>
      <c r="S3" s="24"/>
      <c r="T3" s="24"/>
      <c r="U3" s="24"/>
      <c r="V3" s="24"/>
    </row>
    <row r="4" spans="1:33" ht="409.5" customHeight="1">
      <c r="A4" s="2220"/>
      <c r="B4" s="2220"/>
      <c r="C4" s="2220"/>
      <c r="D4" s="2220"/>
      <c r="E4" s="2220"/>
      <c r="F4" s="2220"/>
      <c r="G4" s="2220"/>
      <c r="H4" s="2220"/>
      <c r="I4" s="2220"/>
      <c r="J4" s="2220"/>
      <c r="K4" s="2220"/>
      <c r="L4" s="2220"/>
      <c r="M4" s="2220"/>
      <c r="N4" s="2220"/>
      <c r="O4" s="2220"/>
      <c r="P4" s="2220"/>
      <c r="Q4" s="61"/>
      <c r="R4" s="61"/>
      <c r="S4" s="24"/>
      <c r="T4" s="24"/>
      <c r="U4" s="24"/>
      <c r="V4" s="24"/>
    </row>
    <row r="5" spans="1:33" ht="386.25" customHeight="1">
      <c r="A5" s="2217"/>
      <c r="B5" s="2217"/>
      <c r="C5" s="2217"/>
      <c r="D5" s="2217"/>
      <c r="E5" s="2217"/>
      <c r="F5" s="2217"/>
      <c r="G5" s="2217"/>
      <c r="H5" s="2217"/>
      <c r="I5" s="2217"/>
      <c r="J5" s="2217"/>
      <c r="K5" s="2217"/>
      <c r="L5" s="2217"/>
      <c r="M5" s="2217"/>
      <c r="N5" s="2217"/>
      <c r="O5" s="2217"/>
      <c r="P5" s="2217"/>
      <c r="Q5" s="61"/>
      <c r="R5" s="61"/>
      <c r="S5" s="24"/>
      <c r="T5" s="24"/>
      <c r="U5" s="24"/>
      <c r="V5" s="24"/>
    </row>
    <row r="6" spans="1:33" ht="25.5" customHeight="1">
      <c r="Q6" s="61"/>
      <c r="R6" s="61"/>
      <c r="S6" s="24"/>
      <c r="T6" s="24"/>
      <c r="U6" s="24"/>
      <c r="V6" s="24"/>
    </row>
    <row r="7" spans="1:33" ht="25.5" customHeight="1">
      <c r="Q7" s="61"/>
      <c r="R7" s="61"/>
      <c r="S7" s="24"/>
      <c r="T7" s="24"/>
      <c r="U7" s="24"/>
      <c r="V7" s="24"/>
    </row>
    <row r="8" spans="1:33" ht="25.5" customHeight="1">
      <c r="Q8" s="61"/>
      <c r="R8" s="61"/>
      <c r="S8" s="24"/>
      <c r="T8" s="24"/>
      <c r="U8" s="24"/>
      <c r="V8" s="24"/>
    </row>
    <row r="9" spans="1:33" ht="25.5" customHeight="1">
      <c r="Q9" s="61"/>
      <c r="R9" s="61"/>
      <c r="S9" s="24"/>
      <c r="T9" s="24"/>
      <c r="U9" s="24"/>
      <c r="V9" s="24"/>
    </row>
    <row r="10" spans="1:33" ht="25.5" customHeight="1">
      <c r="Q10" s="61"/>
      <c r="R10" s="61"/>
      <c r="S10" s="24"/>
      <c r="T10" s="24"/>
      <c r="U10" s="24"/>
      <c r="V10" s="24"/>
    </row>
    <row r="11" spans="1:33" ht="25.5" customHeight="1">
      <c r="Q11" s="61"/>
      <c r="R11" s="61"/>
      <c r="S11" s="24"/>
      <c r="T11" s="24"/>
      <c r="U11" s="24"/>
      <c r="V11" s="24"/>
    </row>
    <row r="12" spans="1:33" ht="23.25" customHeight="1">
      <c r="Q12" s="61"/>
      <c r="R12" s="61"/>
      <c r="S12" s="24"/>
      <c r="T12" s="24"/>
      <c r="U12" s="24"/>
      <c r="V12" s="24"/>
    </row>
    <row r="13" spans="1:33" ht="25.5" customHeight="1">
      <c r="A13" s="31"/>
      <c r="B13" s="31"/>
      <c r="C13" s="31"/>
      <c r="D13" s="31"/>
      <c r="E13" s="31"/>
      <c r="F13" s="31"/>
      <c r="G13" s="31"/>
      <c r="H13" s="31"/>
      <c r="I13" s="31"/>
      <c r="J13" s="31"/>
      <c r="K13" s="31"/>
      <c r="L13" s="31"/>
      <c r="M13" s="31"/>
      <c r="N13" s="31"/>
      <c r="O13" s="31"/>
      <c r="P13" s="31"/>
      <c r="R13" s="61"/>
      <c r="S13" s="24"/>
      <c r="T13" s="24"/>
      <c r="U13" s="24"/>
      <c r="V13" s="24"/>
    </row>
    <row r="14" spans="1:33" ht="25.5" customHeight="1">
      <c r="A14" s="31"/>
      <c r="B14" s="31"/>
      <c r="C14" s="31"/>
      <c r="D14" s="31"/>
      <c r="E14" s="31"/>
      <c r="F14" s="31"/>
      <c r="G14" s="31"/>
      <c r="H14" s="31"/>
      <c r="I14" s="31"/>
      <c r="J14" s="31"/>
      <c r="K14" s="31"/>
      <c r="L14" s="31"/>
      <c r="M14" s="31"/>
      <c r="N14" s="31"/>
      <c r="O14" s="31"/>
      <c r="P14" s="31"/>
      <c r="Q14" s="31"/>
      <c r="R14" s="31"/>
      <c r="S14" s="31"/>
      <c r="T14" s="31"/>
      <c r="U14" s="31"/>
      <c r="V14" s="31"/>
    </row>
    <row r="15" spans="1:33" ht="25.5" customHeight="1">
      <c r="A15" s="31"/>
      <c r="B15" s="31"/>
      <c r="C15" s="31"/>
      <c r="D15" s="31"/>
      <c r="E15" s="31"/>
      <c r="F15" s="31"/>
      <c r="G15" s="31"/>
      <c r="H15" s="31"/>
      <c r="I15" s="31"/>
      <c r="J15" s="31"/>
      <c r="K15" s="31"/>
      <c r="L15" s="31"/>
      <c r="M15" s="31"/>
      <c r="N15" s="31"/>
      <c r="O15" s="31"/>
      <c r="P15" s="31"/>
      <c r="Q15" s="31"/>
      <c r="R15" s="31"/>
      <c r="S15" s="31"/>
      <c r="T15" s="31"/>
      <c r="U15" s="31"/>
      <c r="V15" s="31"/>
      <c r="AG15" s="77" t="s">
        <v>31</v>
      </c>
    </row>
    <row r="16" spans="1:33" ht="25.5" customHeight="1">
      <c r="A16" s="31"/>
      <c r="B16" s="31"/>
      <c r="C16" s="31"/>
      <c r="D16" s="31"/>
      <c r="E16" s="31"/>
      <c r="F16" s="31"/>
      <c r="G16" s="31"/>
      <c r="H16" s="31"/>
      <c r="I16" s="31"/>
      <c r="J16" s="31"/>
      <c r="K16" s="31"/>
      <c r="L16" s="31"/>
      <c r="M16" s="31"/>
      <c r="N16" s="31"/>
      <c r="O16" s="31"/>
      <c r="P16" s="31"/>
      <c r="Q16" s="31"/>
      <c r="R16" s="31"/>
      <c r="S16" s="31"/>
      <c r="T16" s="31"/>
      <c r="U16" s="31"/>
      <c r="V16" s="31"/>
    </row>
    <row r="17" spans="1:23" ht="25.5" customHeight="1">
      <c r="A17" s="31"/>
      <c r="B17" s="31"/>
      <c r="C17" s="31"/>
      <c r="D17" s="31"/>
      <c r="E17" s="31"/>
      <c r="F17" s="31"/>
      <c r="G17" s="31"/>
      <c r="H17" s="31"/>
      <c r="I17" s="31"/>
      <c r="J17" s="31"/>
      <c r="K17" s="31"/>
      <c r="L17" s="31"/>
      <c r="M17" s="31"/>
      <c r="N17" s="31"/>
      <c r="O17" s="31"/>
      <c r="P17" s="31"/>
      <c r="Q17" s="31"/>
      <c r="R17" s="31"/>
      <c r="S17" s="31"/>
      <c r="T17" s="31"/>
      <c r="U17" s="31"/>
      <c r="V17" s="31"/>
    </row>
    <row r="18" spans="1:23" ht="25.5" customHeight="1">
      <c r="A18" s="31"/>
      <c r="B18" s="31"/>
      <c r="C18" s="31"/>
      <c r="D18" s="31"/>
      <c r="E18" s="31"/>
      <c r="F18" s="31"/>
      <c r="G18" s="31"/>
      <c r="H18" s="31"/>
      <c r="I18" s="31"/>
      <c r="J18" s="31"/>
      <c r="K18" s="31"/>
      <c r="L18" s="31"/>
      <c r="M18" s="31"/>
      <c r="N18" s="31"/>
      <c r="O18" s="31"/>
      <c r="P18" s="31"/>
      <c r="Q18" s="31"/>
      <c r="R18" s="31"/>
      <c r="S18" s="31"/>
      <c r="T18" s="31"/>
      <c r="U18" s="31"/>
      <c r="V18" s="31"/>
    </row>
    <row r="19" spans="1:23" ht="25.5" customHeight="1">
      <c r="A19" s="31"/>
      <c r="B19" s="31"/>
      <c r="C19" s="31"/>
      <c r="D19" s="31"/>
      <c r="E19" s="31"/>
      <c r="F19" s="31"/>
      <c r="G19" s="31"/>
      <c r="H19" s="31"/>
      <c r="I19" s="31"/>
      <c r="J19" s="31"/>
      <c r="K19" s="31"/>
      <c r="L19" s="31"/>
      <c r="M19" s="31"/>
      <c r="N19" s="31"/>
      <c r="O19" s="31"/>
      <c r="P19" s="31"/>
      <c r="Q19" s="31"/>
      <c r="R19" s="31"/>
      <c r="S19" s="31"/>
      <c r="T19" s="31"/>
      <c r="U19" s="31"/>
      <c r="V19" s="31"/>
    </row>
    <row r="20" spans="1:23" ht="25.5" customHeight="1">
      <c r="A20" s="31"/>
      <c r="B20" s="31"/>
      <c r="C20" s="31"/>
      <c r="D20" s="31"/>
      <c r="E20" s="31"/>
      <c r="F20" s="31"/>
      <c r="G20" s="31"/>
      <c r="H20" s="31"/>
      <c r="I20" s="31"/>
      <c r="J20" s="31"/>
      <c r="K20" s="31"/>
      <c r="L20" s="31"/>
      <c r="M20" s="31"/>
      <c r="N20" s="31"/>
      <c r="O20" s="31"/>
      <c r="P20" s="31"/>
      <c r="Q20" s="31"/>
      <c r="R20" s="31"/>
      <c r="S20" s="31"/>
      <c r="T20" s="31"/>
      <c r="U20" s="31"/>
      <c r="V20" s="31"/>
    </row>
    <row r="21" spans="1:23" ht="25.5" customHeight="1">
      <c r="A21" s="31"/>
      <c r="B21" s="31"/>
      <c r="C21" s="31"/>
      <c r="D21" s="31"/>
      <c r="E21" s="31"/>
      <c r="F21" s="31"/>
      <c r="G21" s="31"/>
      <c r="H21" s="31"/>
      <c r="I21" s="31"/>
      <c r="J21" s="31"/>
      <c r="K21" s="31"/>
      <c r="L21" s="31"/>
      <c r="M21" s="31"/>
      <c r="N21" s="31"/>
      <c r="O21" s="31"/>
      <c r="P21" s="31"/>
      <c r="Q21" s="31"/>
      <c r="R21" s="31"/>
      <c r="S21" s="31"/>
      <c r="T21" s="31"/>
      <c r="U21" s="31"/>
      <c r="V21" s="31"/>
    </row>
    <row r="22" spans="1:23" ht="25.5" customHeight="1">
      <c r="A22" s="31"/>
      <c r="B22" s="31"/>
      <c r="C22" s="31"/>
      <c r="D22" s="31"/>
      <c r="E22" s="31"/>
      <c r="F22" s="31"/>
      <c r="G22" s="31"/>
      <c r="H22" s="31"/>
      <c r="I22" s="31"/>
      <c r="J22" s="31"/>
      <c r="K22" s="31"/>
      <c r="L22" s="31"/>
      <c r="M22" s="31"/>
      <c r="N22" s="31"/>
      <c r="O22" s="31"/>
      <c r="P22" s="31"/>
      <c r="Q22" s="31"/>
      <c r="R22" s="31"/>
      <c r="S22" s="31"/>
      <c r="T22" s="31"/>
      <c r="U22" s="31"/>
      <c r="V22" s="31"/>
    </row>
    <row r="23" spans="1:23" ht="25.5" customHeight="1">
      <c r="A23" s="31"/>
      <c r="B23" s="31"/>
      <c r="C23" s="31"/>
      <c r="D23" s="31"/>
      <c r="E23" s="31"/>
      <c r="F23" s="31"/>
      <c r="G23" s="31"/>
      <c r="H23" s="31"/>
      <c r="I23" s="31"/>
      <c r="J23" s="31"/>
      <c r="K23" s="31"/>
      <c r="L23" s="31"/>
      <c r="M23" s="31"/>
      <c r="N23" s="31"/>
      <c r="O23" s="31"/>
      <c r="P23" s="31"/>
      <c r="Q23" s="31"/>
      <c r="R23" s="31"/>
      <c r="S23" s="31"/>
      <c r="T23" s="31"/>
      <c r="U23" s="31"/>
      <c r="V23" s="31"/>
    </row>
    <row r="24" spans="1:23" ht="25.5" customHeight="1">
      <c r="A24" s="31"/>
      <c r="B24" s="31"/>
      <c r="C24" s="31"/>
      <c r="D24" s="31"/>
      <c r="E24" s="31"/>
      <c r="F24" s="31"/>
      <c r="G24" s="31"/>
      <c r="H24" s="31"/>
      <c r="I24" s="31"/>
      <c r="J24" s="31"/>
      <c r="K24" s="31"/>
      <c r="L24" s="31"/>
      <c r="M24" s="31"/>
      <c r="N24" s="31"/>
      <c r="O24" s="31"/>
      <c r="P24" s="31"/>
      <c r="Q24" s="31"/>
      <c r="R24" s="31"/>
      <c r="S24" s="31"/>
      <c r="T24" s="31"/>
      <c r="U24" s="31"/>
      <c r="V24" s="31"/>
    </row>
    <row r="25" spans="1:23" ht="25.5" customHeight="1">
      <c r="A25" s="31"/>
      <c r="B25" s="31"/>
      <c r="C25" s="31"/>
      <c r="D25" s="31"/>
      <c r="E25" s="31"/>
      <c r="F25" s="31"/>
      <c r="G25" s="31"/>
      <c r="H25" s="31"/>
      <c r="I25" s="31"/>
      <c r="J25" s="31"/>
      <c r="K25" s="31"/>
      <c r="L25" s="31"/>
      <c r="M25" s="31"/>
      <c r="N25" s="31"/>
      <c r="O25" s="31"/>
      <c r="P25" s="31"/>
      <c r="Q25" s="31"/>
      <c r="R25" s="31"/>
      <c r="S25" s="31"/>
      <c r="T25" s="31"/>
      <c r="U25" s="31"/>
      <c r="V25" s="31"/>
    </row>
    <row r="26" spans="1:23" ht="25.5" customHeight="1">
      <c r="A26" s="31"/>
      <c r="B26" s="31"/>
      <c r="C26" s="31"/>
      <c r="D26" s="31"/>
      <c r="E26" s="31"/>
      <c r="F26" s="31"/>
      <c r="G26" s="31"/>
      <c r="H26" s="31"/>
      <c r="I26" s="31"/>
      <c r="J26" s="31"/>
      <c r="K26" s="31"/>
      <c r="L26" s="31"/>
      <c r="M26" s="31"/>
      <c r="N26" s="31"/>
      <c r="O26" s="31"/>
      <c r="P26" s="31"/>
      <c r="Q26" s="31"/>
      <c r="R26" s="31"/>
      <c r="S26" s="31"/>
      <c r="T26" s="31"/>
      <c r="U26" s="31"/>
      <c r="V26" s="31"/>
    </row>
    <row r="27" spans="1:23" ht="25.5" customHeight="1">
      <c r="A27" s="31"/>
      <c r="B27" s="31"/>
      <c r="C27" s="31"/>
      <c r="D27" s="31"/>
      <c r="E27" s="31"/>
      <c r="F27" s="31"/>
      <c r="G27" s="31"/>
      <c r="H27" s="31"/>
      <c r="I27" s="31"/>
      <c r="J27" s="31"/>
      <c r="K27" s="31"/>
      <c r="L27" s="31"/>
      <c r="M27" s="31"/>
      <c r="N27" s="31"/>
      <c r="O27" s="31"/>
      <c r="P27" s="31"/>
      <c r="Q27" s="31"/>
      <c r="R27" s="31"/>
      <c r="S27" s="31"/>
      <c r="T27" s="31"/>
      <c r="U27" s="31"/>
      <c r="V27" s="31"/>
      <c r="W27" s="77" t="s">
        <v>31</v>
      </c>
    </row>
    <row r="28" spans="1:23" ht="25.5" customHeight="1">
      <c r="A28" s="31"/>
      <c r="B28" s="31"/>
      <c r="C28" s="31"/>
      <c r="D28" s="31"/>
      <c r="E28" s="31"/>
      <c r="F28" s="31"/>
      <c r="G28" s="31"/>
      <c r="H28" s="31"/>
      <c r="I28" s="31"/>
      <c r="J28" s="31"/>
      <c r="K28" s="31"/>
      <c r="L28" s="31"/>
      <c r="M28" s="31"/>
      <c r="N28" s="31"/>
      <c r="O28" s="31"/>
      <c r="P28" s="31"/>
      <c r="Q28" s="31"/>
      <c r="R28" s="31"/>
      <c r="S28" s="31"/>
      <c r="T28" s="31"/>
      <c r="U28" s="31"/>
      <c r="V28" s="31"/>
    </row>
    <row r="29" spans="1:23" ht="25.5" customHeight="1">
      <c r="A29" s="31"/>
      <c r="B29" s="31"/>
      <c r="C29" s="31"/>
      <c r="D29" s="31"/>
      <c r="E29" s="31"/>
      <c r="F29" s="31"/>
      <c r="G29" s="31"/>
      <c r="H29" s="31"/>
      <c r="I29" s="31"/>
      <c r="J29" s="31"/>
      <c r="K29" s="31"/>
      <c r="L29" s="31"/>
      <c r="M29" s="31"/>
      <c r="N29" s="31"/>
      <c r="O29" s="31"/>
      <c r="P29" s="31"/>
      <c r="Q29" s="31"/>
      <c r="R29" s="31"/>
      <c r="S29" s="31"/>
      <c r="T29" s="31"/>
      <c r="U29" s="31"/>
      <c r="V29" s="31"/>
    </row>
    <row r="30" spans="1:23" ht="25.5" customHeight="1">
      <c r="A30" s="31"/>
      <c r="B30" s="31"/>
      <c r="C30" s="31"/>
      <c r="D30" s="31"/>
      <c r="E30" s="31"/>
      <c r="F30" s="31"/>
      <c r="G30" s="31"/>
      <c r="H30" s="31"/>
      <c r="I30" s="31"/>
      <c r="J30" s="31"/>
      <c r="K30" s="31"/>
      <c r="L30" s="31"/>
      <c r="M30" s="31"/>
      <c r="N30" s="31"/>
      <c r="O30" s="31"/>
      <c r="P30" s="31"/>
      <c r="Q30" s="31"/>
      <c r="R30" s="31"/>
      <c r="S30" s="31"/>
      <c r="T30" s="31"/>
      <c r="U30" s="31"/>
      <c r="V30" s="31"/>
    </row>
    <row r="31" spans="1:23" ht="25.5" customHeight="1">
      <c r="A31" s="31"/>
      <c r="B31" s="31"/>
      <c r="C31" s="31"/>
      <c r="D31" s="31"/>
      <c r="E31" s="31"/>
      <c r="F31" s="31"/>
      <c r="G31" s="31"/>
      <c r="H31" s="31"/>
      <c r="I31" s="31"/>
      <c r="J31" s="31"/>
      <c r="K31" s="31"/>
      <c r="L31" s="31"/>
      <c r="M31" s="31"/>
      <c r="N31" s="31"/>
      <c r="O31" s="31"/>
      <c r="P31" s="31"/>
      <c r="Q31" s="31"/>
      <c r="R31" s="31"/>
      <c r="S31" s="31"/>
      <c r="T31" s="31"/>
      <c r="U31" s="31"/>
      <c r="V31" s="31"/>
    </row>
    <row r="32" spans="1:23" ht="25.5" customHeight="1">
      <c r="A32" s="31"/>
      <c r="B32" s="31"/>
      <c r="C32" s="31"/>
      <c r="D32" s="31"/>
      <c r="E32" s="31"/>
      <c r="F32" s="31"/>
      <c r="G32" s="31"/>
      <c r="H32" s="31"/>
      <c r="I32" s="31"/>
      <c r="J32" s="31"/>
      <c r="K32" s="31"/>
      <c r="L32" s="31"/>
      <c r="M32" s="31"/>
      <c r="N32" s="31"/>
      <c r="O32" s="31"/>
      <c r="P32" s="31"/>
      <c r="Q32" s="31"/>
      <c r="R32" s="31"/>
      <c r="S32" s="31"/>
      <c r="T32" s="31"/>
      <c r="U32" s="31"/>
      <c r="V32" s="31"/>
    </row>
    <row r="33" spans="1:30" ht="25.5" customHeight="1">
      <c r="A33" s="31"/>
      <c r="B33" s="31"/>
      <c r="C33" s="31"/>
      <c r="D33" s="31"/>
      <c r="E33" s="31"/>
      <c r="F33" s="31"/>
      <c r="G33" s="31"/>
      <c r="H33" s="31"/>
      <c r="I33" s="31"/>
      <c r="J33" s="31"/>
      <c r="K33" s="31"/>
      <c r="L33" s="31"/>
      <c r="M33" s="31"/>
      <c r="N33" s="31"/>
      <c r="O33" s="31"/>
      <c r="P33" s="31"/>
      <c r="Q33" s="31"/>
      <c r="R33" s="31"/>
      <c r="S33" s="31"/>
      <c r="T33" s="31"/>
      <c r="U33" s="31"/>
      <c r="V33" s="31"/>
    </row>
    <row r="34" spans="1:30" ht="25.5" customHeight="1">
      <c r="A34" s="31"/>
      <c r="B34" s="31"/>
      <c r="C34" s="31"/>
      <c r="D34" s="31"/>
      <c r="E34" s="31"/>
      <c r="F34" s="31"/>
      <c r="G34" s="31"/>
      <c r="H34" s="31"/>
      <c r="I34" s="31"/>
      <c r="J34" s="31"/>
      <c r="K34" s="31"/>
      <c r="L34" s="31"/>
      <c r="M34" s="31"/>
      <c r="N34" s="31"/>
      <c r="O34" s="31"/>
      <c r="P34" s="31"/>
      <c r="Q34" s="31"/>
      <c r="R34" s="31"/>
      <c r="S34" s="31"/>
      <c r="T34" s="31"/>
      <c r="U34" s="31"/>
      <c r="V34" s="31"/>
    </row>
    <row r="35" spans="1:30">
      <c r="S35" s="95"/>
      <c r="T35" s="95"/>
      <c r="U35" s="95"/>
      <c r="V35" s="95"/>
      <c r="W35" s="96"/>
      <c r="X35" s="96"/>
      <c r="Y35" s="96"/>
      <c r="Z35" s="96"/>
      <c r="AA35" s="96"/>
      <c r="AB35" s="96"/>
    </row>
    <row r="36" spans="1:30">
      <c r="S36" s="95"/>
      <c r="T36" s="95"/>
      <c r="U36" s="95"/>
      <c r="V36" s="95"/>
      <c r="W36" s="96"/>
      <c r="X36" s="96"/>
      <c r="Y36" s="96"/>
      <c r="Z36" s="96"/>
      <c r="AA36" s="96"/>
      <c r="AB36" s="96"/>
    </row>
    <row r="37" spans="1:30">
      <c r="S37" s="95"/>
      <c r="T37" s="95"/>
      <c r="U37" s="95"/>
      <c r="V37" s="95"/>
      <c r="W37" s="96"/>
      <c r="X37" s="96"/>
      <c r="Y37" s="96"/>
      <c r="Z37" s="96"/>
      <c r="AA37" s="96"/>
      <c r="AB37" s="96"/>
    </row>
    <row r="38" spans="1:30">
      <c r="S38" s="95"/>
      <c r="T38" s="95"/>
      <c r="U38" s="95"/>
      <c r="V38" s="95"/>
      <c r="W38" s="96"/>
      <c r="X38" s="96"/>
      <c r="Y38" s="96"/>
      <c r="Z38" s="96"/>
      <c r="AA38" s="96"/>
      <c r="AB38" s="96"/>
    </row>
    <row r="39" spans="1:30" ht="51" customHeight="1">
      <c r="S39" s="95"/>
      <c r="T39" s="95"/>
      <c r="U39" s="95"/>
      <c r="V39" s="95"/>
      <c r="W39" s="96"/>
      <c r="X39" s="96"/>
      <c r="Y39" s="96"/>
      <c r="Z39" s="96"/>
      <c r="AA39" s="96"/>
      <c r="AB39" s="96"/>
    </row>
    <row r="40" spans="1:30" ht="78" customHeight="1">
      <c r="A40" s="2023"/>
      <c r="B40" s="2023"/>
      <c r="C40" s="2023"/>
      <c r="D40" s="2023"/>
      <c r="E40" s="2023"/>
      <c r="F40" s="2023"/>
      <c r="G40" s="2023"/>
      <c r="H40" s="2023"/>
      <c r="I40" s="2023"/>
      <c r="J40" s="2023"/>
      <c r="K40" s="2023"/>
      <c r="L40" s="2023"/>
      <c r="M40" s="2023"/>
      <c r="N40" s="2023"/>
      <c r="O40" s="2023"/>
      <c r="P40" s="2023"/>
      <c r="Q40" s="2023"/>
      <c r="R40" s="2023"/>
      <c r="S40" s="2023"/>
      <c r="T40" s="2023"/>
      <c r="U40" s="2023"/>
      <c r="V40" s="2023"/>
      <c r="W40" s="2023"/>
      <c r="X40" s="2023"/>
      <c r="Y40" s="2023"/>
      <c r="Z40" s="96"/>
      <c r="AA40" s="96"/>
      <c r="AB40" s="96"/>
    </row>
    <row r="41" spans="1:30">
      <c r="S41" s="96"/>
      <c r="T41" s="96"/>
      <c r="U41" s="96"/>
      <c r="V41" s="96"/>
      <c r="W41" s="96"/>
    </row>
    <row r="42" spans="1:30">
      <c r="S42" s="96"/>
      <c r="T42" s="96"/>
      <c r="U42" s="96"/>
      <c r="V42" s="96"/>
      <c r="W42" s="96"/>
    </row>
    <row r="43" spans="1:30">
      <c r="S43" s="96"/>
      <c r="T43" s="96"/>
      <c r="U43" s="96"/>
      <c r="V43" s="96"/>
      <c r="W43" s="96"/>
    </row>
    <row r="44" spans="1:30">
      <c r="S44" s="96"/>
      <c r="T44" s="96"/>
      <c r="U44" s="96"/>
      <c r="V44" s="96"/>
      <c r="W44" s="96"/>
    </row>
    <row r="45" spans="1:30">
      <c r="S45" s="96"/>
      <c r="T45" s="96"/>
      <c r="U45" s="96"/>
      <c r="V45" s="96"/>
      <c r="W45" s="96"/>
    </row>
    <row r="46" spans="1:30">
      <c r="S46" s="96"/>
      <c r="T46" s="96"/>
      <c r="U46" s="96"/>
      <c r="V46" s="96"/>
      <c r="W46" s="96"/>
      <c r="X46" s="96"/>
      <c r="Y46" s="96"/>
      <c r="Z46" s="96"/>
      <c r="AA46" s="96"/>
      <c r="AB46" s="96"/>
      <c r="AC46" s="96"/>
      <c r="AD46" s="96"/>
    </row>
    <row r="47" spans="1:30">
      <c r="S47" s="96"/>
      <c r="T47" s="96"/>
      <c r="U47" s="96"/>
      <c r="V47" s="96"/>
      <c r="W47" s="96"/>
      <c r="X47" s="96"/>
      <c r="Y47" s="96"/>
      <c r="Z47" s="96"/>
      <c r="AA47" s="96"/>
      <c r="AB47" s="96"/>
      <c r="AC47" s="96"/>
      <c r="AD47" s="96"/>
    </row>
    <row r="48" spans="1:30">
      <c r="S48" s="96"/>
      <c r="T48" s="96"/>
      <c r="U48" s="96"/>
      <c r="V48" s="96"/>
      <c r="W48" s="96"/>
      <c r="X48" s="96"/>
      <c r="Y48" s="96"/>
      <c r="Z48" s="96"/>
      <c r="AA48" s="96"/>
      <c r="AB48" s="96"/>
      <c r="AC48" s="96"/>
      <c r="AD48" s="96"/>
    </row>
    <row r="49" spans="2:30">
      <c r="S49" s="96"/>
      <c r="T49" s="96"/>
      <c r="U49" s="96"/>
      <c r="V49" s="96"/>
      <c r="W49" s="96"/>
      <c r="X49" s="96"/>
      <c r="Y49" s="96"/>
      <c r="Z49" s="96"/>
      <c r="AA49" s="96"/>
      <c r="AB49" s="96"/>
      <c r="AC49" s="96"/>
      <c r="AD49" s="96"/>
    </row>
    <row r="50" spans="2:30">
      <c r="S50" s="96"/>
      <c r="T50" s="96"/>
      <c r="U50" s="96"/>
      <c r="V50" s="96"/>
      <c r="W50" s="96"/>
      <c r="X50" s="96"/>
      <c r="Y50" s="96"/>
      <c r="Z50" s="96"/>
      <c r="AA50" s="96"/>
      <c r="AB50" s="96"/>
      <c r="AC50" s="96"/>
      <c r="AD50" s="96"/>
    </row>
    <row r="51" spans="2:30">
      <c r="S51" s="96"/>
      <c r="T51" s="96"/>
      <c r="U51" s="96"/>
      <c r="V51" s="96"/>
      <c r="W51" s="96"/>
      <c r="X51" s="96"/>
      <c r="Y51" s="96"/>
      <c r="Z51" s="96"/>
      <c r="AA51" s="96"/>
      <c r="AB51" s="96"/>
      <c r="AC51" s="96"/>
      <c r="AD51" s="96"/>
    </row>
    <row r="52" spans="2:30">
      <c r="B52" s="96"/>
      <c r="C52" s="96"/>
      <c r="D52" s="96"/>
      <c r="E52" s="96"/>
      <c r="F52" s="96"/>
      <c r="G52" s="96"/>
      <c r="H52" s="96"/>
      <c r="I52" s="96"/>
      <c r="J52" s="96"/>
      <c r="K52" s="96"/>
      <c r="L52" s="96"/>
      <c r="M52" s="96"/>
      <c r="N52" s="96"/>
      <c r="O52" s="96"/>
      <c r="P52" s="96"/>
      <c r="Q52" s="96"/>
      <c r="R52" s="96"/>
      <c r="S52" s="96"/>
      <c r="T52" s="96"/>
      <c r="U52" s="96"/>
      <c r="V52" s="96"/>
      <c r="W52" s="96"/>
      <c r="X52" s="96"/>
      <c r="Y52" s="96"/>
      <c r="Z52" s="96"/>
      <c r="AA52" s="96"/>
      <c r="AB52" s="96"/>
      <c r="AC52" s="96"/>
      <c r="AD52" s="96"/>
    </row>
    <row r="71" spans="24:24">
      <c r="X71" s="96"/>
    </row>
    <row r="72" spans="24:24">
      <c r="X72" s="96"/>
    </row>
    <row r="73" spans="24:24">
      <c r="X73" s="96"/>
    </row>
    <row r="74" spans="24:24">
      <c r="X74" s="96"/>
    </row>
    <row r="75" spans="24:24">
      <c r="X75" s="96"/>
    </row>
    <row r="76" spans="24:24">
      <c r="X76" s="96"/>
    </row>
    <row r="77" spans="24:24">
      <c r="X77" s="96"/>
    </row>
    <row r="78" spans="24:24">
      <c r="X78" s="96"/>
    </row>
    <row r="88" spans="24:24">
      <c r="X88" s="96"/>
    </row>
    <row r="89" spans="24:24">
      <c r="X89" s="96"/>
    </row>
    <row r="90" spans="24:24">
      <c r="X90" s="96"/>
    </row>
    <row r="91" spans="24:24">
      <c r="X91" s="96"/>
    </row>
  </sheetData>
  <mergeCells count="4">
    <mergeCell ref="A1:P1"/>
    <mergeCell ref="A2:P4"/>
    <mergeCell ref="A5:P5"/>
    <mergeCell ref="A40:Y40"/>
  </mergeCells>
  <printOptions horizontalCentered="1" verticalCentered="1"/>
  <pageMargins left="0.39370078740157483" right="0.39370078740157483" top="0.23622047244094491" bottom="0.23622047244094491" header="0.31496062992125984" footer="0.31496062992125984"/>
  <pageSetup scale="44" orientation="landscape" r:id="rId1"/>
  <drawing r:id="rId2"/>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9">
    <tabColor rgb="FFFFC000"/>
  </sheetPr>
  <dimension ref="A1"/>
  <sheetViews>
    <sheetView showGridLines="0" view="pageBreakPreview" zoomScale="85" zoomScaleNormal="100" zoomScaleSheetLayoutView="85" workbookViewId="0">
      <selection activeCell="P21" sqref="P21"/>
    </sheetView>
  </sheetViews>
  <sheetFormatPr baseColWidth="10" defaultColWidth="11.42578125" defaultRowHeight="15"/>
  <cols>
    <col min="1" max="6" width="11.42578125" style="77"/>
    <col min="7" max="7" width="13.42578125" style="77" customWidth="1"/>
    <col min="8" max="10" width="11.42578125" style="77"/>
    <col min="11" max="11" width="14" style="77" customWidth="1"/>
    <col min="12" max="12" width="13.140625" style="77" customWidth="1"/>
    <col min="13" max="14" width="11.42578125" style="77"/>
    <col min="15" max="15" width="19.7109375" style="77" customWidth="1"/>
    <col min="16" max="16384" width="11.42578125" style="77"/>
  </cols>
  <sheetData/>
  <pageMargins left="0.7" right="0.7" top="0.75" bottom="0.75" header="0.3" footer="0.3"/>
  <pageSetup scale="77" orientation="landscape" r:id="rId1"/>
  <drawing r:id="rId2"/>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0">
    <tabColor rgb="FFFFC000"/>
  </sheetPr>
  <dimension ref="A1"/>
  <sheetViews>
    <sheetView showGridLines="0" view="pageBreakPreview" zoomScale="85" zoomScaleNormal="100" zoomScaleSheetLayoutView="85" workbookViewId="0">
      <selection activeCell="O27" sqref="O27"/>
    </sheetView>
  </sheetViews>
  <sheetFormatPr baseColWidth="10" defaultColWidth="11.42578125" defaultRowHeight="15"/>
  <cols>
    <col min="1" max="6" width="11.42578125" style="77"/>
    <col min="7" max="7" width="13.42578125" style="77" customWidth="1"/>
    <col min="8" max="10" width="11.42578125" style="77"/>
    <col min="11" max="11" width="15.5703125" style="77" customWidth="1"/>
    <col min="12" max="12" width="13.140625" style="77" customWidth="1"/>
    <col min="13" max="13" width="11.42578125" style="77"/>
    <col min="14" max="14" width="19.7109375" style="77" customWidth="1"/>
    <col min="15" max="16384" width="11.42578125" style="77"/>
  </cols>
  <sheetData/>
  <pageMargins left="0.7" right="0.7" top="0.75" bottom="0.75" header="0.3" footer="0.3"/>
  <pageSetup scale="77"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tabColor theme="9" tint="-0.249977111117893"/>
  </sheetPr>
  <dimension ref="A1"/>
  <sheetViews>
    <sheetView showGridLines="0" view="pageBreakPreview" zoomScale="85" zoomScaleNormal="100" zoomScaleSheetLayoutView="85" workbookViewId="0">
      <selection activeCell="P28" sqref="P28"/>
    </sheetView>
  </sheetViews>
  <sheetFormatPr baseColWidth="10" defaultColWidth="11.42578125" defaultRowHeight="15"/>
  <cols>
    <col min="1" max="6" width="11.42578125" style="77"/>
    <col min="7" max="7" width="13.42578125" style="77" customWidth="1"/>
    <col min="8" max="10" width="11.42578125" style="77"/>
    <col min="11" max="11" width="15.5703125" style="77" customWidth="1"/>
    <col min="12" max="12" width="13.140625" style="77" customWidth="1"/>
    <col min="13" max="16384" width="11.42578125" style="77"/>
  </cols>
  <sheetData/>
  <pageMargins left="0.70866141732283472" right="0.70866141732283472" top="0.74803149606299213" bottom="0.74803149606299213" header="0.31496062992125984" footer="0.31496062992125984"/>
  <pageSetup scale="70"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
    <tabColor theme="9" tint="-0.249977111117893"/>
    <pageSetUpPr fitToPage="1"/>
  </sheetPr>
  <dimension ref="O3:O36"/>
  <sheetViews>
    <sheetView showGridLines="0" view="pageBreakPreview" zoomScale="85" zoomScaleNormal="100" zoomScaleSheetLayoutView="85" workbookViewId="0">
      <pane ySplit="3" topLeftCell="A4" activePane="bottomLeft" state="frozen"/>
      <selection pane="bottomLeft"/>
    </sheetView>
  </sheetViews>
  <sheetFormatPr baseColWidth="10" defaultColWidth="11.42578125" defaultRowHeight="15"/>
  <cols>
    <col min="1" max="3" width="11.42578125" style="77"/>
    <col min="4" max="4" width="16.42578125" style="77" customWidth="1"/>
    <col min="5" max="6" width="11.42578125" style="77"/>
    <col min="7" max="7" width="13.42578125" style="77" customWidth="1"/>
    <col min="8" max="10" width="11.42578125" style="77"/>
    <col min="11" max="11" width="15.5703125" style="77" customWidth="1"/>
    <col min="12" max="12" width="13.140625" style="77" customWidth="1"/>
    <col min="13" max="14" width="11.42578125" style="77"/>
    <col min="15" max="15" width="25.5703125" style="77" customWidth="1"/>
    <col min="16" max="16384" width="11.42578125" style="77"/>
  </cols>
  <sheetData>
    <row r="3" ht="33.75" customHeight="1"/>
    <row r="4" ht="17.25" customHeight="1"/>
    <row r="20" spans="15:15">
      <c r="O20" s="847"/>
    </row>
    <row r="29" spans="15:15">
      <c r="O29" s="815"/>
    </row>
    <row r="30" spans="15:15">
      <c r="O30" s="815"/>
    </row>
    <row r="34" spans="15:15">
      <c r="O34" s="815"/>
    </row>
    <row r="36" spans="15:15" ht="27" customHeight="1"/>
  </sheetData>
  <pageMargins left="0.70866141732283472" right="0.70866141732283472" top="0.74803149606299213" bottom="0.74803149606299213" header="0.31496062992125984" footer="0.31496062992125984"/>
  <pageSetup scale="76"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
    <tabColor theme="9" tint="-0.249977111117893"/>
    <pageSetUpPr fitToPage="1"/>
  </sheetPr>
  <dimension ref="A1:Q52"/>
  <sheetViews>
    <sheetView showGridLines="0" view="pageBreakPreview" zoomScale="55" zoomScaleNormal="100" zoomScaleSheetLayoutView="55" workbookViewId="0">
      <selection activeCell="H11" sqref="H11"/>
    </sheetView>
  </sheetViews>
  <sheetFormatPr baseColWidth="10" defaultColWidth="11.42578125" defaultRowHeight="20.25" customHeight="1"/>
  <cols>
    <col min="1" max="1" width="24.7109375" style="245" customWidth="1"/>
    <col min="2" max="2" width="26.28515625" style="77" customWidth="1"/>
    <col min="3" max="3" width="34" style="77" customWidth="1"/>
    <col min="4" max="4" width="33.7109375" style="77" customWidth="1"/>
    <col min="5" max="5" width="21.5703125" style="77" customWidth="1"/>
    <col min="6" max="6" width="25.7109375" style="77" customWidth="1"/>
    <col min="7" max="7" width="19.7109375" style="77" customWidth="1"/>
    <col min="8" max="8" width="15.42578125" style="77" customWidth="1"/>
    <col min="9" max="9" width="29.85546875" style="77" customWidth="1"/>
    <col min="10" max="12" width="18.42578125" style="77" customWidth="1"/>
    <col min="13" max="13" width="16.28515625" style="77" bestFit="1" customWidth="1"/>
    <col min="14" max="16384" width="11.42578125" style="77"/>
  </cols>
  <sheetData>
    <row r="1" spans="1:17" ht="105" customHeight="1">
      <c r="A1" s="2021"/>
      <c r="B1" s="2021"/>
      <c r="C1" s="2021"/>
      <c r="D1" s="2021"/>
      <c r="E1" s="2021"/>
      <c r="F1" s="2021"/>
      <c r="G1" s="2021"/>
      <c r="H1" s="2021"/>
      <c r="I1" s="2021"/>
      <c r="J1" s="2021"/>
      <c r="K1" s="2021"/>
      <c r="L1" s="2021"/>
      <c r="M1" s="2021"/>
      <c r="N1" s="2021"/>
      <c r="O1" s="2021"/>
      <c r="P1" s="2021"/>
    </row>
    <row r="2" spans="1:17" s="38" customFormat="1" ht="9" customHeight="1">
      <c r="A2" s="309"/>
      <c r="B2" s="309"/>
      <c r="C2" s="309"/>
      <c r="D2" s="309"/>
      <c r="E2" s="309"/>
      <c r="F2" s="309"/>
      <c r="G2" s="309"/>
      <c r="H2" s="309"/>
      <c r="I2" s="309"/>
      <c r="J2" s="309"/>
      <c r="K2" s="309"/>
      <c r="L2" s="309"/>
      <c r="M2" s="309"/>
    </row>
    <row r="3" spans="1:17" ht="48.75" customHeight="1">
      <c r="A3" s="305" t="s">
        <v>238</v>
      </c>
      <c r="B3" s="303" t="s">
        <v>642</v>
      </c>
      <c r="C3" s="303" t="s">
        <v>539</v>
      </c>
      <c r="D3" s="305" t="s">
        <v>538</v>
      </c>
    </row>
    <row r="4" spans="1:17" ht="20.25" customHeight="1">
      <c r="A4" s="379" t="s">
        <v>252</v>
      </c>
      <c r="B4" s="799">
        <f>+'III.1.4.Afil. SFS'!E4</f>
        <v>253374</v>
      </c>
      <c r="C4" s="800">
        <v>9020226</v>
      </c>
      <c r="D4" s="801">
        <f t="shared" ref="D4:D14" si="0">B4/C4</f>
        <v>2.8089540106866501E-2</v>
      </c>
      <c r="E4" s="95"/>
    </row>
    <row r="5" spans="1:17" ht="20.25" customHeight="1">
      <c r="A5" s="379" t="s">
        <v>251</v>
      </c>
      <c r="B5" s="802">
        <f>+'III.1.4.Afil. SFS'!E5</f>
        <v>514040</v>
      </c>
      <c r="C5" s="803">
        <v>9123786.5</v>
      </c>
      <c r="D5" s="804">
        <f t="shared" si="0"/>
        <v>5.6340643218689958E-2</v>
      </c>
      <c r="E5" s="810"/>
      <c r="G5" s="144"/>
    </row>
    <row r="6" spans="1:17" ht="20.25" customHeight="1">
      <c r="A6" s="379" t="s">
        <v>173</v>
      </c>
      <c r="B6" s="802">
        <f>+'III.1.4.Afil. SFS'!E6</f>
        <v>2559117</v>
      </c>
      <c r="C6" s="803">
        <v>9226223</v>
      </c>
      <c r="D6" s="804">
        <f t="shared" si="0"/>
        <v>0.27737428414639448</v>
      </c>
      <c r="E6" s="95"/>
    </row>
    <row r="7" spans="1:17" ht="20.25" customHeight="1">
      <c r="A7" s="379" t="s">
        <v>222</v>
      </c>
      <c r="B7" s="802">
        <f>+'III.1.4.Afil. SFS'!E7</f>
        <v>2917157</v>
      </c>
      <c r="C7" s="803">
        <v>9327818</v>
      </c>
      <c r="D7" s="804">
        <f t="shared" si="0"/>
        <v>0.31273734114452062</v>
      </c>
      <c r="E7" s="95"/>
      <c r="F7" s="811"/>
    </row>
    <row r="8" spans="1:17" ht="20.25" customHeight="1">
      <c r="A8" s="379" t="s">
        <v>223</v>
      </c>
      <c r="B8" s="802">
        <f>+'III.1.4.Afil. SFS'!E8</f>
        <v>3514506</v>
      </c>
      <c r="C8" s="803">
        <v>9428533.4999999963</v>
      </c>
      <c r="D8" s="804">
        <f t="shared" si="0"/>
        <v>0.37275213584381933</v>
      </c>
      <c r="E8" s="808"/>
      <c r="F8" s="95"/>
      <c r="G8" s="96"/>
      <c r="H8" s="96"/>
    </row>
    <row r="9" spans="1:17" ht="20.25" customHeight="1">
      <c r="A9" s="379" t="s">
        <v>192</v>
      </c>
      <c r="B9" s="802">
        <f>+'III.1.4.Afil. SFS'!E9</f>
        <v>4404974</v>
      </c>
      <c r="C9" s="803">
        <v>9529297.5000000037</v>
      </c>
      <c r="D9" s="804">
        <f t="shared" si="0"/>
        <v>0.46225590081535373</v>
      </c>
      <c r="E9" s="95"/>
      <c r="F9" s="809"/>
      <c r="G9" s="109"/>
      <c r="H9" s="49"/>
      <c r="Q9" s="277"/>
    </row>
    <row r="10" spans="1:17" ht="20.25" customHeight="1">
      <c r="A10" s="379" t="s">
        <v>224</v>
      </c>
      <c r="B10" s="802">
        <f>+'III.1.4.Afil. SFS'!E10</f>
        <v>4550576</v>
      </c>
      <c r="C10" s="803">
        <v>9630258.5</v>
      </c>
      <c r="D10" s="804">
        <f t="shared" si="0"/>
        <v>0.47252895651762616</v>
      </c>
      <c r="E10" s="95"/>
      <c r="G10" s="96"/>
      <c r="H10" s="96"/>
    </row>
    <row r="11" spans="1:17" ht="20.25" customHeight="1">
      <c r="A11" s="380" t="s">
        <v>482</v>
      </c>
      <c r="B11" s="802">
        <f>+'III.1.4.Afil. SFS'!E11</f>
        <v>5022465</v>
      </c>
      <c r="C11" s="805">
        <v>9730638.5</v>
      </c>
      <c r="D11" s="806">
        <f t="shared" si="0"/>
        <v>0.51614958257877941</v>
      </c>
      <c r="E11" s="95"/>
      <c r="F11" s="95"/>
      <c r="G11" s="96"/>
      <c r="H11" s="96"/>
    </row>
    <row r="12" spans="1:17" ht="20.25" customHeight="1">
      <c r="A12" s="380" t="s">
        <v>561</v>
      </c>
      <c r="B12" s="802">
        <f>+'III.1.4.Afil. SFS'!E12</f>
        <v>5638332</v>
      </c>
      <c r="C12" s="805">
        <v>9830624</v>
      </c>
      <c r="D12" s="806">
        <f t="shared" si="0"/>
        <v>0.57354772189435788</v>
      </c>
      <c r="E12" s="95"/>
      <c r="F12" s="95"/>
      <c r="G12" s="96"/>
      <c r="H12" s="96"/>
      <c r="Q12" s="825"/>
    </row>
    <row r="13" spans="1:17" ht="20.25" customHeight="1">
      <c r="A13" s="380" t="s">
        <v>569</v>
      </c>
      <c r="B13" s="802">
        <f>+'III.1.4.Afil. SFS'!E13</f>
        <v>6187615</v>
      </c>
      <c r="C13" s="805">
        <v>9930374</v>
      </c>
      <c r="D13" s="806">
        <f t="shared" si="0"/>
        <v>0.62309989533123322</v>
      </c>
      <c r="E13" s="95"/>
      <c r="F13" s="95"/>
      <c r="G13" s="96"/>
      <c r="H13" s="96"/>
    </row>
    <row r="14" spans="1:17" ht="22.5" customHeight="1">
      <c r="A14" s="381" t="s">
        <v>1002</v>
      </c>
      <c r="B14" s="1536">
        <f>+'III.1.4.Afil. SFS'!E14</f>
        <v>6490854</v>
      </c>
      <c r="C14" s="1537">
        <v>10020050</v>
      </c>
      <c r="D14" s="807">
        <f t="shared" si="0"/>
        <v>0.64778658789127797</v>
      </c>
      <c r="E14" s="96"/>
      <c r="F14" s="96"/>
      <c r="G14" s="96"/>
      <c r="H14" s="96"/>
      <c r="I14" s="96"/>
      <c r="J14" s="96"/>
      <c r="K14" s="96"/>
      <c r="L14" s="96"/>
      <c r="M14" s="96"/>
    </row>
    <row r="15" spans="1:17" ht="45.75" customHeight="1">
      <c r="A15" s="2022" t="s">
        <v>775</v>
      </c>
      <c r="B15" s="2022"/>
      <c r="C15" s="2022"/>
      <c r="D15" s="2022"/>
      <c r="E15" s="1090"/>
      <c r="F15" s="96"/>
      <c r="G15" s="96"/>
      <c r="H15" s="96"/>
      <c r="I15" s="96"/>
      <c r="J15" s="96"/>
      <c r="K15" s="96"/>
      <c r="L15" s="96"/>
      <c r="M15" s="96"/>
    </row>
    <row r="16" spans="1:17" ht="20.25" customHeight="1">
      <c r="A16" s="204"/>
      <c r="B16" s="17"/>
      <c r="C16" s="96"/>
      <c r="D16" s="96"/>
      <c r="E16" s="96"/>
      <c r="F16" s="96"/>
      <c r="G16" s="96"/>
      <c r="H16" s="96"/>
      <c r="I16" s="96"/>
      <c r="J16" s="96"/>
      <c r="K16" s="96"/>
      <c r="L16" s="96"/>
      <c r="M16" s="96"/>
    </row>
    <row r="18" spans="6:6" ht="20.25" customHeight="1">
      <c r="F18"/>
    </row>
    <row r="43" ht="27.75" customHeight="1"/>
    <row r="44" ht="24" customHeight="1"/>
    <row r="45" ht="80.25" customHeight="1"/>
    <row r="46" ht="25.5" customHeight="1"/>
    <row r="47" ht="25.5" customHeight="1"/>
    <row r="48" ht="25.5" customHeight="1"/>
    <row r="49" spans="1:7" ht="27.75" customHeight="1">
      <c r="A49" s="2020"/>
      <c r="B49" s="2020"/>
      <c r="C49" s="2020"/>
      <c r="D49" s="2020"/>
      <c r="E49" s="136"/>
      <c r="F49" s="136"/>
      <c r="G49" s="136"/>
    </row>
    <row r="50" spans="1:7" ht="24" customHeight="1">
      <c r="A50" s="2020"/>
      <c r="B50" s="2020"/>
      <c r="C50" s="2020"/>
      <c r="D50" s="2020"/>
      <c r="E50" s="136"/>
      <c r="F50" s="136"/>
      <c r="G50" s="136"/>
    </row>
    <row r="51" spans="1:7" ht="24" customHeight="1"/>
    <row r="52" spans="1:7" ht="26.25" customHeight="1"/>
  </sheetData>
  <mergeCells count="3">
    <mergeCell ref="A49:D50"/>
    <mergeCell ref="A1:P1"/>
    <mergeCell ref="A15:D15"/>
  </mergeCells>
  <printOptions horizontalCentered="1" verticalCentered="1"/>
  <pageMargins left="0.39370078740157483" right="0.39370078740157483" top="0.39370078740157483" bottom="0.23622047244094491" header="0.23622047244094491" footer="0.31496062992125984"/>
  <pageSetup scale="39"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
    <tabColor theme="9" tint="-0.249977111117893"/>
    <pageSetUpPr fitToPage="1"/>
  </sheetPr>
  <dimension ref="A1:AG94"/>
  <sheetViews>
    <sheetView showGridLines="0" view="pageBreakPreview" zoomScale="55" zoomScaleNormal="100" zoomScaleSheetLayoutView="55" zoomScalePageLayoutView="62" workbookViewId="0">
      <selection activeCell="R12" sqref="R12:R19"/>
    </sheetView>
  </sheetViews>
  <sheetFormatPr baseColWidth="10" defaultColWidth="11.42578125" defaultRowHeight="15"/>
  <cols>
    <col min="1" max="1" width="18.42578125" style="77" customWidth="1"/>
    <col min="2" max="2" width="18" style="77" customWidth="1"/>
    <col min="3" max="3" width="20.7109375" style="77" customWidth="1"/>
    <col min="4" max="4" width="18" style="77" customWidth="1"/>
    <col min="5" max="5" width="21.7109375" style="77" customWidth="1"/>
    <col min="6" max="6" width="18.5703125" style="77" customWidth="1"/>
    <col min="7" max="7" width="17" style="77" customWidth="1"/>
    <col min="8" max="8" width="17.7109375" style="77" customWidth="1"/>
    <col min="9" max="9" width="19" style="77" customWidth="1"/>
    <col min="10" max="10" width="16.140625" style="77" customWidth="1"/>
    <col min="11" max="11" width="17.7109375" style="77" customWidth="1"/>
    <col min="12" max="12" width="15.28515625" style="77" customWidth="1"/>
    <col min="13" max="13" width="18.42578125" style="77" customWidth="1"/>
    <col min="14" max="14" width="17" style="77" customWidth="1"/>
    <col min="15" max="15" width="19.140625" style="77" customWidth="1"/>
    <col min="16" max="16" width="27" style="77" customWidth="1"/>
    <col min="17" max="17" width="14.85546875" style="77" customWidth="1"/>
    <col min="18" max="18" width="14.5703125" style="77" customWidth="1"/>
    <col min="19" max="19" width="24.7109375" style="77" customWidth="1"/>
    <col min="20" max="20" width="20.42578125" style="77" customWidth="1"/>
    <col min="21" max="21" width="14.7109375" style="77" customWidth="1"/>
    <col min="22" max="22" width="25.42578125" style="77" customWidth="1"/>
    <col min="23" max="23" width="25" style="77" customWidth="1"/>
    <col min="24" max="26" width="11.42578125" style="77"/>
    <col min="27" max="27" width="18.7109375" style="77" bestFit="1" customWidth="1"/>
    <col min="28" max="16384" width="11.42578125" style="77"/>
  </cols>
  <sheetData>
    <row r="1" spans="1:22" ht="114.75" customHeight="1">
      <c r="A1" s="2025"/>
      <c r="B1" s="2025"/>
      <c r="C1" s="2025"/>
      <c r="D1" s="2025"/>
      <c r="E1" s="2025"/>
      <c r="F1" s="2025"/>
      <c r="G1" s="2025"/>
      <c r="H1" s="2025"/>
      <c r="I1" s="2025"/>
      <c r="J1" s="2025"/>
      <c r="K1" s="2025"/>
      <c r="L1" s="2025"/>
      <c r="M1" s="2025"/>
      <c r="N1" s="2025"/>
      <c r="O1" s="2025"/>
      <c r="P1" s="2025"/>
      <c r="Q1" s="2025"/>
    </row>
    <row r="2" spans="1:22" ht="11.25" customHeight="1">
      <c r="A2" s="180"/>
      <c r="B2" s="180"/>
      <c r="C2" s="180"/>
      <c r="D2" s="180"/>
      <c r="E2" s="180"/>
      <c r="F2" s="180"/>
      <c r="G2" s="180"/>
      <c r="H2" s="180"/>
      <c r="I2" s="180"/>
      <c r="J2" s="180"/>
      <c r="K2" s="180"/>
      <c r="L2" s="180"/>
      <c r="M2" s="180"/>
      <c r="N2" s="180"/>
      <c r="O2" s="180"/>
      <c r="P2" s="180"/>
    </row>
    <row r="3" spans="1:22" ht="51" customHeight="1">
      <c r="A3" s="348" t="s">
        <v>238</v>
      </c>
      <c r="B3" s="303" t="s">
        <v>215</v>
      </c>
      <c r="C3" s="308" t="s">
        <v>571</v>
      </c>
      <c r="D3" s="303" t="s">
        <v>528</v>
      </c>
      <c r="E3" s="305" t="s">
        <v>780</v>
      </c>
      <c r="F3" s="303" t="s">
        <v>235</v>
      </c>
      <c r="G3" s="303" t="s">
        <v>236</v>
      </c>
      <c r="H3" s="304" t="s">
        <v>407</v>
      </c>
      <c r="I3" s="243"/>
      <c r="J3" s="243"/>
      <c r="K3" s="243"/>
      <c r="L3" s="243"/>
      <c r="M3" s="243"/>
      <c r="N3" s="243"/>
      <c r="O3" s="243"/>
      <c r="P3" s="244" t="s">
        <v>529</v>
      </c>
      <c r="Q3" s="61"/>
      <c r="R3" s="61"/>
      <c r="S3" s="24"/>
      <c r="T3" s="24"/>
      <c r="U3" s="24"/>
      <c r="V3" s="24"/>
    </row>
    <row r="4" spans="1:22" ht="25.5" customHeight="1">
      <c r="A4" s="338" t="s">
        <v>26</v>
      </c>
      <c r="B4" s="893">
        <v>0</v>
      </c>
      <c r="C4" s="816">
        <f>+'III.3.2. Afil anual SFS RS '!D4</f>
        <v>253374</v>
      </c>
      <c r="D4" s="817">
        <v>0</v>
      </c>
      <c r="E4" s="346">
        <f>B4+C4+D4</f>
        <v>253374</v>
      </c>
      <c r="F4" s="889">
        <v>0</v>
      </c>
      <c r="G4" s="341">
        <f t="shared" ref="G4:G10" si="0">C4/E4</f>
        <v>1</v>
      </c>
      <c r="H4" s="342">
        <v>0</v>
      </c>
      <c r="I4" s="238"/>
      <c r="J4" s="238"/>
      <c r="K4" s="238"/>
      <c r="L4" s="241"/>
      <c r="M4" s="239"/>
      <c r="N4" s="239" t="s">
        <v>176</v>
      </c>
      <c r="O4" s="240"/>
      <c r="P4" s="242">
        <f t="shared" ref="P4:P10" si="1">L4/E4</f>
        <v>0</v>
      </c>
      <c r="Q4" s="61"/>
      <c r="R4" s="61"/>
      <c r="S4" s="24"/>
      <c r="T4" s="24"/>
      <c r="U4" s="24"/>
      <c r="V4" s="24"/>
    </row>
    <row r="5" spans="1:22" ht="25.5" customHeight="1">
      <c r="A5" s="338" t="s">
        <v>27</v>
      </c>
      <c r="B5" s="888">
        <v>0</v>
      </c>
      <c r="C5" s="339">
        <f>+'III.3.2. Afil anual SFS RS '!D5</f>
        <v>514040</v>
      </c>
      <c r="D5" s="819">
        <v>0</v>
      </c>
      <c r="E5" s="336">
        <f t="shared" ref="E5:E13" si="2">B5+C5+D5</f>
        <v>514040</v>
      </c>
      <c r="F5" s="889">
        <v>0</v>
      </c>
      <c r="G5" s="341">
        <f t="shared" si="0"/>
        <v>1</v>
      </c>
      <c r="H5" s="342">
        <v>0</v>
      </c>
      <c r="I5" s="238"/>
      <c r="J5" s="238"/>
      <c r="K5" s="238"/>
      <c r="L5" s="241"/>
      <c r="M5" s="239"/>
      <c r="N5" s="239"/>
      <c r="O5" s="240"/>
      <c r="P5" s="242">
        <f t="shared" si="1"/>
        <v>0</v>
      </c>
      <c r="Q5" s="61"/>
      <c r="R5" s="61"/>
      <c r="S5" s="24"/>
      <c r="T5" s="24"/>
      <c r="U5" s="24"/>
      <c r="V5" s="24"/>
    </row>
    <row r="6" spans="1:22" ht="25.5" customHeight="1">
      <c r="A6" s="338" t="s">
        <v>28</v>
      </c>
      <c r="B6" s="818">
        <v>1477181</v>
      </c>
      <c r="C6" s="339">
        <f>+'III.3.2. Afil anual SFS RS '!D6</f>
        <v>1081936</v>
      </c>
      <c r="D6" s="819">
        <v>0</v>
      </c>
      <c r="E6" s="336">
        <f t="shared" si="2"/>
        <v>2559117</v>
      </c>
      <c r="F6" s="341">
        <f t="shared" ref="F6:F13" si="3">B6/E6</f>
        <v>0.57722292493856275</v>
      </c>
      <c r="G6" s="341">
        <f t="shared" si="0"/>
        <v>0.42277707506143719</v>
      </c>
      <c r="H6" s="342">
        <v>0</v>
      </c>
      <c r="I6" s="238"/>
      <c r="J6" s="238"/>
      <c r="K6" s="238"/>
      <c r="L6" s="241"/>
      <c r="M6" s="239"/>
      <c r="N6" s="239"/>
      <c r="O6" s="240"/>
      <c r="P6" s="242">
        <f t="shared" si="1"/>
        <v>0</v>
      </c>
      <c r="Q6" s="61"/>
      <c r="R6" s="61"/>
      <c r="S6" s="24"/>
      <c r="T6" s="24"/>
      <c r="U6" s="24"/>
      <c r="V6" s="24"/>
    </row>
    <row r="7" spans="1:22" ht="25.5" customHeight="1">
      <c r="A7" s="338" t="s">
        <v>29</v>
      </c>
      <c r="B7" s="818">
        <v>1692259</v>
      </c>
      <c r="C7" s="339">
        <f>+'III.3.2. Afil anual SFS RS '!D7</f>
        <v>1224898</v>
      </c>
      <c r="D7" s="819">
        <v>0</v>
      </c>
      <c r="E7" s="336">
        <f t="shared" si="2"/>
        <v>2917157</v>
      </c>
      <c r="F7" s="341">
        <f t="shared" si="3"/>
        <v>0.58010556168214467</v>
      </c>
      <c r="G7" s="341">
        <f t="shared" si="0"/>
        <v>0.41989443831785539</v>
      </c>
      <c r="H7" s="342">
        <v>0</v>
      </c>
      <c r="I7" s="238"/>
      <c r="J7" s="238"/>
      <c r="K7" s="238"/>
      <c r="L7" s="241"/>
      <c r="M7" s="239"/>
      <c r="N7" s="239"/>
      <c r="O7" s="240"/>
      <c r="P7" s="242">
        <f t="shared" si="1"/>
        <v>0</v>
      </c>
      <c r="Q7" s="61"/>
      <c r="R7" s="61"/>
      <c r="S7" s="24"/>
      <c r="T7" s="24"/>
      <c r="U7" s="24"/>
      <c r="V7" s="24"/>
    </row>
    <row r="8" spans="1:22" ht="25.5" customHeight="1">
      <c r="A8" s="338" t="s">
        <v>30</v>
      </c>
      <c r="B8" s="818">
        <v>2088299</v>
      </c>
      <c r="C8" s="339">
        <f>+'III.3.2. Afil anual SFS RS '!D8</f>
        <v>1404225</v>
      </c>
      <c r="D8" s="820">
        <v>21982</v>
      </c>
      <c r="E8" s="336">
        <f t="shared" si="2"/>
        <v>3514506</v>
      </c>
      <c r="F8" s="341">
        <f t="shared" si="3"/>
        <v>0.59419417693411247</v>
      </c>
      <c r="G8" s="341">
        <f t="shared" si="0"/>
        <v>0.39955117447516092</v>
      </c>
      <c r="H8" s="343">
        <f t="shared" ref="H8:H14" si="4">D8/E8</f>
        <v>6.2546485907265491E-3</v>
      </c>
      <c r="I8" s="238"/>
      <c r="J8" s="238"/>
      <c r="K8" s="238"/>
      <c r="L8" s="241"/>
      <c r="M8" s="239"/>
      <c r="N8" s="239"/>
      <c r="O8" s="239"/>
      <c r="P8" s="242">
        <f t="shared" si="1"/>
        <v>0</v>
      </c>
      <c r="Q8" s="61"/>
      <c r="R8" s="61"/>
      <c r="S8" s="24"/>
      <c r="T8" s="24"/>
      <c r="U8" s="24"/>
      <c r="V8" s="24"/>
    </row>
    <row r="9" spans="1:22" ht="25.5" customHeight="1">
      <c r="A9" s="338" t="s">
        <v>191</v>
      </c>
      <c r="B9" s="818">
        <v>2364083</v>
      </c>
      <c r="C9" s="339">
        <f>+'III.3.2. Afil anual SFS RS '!D9</f>
        <v>2013786</v>
      </c>
      <c r="D9" s="820">
        <v>27105</v>
      </c>
      <c r="E9" s="336">
        <f t="shared" si="2"/>
        <v>4404974</v>
      </c>
      <c r="F9" s="341">
        <f t="shared" si="3"/>
        <v>0.53668489303228573</v>
      </c>
      <c r="G9" s="341">
        <f t="shared" si="0"/>
        <v>0.45716183568847396</v>
      </c>
      <c r="H9" s="343">
        <f t="shared" si="4"/>
        <v>6.1532712792402404E-3</v>
      </c>
      <c r="I9" s="238"/>
      <c r="J9" s="238"/>
      <c r="K9" s="238"/>
      <c r="L9" s="241"/>
      <c r="M9" s="239"/>
      <c r="N9" s="239"/>
      <c r="O9" s="239"/>
      <c r="P9" s="242">
        <f t="shared" si="1"/>
        <v>0</v>
      </c>
      <c r="Q9" s="61"/>
      <c r="R9" s="61"/>
      <c r="S9" s="24"/>
      <c r="T9" s="24"/>
      <c r="U9" s="24"/>
      <c r="V9" s="24"/>
    </row>
    <row r="10" spans="1:22" ht="25.5" customHeight="1">
      <c r="A10" s="338" t="s">
        <v>231</v>
      </c>
      <c r="B10" s="818">
        <v>2517423</v>
      </c>
      <c r="C10" s="339">
        <f>+'III.3.2. Afil anual SFS RS '!D10</f>
        <v>2003427</v>
      </c>
      <c r="D10" s="820">
        <v>29726</v>
      </c>
      <c r="E10" s="336">
        <f t="shared" si="2"/>
        <v>4550576</v>
      </c>
      <c r="F10" s="341">
        <f t="shared" si="3"/>
        <v>0.55320974751328178</v>
      </c>
      <c r="G10" s="341">
        <f t="shared" si="0"/>
        <v>0.44025789262721904</v>
      </c>
      <c r="H10" s="343">
        <f t="shared" si="4"/>
        <v>6.5323598594991053E-3</v>
      </c>
      <c r="I10" s="238"/>
      <c r="J10" s="238"/>
      <c r="K10" s="812"/>
      <c r="L10" s="241"/>
      <c r="M10" s="239"/>
      <c r="N10" s="239"/>
      <c r="O10" s="239"/>
      <c r="P10" s="242">
        <f t="shared" si="1"/>
        <v>0</v>
      </c>
      <c r="Q10" s="61"/>
      <c r="R10" s="61"/>
      <c r="S10" s="24"/>
      <c r="T10" s="24"/>
      <c r="U10" s="24"/>
      <c r="V10" s="24"/>
    </row>
    <row r="11" spans="1:22" ht="25.5" customHeight="1">
      <c r="A11" s="338" t="s">
        <v>481</v>
      </c>
      <c r="B11" s="818">
        <v>2688411</v>
      </c>
      <c r="C11" s="339">
        <f>+'III.3.2. Afil anual SFS RS '!D11</f>
        <v>2303351</v>
      </c>
      <c r="D11" s="820">
        <v>30703</v>
      </c>
      <c r="E11" s="336">
        <f t="shared" si="2"/>
        <v>5022465</v>
      </c>
      <c r="F11" s="341">
        <f t="shared" si="3"/>
        <v>0.53527719954245578</v>
      </c>
      <c r="G11" s="341">
        <f>C11/E11</f>
        <v>0.45860966676721493</v>
      </c>
      <c r="H11" s="343">
        <f t="shared" si="4"/>
        <v>6.1131336903293499E-3</v>
      </c>
      <c r="I11" s="238"/>
      <c r="J11" s="238"/>
      <c r="K11" s="238"/>
      <c r="L11" s="241"/>
      <c r="M11" s="239"/>
      <c r="N11" s="239"/>
      <c r="O11" s="239"/>
      <c r="P11" s="242"/>
      <c r="Q11" s="61"/>
      <c r="R11" s="61"/>
      <c r="S11" s="24"/>
      <c r="T11" s="24"/>
      <c r="U11" s="24"/>
      <c r="V11" s="24"/>
    </row>
    <row r="12" spans="1:22" ht="25.5" customHeight="1">
      <c r="A12" s="338" t="s">
        <v>557</v>
      </c>
      <c r="B12" s="818">
        <v>2859306</v>
      </c>
      <c r="C12" s="339">
        <f>+'III.3.2. Afil anual SFS RS '!D12</f>
        <v>2751753</v>
      </c>
      <c r="D12" s="820">
        <v>27273</v>
      </c>
      <c r="E12" s="336">
        <f t="shared" si="2"/>
        <v>5638332</v>
      </c>
      <c r="F12" s="341">
        <f t="shared" si="3"/>
        <v>0.50711912672045567</v>
      </c>
      <c r="G12" s="341">
        <f>C12/E12</f>
        <v>0.48804380444429307</v>
      </c>
      <c r="H12" s="343">
        <f t="shared" si="4"/>
        <v>4.8370688352512761E-3</v>
      </c>
      <c r="I12" s="238"/>
      <c r="J12" s="1535"/>
      <c r="K12" s="238"/>
      <c r="L12" s="241"/>
      <c r="M12" s="239"/>
      <c r="N12" s="239"/>
      <c r="O12" s="239"/>
      <c r="P12" s="242"/>
      <c r="Q12" s="61"/>
      <c r="R12" s="61"/>
      <c r="S12" s="24"/>
      <c r="T12" s="24"/>
      <c r="U12" s="24"/>
      <c r="V12" s="24"/>
    </row>
    <row r="13" spans="1:22" ht="25.5" customHeight="1">
      <c r="A13" s="338" t="s">
        <v>570</v>
      </c>
      <c r="B13" s="818">
        <v>3141599</v>
      </c>
      <c r="C13" s="339">
        <f>+'III.3.2. Afil anual SFS RS '!D13</f>
        <v>3015646</v>
      </c>
      <c r="D13" s="820">
        <v>30370</v>
      </c>
      <c r="E13" s="336">
        <f t="shared" si="2"/>
        <v>6187615</v>
      </c>
      <c r="F13" s="341">
        <f t="shared" si="3"/>
        <v>0.50772373523562797</v>
      </c>
      <c r="G13" s="341">
        <f>C13/E13</f>
        <v>0.48736807315904429</v>
      </c>
      <c r="H13" s="343">
        <f t="shared" si="4"/>
        <v>4.9081916053277394E-3</v>
      </c>
      <c r="I13" s="238"/>
      <c r="J13" s="238"/>
      <c r="K13" s="238"/>
      <c r="L13" s="241"/>
      <c r="M13" s="239"/>
      <c r="N13" s="239"/>
      <c r="O13" s="239"/>
      <c r="P13" s="242"/>
      <c r="Q13" s="61"/>
      <c r="R13" s="61"/>
      <c r="S13" s="24"/>
      <c r="T13" s="24"/>
      <c r="U13" s="24"/>
      <c r="V13" s="24"/>
    </row>
    <row r="14" spans="1:22" ht="25.5" customHeight="1">
      <c r="A14" s="340" t="s">
        <v>1003</v>
      </c>
      <c r="B14" s="1660">
        <v>3352699</v>
      </c>
      <c r="C14" s="1661">
        <v>3107676</v>
      </c>
      <c r="D14" s="1662">
        <v>30479</v>
      </c>
      <c r="E14" s="347">
        <f>B14+C14+D14</f>
        <v>6490854</v>
      </c>
      <c r="F14" s="344">
        <f>B14/E14</f>
        <v>0.51652663886755112</v>
      </c>
      <c r="G14" s="344">
        <f>C14/E14</f>
        <v>0.47877767702062007</v>
      </c>
      <c r="H14" s="345">
        <f t="shared" si="4"/>
        <v>4.6956841118287358E-3</v>
      </c>
      <c r="I14" s="238"/>
      <c r="J14" s="238"/>
      <c r="K14" s="238"/>
      <c r="L14" s="241"/>
      <c r="M14" s="239"/>
      <c r="N14" s="239"/>
      <c r="O14" s="239"/>
      <c r="P14" s="242">
        <f>L14/E14</f>
        <v>0</v>
      </c>
      <c r="Q14" s="61"/>
      <c r="R14" s="61"/>
      <c r="S14" s="24"/>
    </row>
    <row r="15" spans="1:22" ht="23.25" customHeight="1">
      <c r="A15" s="2024" t="s">
        <v>589</v>
      </c>
      <c r="B15" s="2024"/>
      <c r="C15" s="2024"/>
      <c r="D15" s="2024"/>
      <c r="E15" s="2024"/>
      <c r="F15" s="2024"/>
      <c r="G15" s="2024"/>
      <c r="H15" s="2024"/>
      <c r="I15" s="2024"/>
      <c r="J15" s="2024"/>
      <c r="K15" s="2024"/>
      <c r="L15" s="2024"/>
      <c r="M15" s="2024"/>
      <c r="N15" s="2024"/>
      <c r="O15" s="2024"/>
      <c r="P15" s="2024"/>
      <c r="Q15" s="61"/>
      <c r="R15" s="61"/>
      <c r="S15" s="24"/>
    </row>
    <row r="16" spans="1:22" ht="25.5" customHeight="1">
      <c r="A16" s="31"/>
      <c r="B16" s="31"/>
      <c r="C16" s="31"/>
      <c r="D16" s="31"/>
      <c r="E16" s="31"/>
      <c r="F16" s="31"/>
      <c r="G16" s="31"/>
      <c r="H16" s="31"/>
      <c r="I16" s="31"/>
      <c r="J16" s="31"/>
      <c r="K16" s="31"/>
      <c r="L16" s="31"/>
      <c r="M16" s="31"/>
      <c r="N16" s="31"/>
      <c r="O16" s="31"/>
      <c r="P16" s="31"/>
      <c r="R16" s="61"/>
      <c r="S16" s="24"/>
    </row>
    <row r="17" spans="1:33" ht="25.5" customHeight="1">
      <c r="A17" s="31"/>
      <c r="B17" s="31"/>
      <c r="C17" s="31"/>
      <c r="D17" s="31"/>
      <c r="E17" s="31"/>
      <c r="F17" s="31"/>
      <c r="G17" s="31"/>
      <c r="H17" s="31"/>
      <c r="I17" s="31"/>
      <c r="J17" s="31"/>
      <c r="K17" s="31"/>
      <c r="L17" s="31"/>
      <c r="M17" s="31"/>
      <c r="N17" s="31"/>
      <c r="O17" s="31"/>
      <c r="P17" s="31"/>
      <c r="Q17" s="31"/>
      <c r="R17" s="61"/>
      <c r="S17" s="31"/>
    </row>
    <row r="18" spans="1:33" ht="25.5" customHeight="1">
      <c r="A18" s="31"/>
      <c r="B18" s="31"/>
      <c r="C18" s="31"/>
      <c r="D18" s="31"/>
      <c r="E18" s="31"/>
      <c r="F18" s="31"/>
      <c r="G18" s="31"/>
      <c r="H18" s="31"/>
      <c r="I18" s="31"/>
      <c r="J18" s="31"/>
      <c r="K18" s="31"/>
      <c r="L18" s="31"/>
      <c r="M18" s="31"/>
      <c r="N18" s="31"/>
      <c r="O18" s="31"/>
      <c r="P18" s="31"/>
      <c r="Q18" s="31"/>
      <c r="R18" s="61"/>
      <c r="S18" s="31"/>
      <c r="AG18" s="77" t="s">
        <v>31</v>
      </c>
    </row>
    <row r="19" spans="1:33" ht="25.5" customHeight="1">
      <c r="A19" s="31"/>
      <c r="B19" s="31"/>
      <c r="C19" s="31"/>
      <c r="D19" s="31"/>
      <c r="E19" s="31"/>
      <c r="F19" s="31"/>
      <c r="G19" s="31"/>
      <c r="H19" s="31"/>
      <c r="I19" s="31"/>
      <c r="J19" s="31"/>
      <c r="K19" s="31"/>
      <c r="L19" s="31"/>
      <c r="M19" s="31"/>
      <c r="N19" s="31"/>
      <c r="O19" s="31"/>
      <c r="P19" s="31"/>
      <c r="Q19" s="31"/>
      <c r="R19" s="61"/>
      <c r="S19" s="31"/>
      <c r="T19" s="31"/>
      <c r="U19" s="31"/>
      <c r="V19" s="31"/>
    </row>
    <row r="20" spans="1:33" ht="25.5" customHeight="1">
      <c r="A20" s="31"/>
      <c r="B20" s="31"/>
      <c r="C20" s="31"/>
      <c r="D20" s="31"/>
      <c r="E20" s="31"/>
      <c r="F20" s="31"/>
      <c r="G20" s="31"/>
      <c r="H20" s="31"/>
      <c r="I20" s="31"/>
      <c r="J20" s="31"/>
      <c r="K20" s="31"/>
      <c r="L20" s="31"/>
      <c r="M20" s="31"/>
      <c r="N20" s="31"/>
      <c r="O20" s="31"/>
      <c r="P20" s="31"/>
      <c r="Q20" s="31"/>
      <c r="R20" s="61"/>
      <c r="S20" s="31"/>
      <c r="T20" s="31"/>
      <c r="U20" s="31"/>
      <c r="V20" s="31"/>
    </row>
    <row r="21" spans="1:33" ht="25.5" customHeight="1">
      <c r="A21" s="31"/>
      <c r="B21" s="31"/>
      <c r="C21" s="31"/>
      <c r="D21" s="31"/>
      <c r="E21" s="31"/>
      <c r="F21" s="31"/>
      <c r="G21" s="31"/>
      <c r="H21" s="31"/>
      <c r="I21" s="31"/>
      <c r="J21" s="31"/>
      <c r="K21" s="31"/>
      <c r="L21" s="31"/>
      <c r="M21" s="31"/>
      <c r="N21" s="31"/>
      <c r="O21" s="31"/>
      <c r="P21" s="31"/>
      <c r="Q21" s="31"/>
      <c r="R21" s="61"/>
      <c r="S21" s="31"/>
      <c r="T21" s="31"/>
      <c r="U21" s="31"/>
      <c r="V21" s="31"/>
    </row>
    <row r="22" spans="1:33" ht="25.5" customHeight="1">
      <c r="A22" s="31"/>
      <c r="B22" s="31"/>
      <c r="C22" s="31"/>
      <c r="D22" s="31"/>
      <c r="E22" s="31"/>
      <c r="F22" s="31"/>
      <c r="G22" s="31"/>
      <c r="H22" s="31"/>
      <c r="I22" s="31"/>
      <c r="J22" s="31"/>
      <c r="K22" s="31"/>
      <c r="L22" s="31"/>
      <c r="M22" s="31"/>
      <c r="N22" s="31"/>
      <c r="O22" s="31"/>
      <c r="P22" s="31"/>
      <c r="Q22" s="31"/>
      <c r="R22" s="61"/>
      <c r="S22" s="31"/>
      <c r="T22" s="31"/>
      <c r="U22" s="31"/>
      <c r="V22" s="31"/>
    </row>
    <row r="23" spans="1:33" ht="25.5" customHeight="1">
      <c r="A23" s="31"/>
      <c r="B23" s="31"/>
      <c r="C23" s="31"/>
      <c r="D23" s="31"/>
      <c r="E23" s="31"/>
      <c r="F23" s="31"/>
      <c r="G23" s="31"/>
      <c r="H23" s="31"/>
      <c r="I23" s="31"/>
      <c r="J23" s="31"/>
      <c r="K23" s="31"/>
      <c r="L23" s="31"/>
      <c r="M23" s="31"/>
      <c r="N23" s="31"/>
      <c r="O23" s="31"/>
      <c r="P23" s="31"/>
      <c r="Q23" s="31"/>
      <c r="R23" s="61"/>
      <c r="S23" s="31"/>
      <c r="T23" s="31"/>
      <c r="U23" s="31"/>
      <c r="V23" s="31"/>
    </row>
    <row r="24" spans="1:33" ht="25.5" customHeight="1">
      <c r="A24" s="31"/>
      <c r="B24" s="31"/>
      <c r="C24" s="31"/>
      <c r="D24" s="31"/>
      <c r="E24" s="31"/>
      <c r="F24" s="31"/>
      <c r="G24" s="31"/>
      <c r="H24" s="31"/>
      <c r="I24" s="31"/>
      <c r="J24" s="31"/>
      <c r="K24" s="31"/>
      <c r="L24" s="31"/>
      <c r="M24" s="31"/>
      <c r="N24" s="31"/>
      <c r="O24" s="31"/>
      <c r="P24" s="31"/>
      <c r="Q24" s="31"/>
      <c r="R24" s="61"/>
      <c r="S24" s="31"/>
      <c r="T24" s="31"/>
      <c r="U24" s="31"/>
      <c r="V24" s="31"/>
    </row>
    <row r="25" spans="1:33" ht="25.5" customHeight="1">
      <c r="A25" s="31"/>
      <c r="B25" s="31"/>
      <c r="C25" s="31"/>
      <c r="D25" s="31"/>
      <c r="E25" s="31"/>
      <c r="F25" s="31"/>
      <c r="G25" s="31"/>
      <c r="H25" s="31"/>
      <c r="I25" s="31"/>
      <c r="J25" s="31"/>
      <c r="K25" s="31"/>
      <c r="L25" s="31"/>
      <c r="M25" s="31"/>
      <c r="N25" s="31"/>
      <c r="O25" s="31"/>
      <c r="P25" s="31"/>
      <c r="Q25" s="31"/>
      <c r="R25" s="31"/>
      <c r="S25" s="31"/>
      <c r="T25" s="31"/>
      <c r="U25" s="31"/>
      <c r="V25" s="31"/>
    </row>
    <row r="26" spans="1:33" ht="25.5" customHeight="1">
      <c r="A26" s="31"/>
      <c r="B26" s="31"/>
      <c r="C26" s="31"/>
      <c r="D26" s="31"/>
      <c r="E26" s="31"/>
      <c r="F26" s="31"/>
      <c r="G26" s="31"/>
      <c r="H26" s="31"/>
      <c r="I26" s="31"/>
      <c r="J26" s="31"/>
      <c r="K26" s="31"/>
      <c r="L26" s="31"/>
      <c r="M26" s="31"/>
      <c r="N26" s="31"/>
      <c r="O26" s="31"/>
      <c r="P26" s="31"/>
      <c r="Q26" s="31"/>
      <c r="R26" s="31"/>
      <c r="S26" s="31"/>
      <c r="T26" s="31"/>
      <c r="U26" s="31"/>
      <c r="V26" s="31"/>
    </row>
    <row r="27" spans="1:33" ht="25.5" customHeight="1">
      <c r="A27" s="31"/>
      <c r="B27" s="31"/>
      <c r="C27" s="31"/>
      <c r="D27" s="31"/>
      <c r="E27" s="31"/>
      <c r="F27" s="31"/>
      <c r="G27" s="31"/>
      <c r="H27" s="31"/>
      <c r="I27" s="31"/>
      <c r="J27" s="31"/>
      <c r="K27" s="31"/>
      <c r="L27" s="31"/>
      <c r="M27" s="31"/>
      <c r="N27" s="31"/>
      <c r="O27" s="31"/>
      <c r="P27" s="31"/>
      <c r="Q27" s="31"/>
      <c r="R27" s="31"/>
      <c r="S27" s="31"/>
      <c r="T27" s="31"/>
      <c r="U27" s="31"/>
      <c r="V27" s="31"/>
    </row>
    <row r="28" spans="1:33" ht="25.5" customHeight="1">
      <c r="A28" s="31"/>
      <c r="B28" s="31"/>
      <c r="C28" s="31"/>
      <c r="D28" s="31"/>
      <c r="E28" s="31"/>
      <c r="F28" s="31"/>
      <c r="G28" s="31"/>
      <c r="H28" s="31"/>
      <c r="I28" s="31"/>
      <c r="J28" s="31"/>
      <c r="K28" s="31"/>
      <c r="L28" s="31"/>
      <c r="M28" s="31"/>
      <c r="N28" s="31"/>
      <c r="O28" s="31"/>
      <c r="P28" s="31"/>
      <c r="Q28" s="31"/>
      <c r="R28" s="31"/>
      <c r="S28" s="31"/>
      <c r="T28" s="31"/>
      <c r="U28" s="31"/>
      <c r="V28" s="31"/>
    </row>
    <row r="29" spans="1:33" ht="25.5" customHeight="1">
      <c r="A29" s="31"/>
      <c r="B29" s="31"/>
      <c r="C29" s="31"/>
      <c r="D29" s="31"/>
      <c r="E29" s="31"/>
      <c r="F29" s="31"/>
      <c r="G29" s="31"/>
      <c r="H29" s="31"/>
      <c r="I29" s="31"/>
      <c r="J29" s="31"/>
      <c r="K29" s="31"/>
      <c r="L29" s="31"/>
      <c r="M29" s="31"/>
      <c r="N29" s="31"/>
      <c r="O29" s="31"/>
      <c r="P29" s="31"/>
      <c r="Q29" s="31"/>
      <c r="R29" s="31"/>
      <c r="S29" s="31"/>
      <c r="T29" s="31"/>
      <c r="U29" s="31"/>
      <c r="V29" s="31"/>
    </row>
    <row r="30" spans="1:33" ht="25.5" customHeight="1">
      <c r="A30" s="31"/>
      <c r="B30" s="31"/>
      <c r="C30" s="31"/>
      <c r="D30" s="31"/>
      <c r="E30" s="31"/>
      <c r="F30" s="31"/>
      <c r="G30" s="31"/>
      <c r="H30" s="31"/>
      <c r="I30" s="31"/>
      <c r="J30" s="31"/>
      <c r="K30" s="31"/>
      <c r="L30" s="31"/>
      <c r="M30" s="31"/>
      <c r="N30" s="31"/>
      <c r="O30" s="31"/>
      <c r="P30" s="31"/>
      <c r="Q30" s="31"/>
      <c r="R30" s="31"/>
      <c r="S30" s="31"/>
      <c r="T30" s="31"/>
      <c r="U30" s="31"/>
      <c r="V30" s="31"/>
      <c r="W30" s="77" t="s">
        <v>31</v>
      </c>
    </row>
    <row r="31" spans="1:33" ht="25.5" customHeight="1">
      <c r="A31" s="31"/>
      <c r="B31" s="31"/>
      <c r="C31" s="31"/>
      <c r="D31" s="31"/>
      <c r="E31" s="31"/>
      <c r="F31" s="31"/>
      <c r="G31" s="31"/>
      <c r="H31" s="31"/>
      <c r="I31" s="31"/>
      <c r="J31" s="31"/>
      <c r="K31" s="31"/>
      <c r="L31" s="31"/>
      <c r="M31" s="31"/>
      <c r="N31" s="31"/>
      <c r="O31" s="31"/>
      <c r="P31" s="31"/>
      <c r="Q31" s="31"/>
      <c r="R31" s="31"/>
      <c r="S31" s="31"/>
      <c r="T31" s="31"/>
      <c r="U31" s="31"/>
      <c r="V31" s="31"/>
    </row>
    <row r="32" spans="1:33" ht="25.5" customHeight="1">
      <c r="A32" s="31"/>
      <c r="B32" s="31"/>
      <c r="C32" s="31"/>
      <c r="D32" s="31"/>
      <c r="E32" s="31"/>
      <c r="F32" s="31"/>
      <c r="G32" s="31"/>
      <c r="H32" s="31"/>
      <c r="I32" s="31"/>
      <c r="J32" s="31"/>
      <c r="K32" s="31"/>
      <c r="L32" s="31"/>
      <c r="M32" s="31"/>
      <c r="N32" s="31"/>
      <c r="O32" s="31"/>
      <c r="P32" s="31"/>
      <c r="Q32" s="31"/>
      <c r="R32" s="31"/>
      <c r="S32" s="31"/>
      <c r="T32" s="31"/>
      <c r="U32" s="31"/>
      <c r="V32" s="31"/>
    </row>
    <row r="33" spans="1:28" ht="25.5" customHeight="1">
      <c r="A33" s="31"/>
      <c r="B33" s="31"/>
      <c r="C33" s="31"/>
      <c r="D33" s="31"/>
      <c r="E33" s="31"/>
      <c r="F33" s="31"/>
      <c r="G33" s="31"/>
      <c r="H33" s="31"/>
      <c r="I33" s="31"/>
      <c r="J33" s="31"/>
      <c r="K33" s="31"/>
      <c r="L33" s="31"/>
      <c r="M33" s="31"/>
      <c r="N33" s="31"/>
      <c r="O33" s="31"/>
      <c r="P33" s="31"/>
      <c r="Q33" s="31"/>
      <c r="R33" s="31"/>
      <c r="S33" s="31"/>
      <c r="T33" s="31"/>
      <c r="U33" s="31"/>
      <c r="V33" s="31"/>
    </row>
    <row r="34" spans="1:28" ht="25.5" customHeight="1">
      <c r="A34" s="31"/>
      <c r="B34" s="31"/>
      <c r="C34" s="31"/>
      <c r="D34" s="31"/>
      <c r="E34" s="31"/>
      <c r="F34" s="31"/>
      <c r="G34" s="31"/>
      <c r="H34" s="31"/>
      <c r="I34" s="31"/>
      <c r="J34" s="31"/>
      <c r="K34" s="31"/>
      <c r="L34" s="31"/>
      <c r="M34" s="31"/>
      <c r="N34" s="31"/>
      <c r="O34" s="31"/>
      <c r="P34" s="31"/>
      <c r="Q34" s="31"/>
      <c r="R34" s="31"/>
      <c r="S34" s="31"/>
      <c r="T34" s="31"/>
      <c r="U34" s="31"/>
      <c r="V34" s="31"/>
    </row>
    <row r="35" spans="1:28" ht="25.5" customHeight="1">
      <c r="A35" s="31"/>
      <c r="B35" s="31"/>
      <c r="C35" s="31"/>
      <c r="D35" s="31"/>
      <c r="E35" s="31"/>
      <c r="F35" s="31"/>
      <c r="G35" s="31"/>
      <c r="H35" s="31"/>
      <c r="I35" s="31"/>
      <c r="J35" s="31"/>
      <c r="K35" s="31"/>
      <c r="L35" s="31"/>
      <c r="M35" s="31"/>
      <c r="N35" s="31"/>
      <c r="O35" s="31"/>
      <c r="P35" s="31"/>
      <c r="Q35" s="31"/>
      <c r="R35" s="31"/>
      <c r="S35" s="31"/>
      <c r="T35" s="31"/>
      <c r="U35" s="31"/>
      <c r="V35" s="31"/>
    </row>
    <row r="36" spans="1:28" ht="25.5" customHeight="1">
      <c r="A36" s="31"/>
      <c r="B36" s="31"/>
      <c r="C36" s="31"/>
      <c r="D36" s="31"/>
      <c r="E36" s="31"/>
      <c r="F36" s="31"/>
      <c r="G36" s="31"/>
      <c r="H36" s="31"/>
      <c r="I36" s="31"/>
      <c r="J36" s="31"/>
      <c r="K36" s="31"/>
      <c r="L36" s="31"/>
      <c r="M36" s="31"/>
      <c r="N36" s="31"/>
      <c r="O36" s="31"/>
      <c r="P36" s="31"/>
      <c r="Q36" s="31"/>
      <c r="R36" s="31"/>
      <c r="S36" s="31"/>
      <c r="T36" s="31"/>
      <c r="U36" s="31"/>
      <c r="V36" s="31"/>
    </row>
    <row r="37" spans="1:28" ht="25.5" customHeight="1">
      <c r="A37" s="31"/>
      <c r="B37" s="31"/>
      <c r="C37" s="31"/>
      <c r="D37" s="31"/>
      <c r="E37" s="31"/>
      <c r="F37" s="31"/>
      <c r="G37" s="31"/>
      <c r="H37" s="31"/>
      <c r="I37" s="31"/>
      <c r="J37" s="31"/>
      <c r="K37" s="31"/>
      <c r="L37" s="31"/>
      <c r="M37" s="31"/>
      <c r="N37" s="31"/>
      <c r="O37" s="31"/>
      <c r="P37" s="31"/>
      <c r="Q37" s="31"/>
      <c r="R37" s="31"/>
      <c r="S37" s="31"/>
      <c r="T37" s="31"/>
      <c r="U37" s="31"/>
      <c r="V37" s="31"/>
    </row>
    <row r="38" spans="1:28">
      <c r="S38" s="95"/>
      <c r="T38" s="95"/>
      <c r="U38" s="95"/>
      <c r="V38" s="95"/>
      <c r="W38" s="96"/>
      <c r="X38" s="96"/>
      <c r="Y38" s="96"/>
      <c r="Z38" s="96"/>
      <c r="AA38" s="96"/>
      <c r="AB38" s="96"/>
    </row>
    <row r="39" spans="1:28">
      <c r="S39" s="95"/>
      <c r="T39" s="95"/>
      <c r="U39" s="95"/>
      <c r="V39" s="95"/>
      <c r="W39" s="96"/>
      <c r="X39" s="96"/>
      <c r="Y39" s="96"/>
      <c r="Z39" s="96"/>
      <c r="AA39" s="96"/>
      <c r="AB39" s="96"/>
    </row>
    <row r="40" spans="1:28">
      <c r="S40" s="95"/>
      <c r="T40" s="95"/>
      <c r="U40" s="95"/>
      <c r="V40" s="95"/>
      <c r="W40" s="96"/>
      <c r="X40" s="96"/>
      <c r="Y40" s="96"/>
      <c r="Z40" s="96"/>
      <c r="AA40" s="96"/>
      <c r="AB40" s="96"/>
    </row>
    <row r="41" spans="1:28">
      <c r="S41" s="95"/>
      <c r="T41" s="95"/>
      <c r="U41" s="95"/>
      <c r="V41" s="95"/>
      <c r="W41" s="96"/>
      <c r="X41" s="96"/>
      <c r="Y41" s="96"/>
      <c r="Z41" s="96"/>
      <c r="AA41" s="96"/>
      <c r="AB41" s="96"/>
    </row>
    <row r="42" spans="1:28" ht="51" customHeight="1">
      <c r="S42" s="95"/>
      <c r="T42" s="95"/>
      <c r="U42" s="95"/>
      <c r="V42" s="95"/>
      <c r="W42" s="96"/>
      <c r="X42" s="96"/>
      <c r="Y42" s="96"/>
      <c r="Z42" s="96"/>
      <c r="AA42" s="96"/>
      <c r="AB42" s="96"/>
    </row>
    <row r="43" spans="1:28" ht="78" customHeight="1">
      <c r="A43" s="2023"/>
      <c r="B43" s="2023"/>
      <c r="C43" s="2023"/>
      <c r="D43" s="2023"/>
      <c r="E43" s="2023"/>
      <c r="F43" s="2023"/>
      <c r="G43" s="2023"/>
      <c r="H43" s="2023"/>
      <c r="I43" s="2023"/>
      <c r="J43" s="2023"/>
      <c r="K43" s="2023"/>
      <c r="L43" s="2023"/>
      <c r="M43" s="2023"/>
      <c r="N43" s="2023"/>
      <c r="O43" s="2023"/>
      <c r="P43" s="2023"/>
      <c r="Q43" s="2023"/>
      <c r="R43" s="2023"/>
      <c r="S43" s="2023"/>
      <c r="T43" s="2023"/>
      <c r="U43" s="2023"/>
      <c r="V43" s="2023"/>
      <c r="W43" s="2023"/>
      <c r="X43" s="2023"/>
      <c r="Y43" s="2023"/>
      <c r="Z43" s="96"/>
      <c r="AA43" s="96"/>
      <c r="AB43" s="96"/>
    </row>
    <row r="44" spans="1:28">
      <c r="S44" s="96"/>
      <c r="T44" s="96"/>
      <c r="U44" s="96"/>
      <c r="V44" s="96"/>
      <c r="W44" s="96"/>
    </row>
    <row r="45" spans="1:28">
      <c r="S45" s="96"/>
      <c r="T45" s="96"/>
      <c r="U45" s="96"/>
      <c r="V45" s="96"/>
      <c r="W45" s="96"/>
    </row>
    <row r="46" spans="1:28">
      <c r="S46" s="96"/>
      <c r="T46" s="96"/>
      <c r="U46" s="96"/>
      <c r="V46" s="96"/>
      <c r="W46" s="96"/>
    </row>
    <row r="47" spans="1:28">
      <c r="S47" s="96"/>
      <c r="T47" s="96"/>
      <c r="U47" s="96"/>
      <c r="V47" s="96"/>
      <c r="W47" s="96"/>
    </row>
    <row r="48" spans="1:28">
      <c r="S48" s="96"/>
      <c r="T48" s="96"/>
      <c r="U48" s="96"/>
      <c r="V48" s="96"/>
      <c r="W48" s="96"/>
    </row>
    <row r="49" spans="2:30">
      <c r="S49" s="96"/>
      <c r="T49" s="96"/>
      <c r="U49" s="96"/>
      <c r="V49" s="96"/>
      <c r="W49" s="96"/>
      <c r="X49" s="96"/>
      <c r="Y49" s="96"/>
      <c r="Z49" s="96"/>
      <c r="AA49" s="96"/>
      <c r="AB49" s="96"/>
      <c r="AC49" s="96"/>
      <c r="AD49" s="96"/>
    </row>
    <row r="50" spans="2:30">
      <c r="S50" s="96"/>
      <c r="T50" s="96"/>
      <c r="U50" s="96"/>
      <c r="V50" s="96"/>
      <c r="W50" s="96"/>
      <c r="X50" s="96"/>
      <c r="Y50" s="96"/>
      <c r="Z50" s="96"/>
      <c r="AA50" s="96"/>
      <c r="AB50" s="96"/>
      <c r="AC50" s="96"/>
      <c r="AD50" s="96"/>
    </row>
    <row r="51" spans="2:30">
      <c r="S51" s="96"/>
      <c r="T51" s="96"/>
      <c r="U51" s="96"/>
      <c r="V51" s="96"/>
      <c r="W51" s="96"/>
      <c r="X51" s="96"/>
      <c r="Y51" s="96"/>
      <c r="Z51" s="96"/>
      <c r="AA51" s="96"/>
      <c r="AB51" s="96"/>
      <c r="AC51" s="96"/>
      <c r="AD51" s="96"/>
    </row>
    <row r="52" spans="2:30">
      <c r="S52" s="96"/>
      <c r="T52" s="96"/>
      <c r="U52" s="96"/>
      <c r="V52" s="96"/>
      <c r="W52" s="96"/>
      <c r="X52" s="96"/>
      <c r="Y52" s="96"/>
      <c r="Z52" s="96"/>
      <c r="AA52" s="96"/>
      <c r="AB52" s="96"/>
      <c r="AC52" s="96"/>
      <c r="AD52" s="96"/>
    </row>
    <row r="53" spans="2:30">
      <c r="S53" s="96"/>
      <c r="T53" s="96"/>
      <c r="U53" s="96"/>
      <c r="V53" s="96"/>
      <c r="W53" s="96"/>
      <c r="X53" s="96"/>
      <c r="Y53" s="96"/>
      <c r="Z53" s="96"/>
      <c r="AA53" s="96"/>
      <c r="AB53" s="96"/>
      <c r="AC53" s="96"/>
      <c r="AD53" s="96"/>
    </row>
    <row r="54" spans="2:30">
      <c r="S54" s="96"/>
      <c r="T54" s="96"/>
      <c r="U54" s="96"/>
      <c r="V54" s="96"/>
      <c r="W54" s="96"/>
      <c r="X54" s="96"/>
      <c r="Y54" s="96"/>
      <c r="Z54" s="96"/>
      <c r="AA54" s="96"/>
      <c r="AB54" s="96"/>
      <c r="AC54" s="96"/>
      <c r="AD54" s="96"/>
    </row>
    <row r="55" spans="2:30">
      <c r="B55" s="96"/>
      <c r="C55" s="96"/>
      <c r="D55" s="96"/>
      <c r="E55" s="96"/>
      <c r="F55" s="96"/>
      <c r="G55" s="96"/>
      <c r="H55" s="96"/>
      <c r="I55" s="96"/>
      <c r="J55" s="96"/>
      <c r="K55" s="96"/>
      <c r="L55" s="96"/>
      <c r="M55" s="96"/>
      <c r="N55" s="96"/>
      <c r="O55" s="96"/>
      <c r="P55" s="96"/>
      <c r="Q55" s="96"/>
      <c r="R55" s="96"/>
      <c r="S55" s="96"/>
      <c r="T55" s="96"/>
      <c r="U55" s="96"/>
      <c r="V55" s="96"/>
      <c r="W55" s="96"/>
      <c r="X55" s="96"/>
      <c r="Y55" s="96"/>
      <c r="Z55" s="96"/>
      <c r="AA55" s="96"/>
      <c r="AB55" s="96"/>
      <c r="AC55" s="96"/>
      <c r="AD55" s="96"/>
    </row>
    <row r="74" spans="24:24">
      <c r="X74" s="96"/>
    </row>
    <row r="75" spans="24:24">
      <c r="X75" s="96"/>
    </row>
    <row r="76" spans="24:24">
      <c r="X76" s="96"/>
    </row>
    <row r="77" spans="24:24">
      <c r="X77" s="96"/>
    </row>
    <row r="78" spans="24:24">
      <c r="X78" s="96"/>
    </row>
    <row r="79" spans="24:24">
      <c r="X79" s="96"/>
    </row>
    <row r="80" spans="24:24">
      <c r="X80" s="96"/>
    </row>
    <row r="81" spans="24:24">
      <c r="X81" s="96"/>
    </row>
    <row r="91" spans="24:24">
      <c r="X91" s="96"/>
    </row>
    <row r="92" spans="24:24">
      <c r="X92" s="96"/>
    </row>
    <row r="93" spans="24:24">
      <c r="X93" s="96"/>
    </row>
    <row r="94" spans="24:24">
      <c r="X94" s="96"/>
    </row>
  </sheetData>
  <mergeCells count="3">
    <mergeCell ref="A43:Y43"/>
    <mergeCell ref="A15:P15"/>
    <mergeCell ref="A1:Q1"/>
  </mergeCells>
  <printOptions horizontalCentered="1" verticalCentered="1"/>
  <pageMargins left="0.39370078740157483" right="0.39370078740157483" top="0.23622047244094491" bottom="0.23622047244094491" header="0.31496062992125984" footer="0.31496062992125984"/>
  <pageSetup scale="41"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tabColor theme="2" tint="-0.499984740745262"/>
    <pageSetUpPr fitToPage="1"/>
  </sheetPr>
  <dimension ref="A1:XFD208"/>
  <sheetViews>
    <sheetView showGridLines="0" view="pageBreakPreview" zoomScaleNormal="100" zoomScaleSheetLayoutView="100" workbookViewId="0">
      <pane ySplit="3" topLeftCell="A6" activePane="bottomLeft" state="frozen"/>
      <selection pane="bottomLeft"/>
    </sheetView>
  </sheetViews>
  <sheetFormatPr baseColWidth="10" defaultRowHeight="15"/>
  <cols>
    <col min="1" max="1" width="122.5703125" style="77" customWidth="1"/>
    <col min="2" max="16384" width="11.42578125" style="77"/>
  </cols>
  <sheetData>
    <row r="1" spans="1:1">
      <c r="A1" s="2001" t="s">
        <v>1030</v>
      </c>
    </row>
    <row r="2" spans="1:1" ht="24" customHeight="1"/>
    <row r="4" spans="1:1" ht="5.25" customHeight="1"/>
    <row r="5" spans="1:1">
      <c r="A5" s="50" t="s">
        <v>789</v>
      </c>
    </row>
    <row r="6" spans="1:1" ht="3" customHeight="1">
      <c r="A6" s="50"/>
    </row>
    <row r="7" spans="1:1">
      <c r="A7" s="1669" t="s">
        <v>790</v>
      </c>
    </row>
    <row r="8" spans="1:1">
      <c r="A8" s="1669" t="s">
        <v>791</v>
      </c>
    </row>
    <row r="9" spans="1:1" ht="14.25" customHeight="1">
      <c r="A9" s="1669" t="s">
        <v>792</v>
      </c>
    </row>
    <row r="10" spans="1:1" ht="15" customHeight="1">
      <c r="A10" s="1669" t="s">
        <v>793</v>
      </c>
    </row>
    <row r="11" spans="1:1" ht="6" customHeight="1" collapsed="1"/>
    <row r="12" spans="1:1" ht="15.75" customHeight="1">
      <c r="A12" s="1670" t="s">
        <v>794</v>
      </c>
    </row>
    <row r="13" spans="1:1" ht="20.25" customHeight="1">
      <c r="A13" s="1669" t="s">
        <v>795</v>
      </c>
    </row>
    <row r="14" spans="1:1">
      <c r="A14" s="1669" t="s">
        <v>796</v>
      </c>
    </row>
    <row r="15" spans="1:1">
      <c r="A15" s="1669" t="s">
        <v>797</v>
      </c>
    </row>
    <row r="16" spans="1:1">
      <c r="A16" s="1669" t="s">
        <v>798</v>
      </c>
    </row>
    <row r="17" spans="1:1">
      <c r="A17" s="1669" t="s">
        <v>799</v>
      </c>
    </row>
    <row r="18" spans="1:1" collapsed="1">
      <c r="A18" s="1669" t="s">
        <v>800</v>
      </c>
    </row>
    <row r="19" spans="1:1" ht="4.5" customHeight="1">
      <c r="A19" s="1671"/>
    </row>
    <row r="20" spans="1:1">
      <c r="A20" s="1670" t="s">
        <v>801</v>
      </c>
    </row>
    <row r="21" spans="1:1" ht="3.75" customHeight="1">
      <c r="A21" s="1670"/>
    </row>
    <row r="22" spans="1:1">
      <c r="A22" s="1672" t="s">
        <v>802</v>
      </c>
    </row>
    <row r="23" spans="1:1" ht="6" customHeight="1">
      <c r="A23" s="1672"/>
    </row>
    <row r="24" spans="1:1">
      <c r="A24" s="1673" t="s">
        <v>803</v>
      </c>
    </row>
    <row r="25" spans="1:1">
      <c r="A25" s="1673" t="s">
        <v>804</v>
      </c>
    </row>
    <row r="26" spans="1:1">
      <c r="A26" s="1673" t="s">
        <v>805</v>
      </c>
    </row>
    <row r="27" spans="1:1">
      <c r="A27" s="1673" t="s">
        <v>806</v>
      </c>
    </row>
    <row r="28" spans="1:1">
      <c r="A28" s="1673" t="s">
        <v>807</v>
      </c>
    </row>
    <row r="29" spans="1:1">
      <c r="A29" s="1673" t="s">
        <v>808</v>
      </c>
    </row>
    <row r="30" spans="1:1">
      <c r="A30" s="1673" t="s">
        <v>809</v>
      </c>
    </row>
    <row r="31" spans="1:1" ht="6.75" customHeight="1"/>
    <row r="32" spans="1:1">
      <c r="A32" s="1672" t="s">
        <v>810</v>
      </c>
    </row>
    <row r="33" spans="1:1" ht="3.75" customHeight="1"/>
    <row r="34" spans="1:1" s="1674" customFormat="1">
      <c r="A34" s="1673" t="s">
        <v>811</v>
      </c>
    </row>
    <row r="35" spans="1:1">
      <c r="A35" s="1673" t="s">
        <v>812</v>
      </c>
    </row>
    <row r="36" spans="1:1">
      <c r="A36" s="1673" t="s">
        <v>813</v>
      </c>
    </row>
    <row r="37" spans="1:1">
      <c r="A37" s="1673" t="s">
        <v>814</v>
      </c>
    </row>
    <row r="38" spans="1:1">
      <c r="A38" s="1673" t="s">
        <v>815</v>
      </c>
    </row>
    <row r="39" spans="1:1">
      <c r="A39" s="1673" t="s">
        <v>816</v>
      </c>
    </row>
    <row r="40" spans="1:1" ht="7.5" customHeight="1">
      <c r="A40" s="1675"/>
    </row>
    <row r="41" spans="1:1">
      <c r="A41" s="1672" t="s">
        <v>817</v>
      </c>
    </row>
    <row r="42" spans="1:1" ht="6" customHeight="1"/>
    <row r="43" spans="1:1">
      <c r="A43" s="1673" t="s">
        <v>818</v>
      </c>
    </row>
    <row r="44" spans="1:1">
      <c r="A44" s="1673" t="s">
        <v>819</v>
      </c>
    </row>
    <row r="45" spans="1:1">
      <c r="A45" s="1673" t="s">
        <v>820</v>
      </c>
    </row>
    <row r="46" spans="1:1">
      <c r="A46" s="1673" t="s">
        <v>821</v>
      </c>
    </row>
    <row r="47" spans="1:1">
      <c r="A47" s="1673" t="s">
        <v>822</v>
      </c>
    </row>
    <row r="48" spans="1:1">
      <c r="A48" s="1673" t="s">
        <v>823</v>
      </c>
    </row>
    <row r="49" spans="1:1">
      <c r="A49" s="1673" t="s">
        <v>824</v>
      </c>
    </row>
    <row r="50" spans="1:1" ht="6.75" customHeight="1"/>
    <row r="51" spans="1:1" ht="21.75" customHeight="1">
      <c r="A51" s="1672" t="s">
        <v>825</v>
      </c>
    </row>
    <row r="52" spans="1:1" ht="6.75" customHeight="1"/>
    <row r="53" spans="1:1">
      <c r="A53" s="1673" t="s">
        <v>826</v>
      </c>
    </row>
    <row r="54" spans="1:1">
      <c r="A54" s="1673" t="s">
        <v>827</v>
      </c>
    </row>
    <row r="55" spans="1:1">
      <c r="A55" s="1673" t="s">
        <v>828</v>
      </c>
    </row>
    <row r="56" spans="1:1">
      <c r="A56" s="1673" t="s">
        <v>829</v>
      </c>
    </row>
    <row r="58" spans="1:1">
      <c r="A58" s="1672" t="s">
        <v>830</v>
      </c>
    </row>
    <row r="60" spans="1:1">
      <c r="A60" s="1673" t="s">
        <v>831</v>
      </c>
    </row>
    <row r="61" spans="1:1">
      <c r="A61" s="1673" t="s">
        <v>832</v>
      </c>
    </row>
    <row r="62" spans="1:1">
      <c r="A62" s="1673" t="s">
        <v>833</v>
      </c>
    </row>
    <row r="63" spans="1:1">
      <c r="A63" s="1673" t="s">
        <v>834</v>
      </c>
    </row>
    <row r="64" spans="1:1">
      <c r="A64" s="1673" t="s">
        <v>835</v>
      </c>
    </row>
    <row r="65" spans="1:1">
      <c r="A65" s="1673" t="s">
        <v>836</v>
      </c>
    </row>
    <row r="66" spans="1:1">
      <c r="A66" s="1673" t="s">
        <v>837</v>
      </c>
    </row>
    <row r="67" spans="1:1">
      <c r="A67" s="1673" t="s">
        <v>838</v>
      </c>
    </row>
    <row r="68" spans="1:1">
      <c r="A68" s="1673" t="s">
        <v>839</v>
      </c>
    </row>
    <row r="69" spans="1:1">
      <c r="A69" s="1673" t="s">
        <v>840</v>
      </c>
    </row>
    <row r="70" spans="1:1" s="70" customFormat="1">
      <c r="A70" s="1676" t="s">
        <v>841</v>
      </c>
    </row>
    <row r="71" spans="1:1">
      <c r="A71" s="1673" t="s">
        <v>842</v>
      </c>
    </row>
    <row r="72" spans="1:1">
      <c r="A72" s="1673" t="s">
        <v>843</v>
      </c>
    </row>
    <row r="73" spans="1:1">
      <c r="A73" s="1673" t="s">
        <v>844</v>
      </c>
    </row>
    <row r="74" spans="1:1">
      <c r="A74" s="1673" t="s">
        <v>845</v>
      </c>
    </row>
    <row r="76" spans="1:1">
      <c r="A76" s="1672" t="s">
        <v>846</v>
      </c>
    </row>
    <row r="77" spans="1:1" ht="7.5" customHeight="1"/>
    <row r="78" spans="1:1">
      <c r="A78" s="1673" t="s">
        <v>847</v>
      </c>
    </row>
    <row r="79" spans="1:1">
      <c r="A79" s="1673" t="s">
        <v>848</v>
      </c>
    </row>
    <row r="80" spans="1:1">
      <c r="A80" s="1673" t="s">
        <v>849</v>
      </c>
    </row>
    <row r="81" spans="1:1">
      <c r="A81" s="1673" t="s">
        <v>850</v>
      </c>
    </row>
    <row r="82" spans="1:1">
      <c r="A82" s="1673" t="s">
        <v>851</v>
      </c>
    </row>
    <row r="83" spans="1:1" ht="14.25" customHeight="1">
      <c r="A83" s="1673" t="s">
        <v>852</v>
      </c>
    </row>
    <row r="84" spans="1:1" ht="9" customHeight="1">
      <c r="A84" s="1675"/>
    </row>
    <row r="85" spans="1:1">
      <c r="A85" s="1670" t="s">
        <v>853</v>
      </c>
    </row>
    <row r="86" spans="1:1" ht="6" customHeight="1">
      <c r="A86" s="1670"/>
    </row>
    <row r="87" spans="1:1">
      <c r="A87" s="1672" t="s">
        <v>854</v>
      </c>
    </row>
    <row r="88" spans="1:1" ht="21" customHeight="1">
      <c r="A88" s="1673" t="s">
        <v>855</v>
      </c>
    </row>
    <row r="89" spans="1:1">
      <c r="A89" s="1673" t="s">
        <v>856</v>
      </c>
    </row>
    <row r="90" spans="1:1">
      <c r="A90" s="1673" t="s">
        <v>857</v>
      </c>
    </row>
    <row r="91" spans="1:1">
      <c r="A91" s="1673" t="s">
        <v>858</v>
      </c>
    </row>
    <row r="92" spans="1:1">
      <c r="A92" s="1673" t="s">
        <v>859</v>
      </c>
    </row>
    <row r="93" spans="1:1">
      <c r="A93" s="1673" t="s">
        <v>860</v>
      </c>
    </row>
    <row r="94" spans="1:1">
      <c r="A94" s="1675"/>
    </row>
    <row r="95" spans="1:1">
      <c r="A95" s="1672" t="s">
        <v>861</v>
      </c>
    </row>
    <row r="96" spans="1:1" ht="6.75" customHeight="1"/>
    <row r="97" spans="1:16384" ht="13.5" customHeight="1">
      <c r="A97" s="1673" t="s">
        <v>862</v>
      </c>
      <c r="B97" s="1675"/>
      <c r="C97" s="1675"/>
      <c r="D97" s="1675"/>
      <c r="E97" s="1675"/>
      <c r="F97" s="1675"/>
      <c r="G97" s="1675"/>
      <c r="H97" s="1675"/>
      <c r="I97" s="1675"/>
      <c r="J97" s="1675"/>
      <c r="K97" s="1675"/>
      <c r="L97" s="1675"/>
      <c r="M97" s="1675"/>
      <c r="N97" s="1675"/>
      <c r="O97" s="1675"/>
      <c r="P97" s="1675"/>
      <c r="Q97" s="1675"/>
      <c r="R97" s="1675" t="s">
        <v>856</v>
      </c>
      <c r="S97" s="1675" t="s">
        <v>856</v>
      </c>
      <c r="T97" s="1675" t="s">
        <v>856</v>
      </c>
      <c r="U97" s="1675" t="s">
        <v>856</v>
      </c>
      <c r="V97" s="1675" t="s">
        <v>856</v>
      </c>
      <c r="W97" s="1675" t="s">
        <v>856</v>
      </c>
      <c r="X97" s="1675" t="s">
        <v>856</v>
      </c>
      <c r="Y97" s="1675" t="s">
        <v>856</v>
      </c>
      <c r="Z97" s="1675" t="s">
        <v>856</v>
      </c>
      <c r="AA97" s="1675" t="s">
        <v>856</v>
      </c>
      <c r="AB97" s="1675" t="s">
        <v>856</v>
      </c>
      <c r="AC97" s="1675" t="s">
        <v>856</v>
      </c>
      <c r="AD97" s="1675" t="s">
        <v>856</v>
      </c>
      <c r="AE97" s="1675" t="s">
        <v>856</v>
      </c>
      <c r="AF97" s="1675" t="s">
        <v>856</v>
      </c>
      <c r="AG97" s="1675" t="s">
        <v>856</v>
      </c>
      <c r="AH97" s="1675" t="s">
        <v>856</v>
      </c>
      <c r="AI97" s="1675" t="s">
        <v>856</v>
      </c>
      <c r="AJ97" s="1675" t="s">
        <v>856</v>
      </c>
      <c r="AK97" s="1675" t="s">
        <v>856</v>
      </c>
      <c r="AL97" s="1675" t="s">
        <v>856</v>
      </c>
      <c r="AM97" s="1675" t="s">
        <v>856</v>
      </c>
      <c r="AN97" s="1675" t="s">
        <v>856</v>
      </c>
      <c r="AO97" s="1675" t="s">
        <v>856</v>
      </c>
      <c r="AP97" s="1675" t="s">
        <v>856</v>
      </c>
      <c r="AQ97" s="1675" t="s">
        <v>856</v>
      </c>
      <c r="AR97" s="1675" t="s">
        <v>856</v>
      </c>
      <c r="AS97" s="1675" t="s">
        <v>856</v>
      </c>
      <c r="AT97" s="1675" t="s">
        <v>856</v>
      </c>
      <c r="AU97" s="1675" t="s">
        <v>856</v>
      </c>
      <c r="AV97" s="1675" t="s">
        <v>856</v>
      </c>
      <c r="AW97" s="1675" t="s">
        <v>856</v>
      </c>
      <c r="AX97" s="1675" t="s">
        <v>856</v>
      </c>
      <c r="AY97" s="1675" t="s">
        <v>856</v>
      </c>
      <c r="AZ97" s="1675" t="s">
        <v>856</v>
      </c>
      <c r="BA97" s="1675" t="s">
        <v>856</v>
      </c>
      <c r="BB97" s="1675" t="s">
        <v>856</v>
      </c>
      <c r="BC97" s="1675" t="s">
        <v>856</v>
      </c>
      <c r="BD97" s="1675" t="s">
        <v>856</v>
      </c>
      <c r="BE97" s="1675" t="s">
        <v>856</v>
      </c>
      <c r="BF97" s="1675" t="s">
        <v>856</v>
      </c>
      <c r="BG97" s="1675" t="s">
        <v>856</v>
      </c>
      <c r="BH97" s="1675" t="s">
        <v>856</v>
      </c>
      <c r="BI97" s="1675" t="s">
        <v>856</v>
      </c>
      <c r="BJ97" s="1675" t="s">
        <v>856</v>
      </c>
      <c r="BK97" s="1675" t="s">
        <v>856</v>
      </c>
      <c r="BL97" s="1675" t="s">
        <v>856</v>
      </c>
      <c r="BM97" s="1675" t="s">
        <v>856</v>
      </c>
      <c r="BN97" s="1675" t="s">
        <v>856</v>
      </c>
      <c r="BO97" s="1675" t="s">
        <v>856</v>
      </c>
      <c r="BP97" s="1675" t="s">
        <v>856</v>
      </c>
      <c r="BQ97" s="1675" t="s">
        <v>856</v>
      </c>
      <c r="BR97" s="1675" t="s">
        <v>856</v>
      </c>
      <c r="BS97" s="1675" t="s">
        <v>856</v>
      </c>
      <c r="BT97" s="1675" t="s">
        <v>856</v>
      </c>
      <c r="BU97" s="1675" t="s">
        <v>856</v>
      </c>
      <c r="BV97" s="1675" t="s">
        <v>856</v>
      </c>
      <c r="BW97" s="1675" t="s">
        <v>856</v>
      </c>
      <c r="BX97" s="1675" t="s">
        <v>856</v>
      </c>
      <c r="BY97" s="1675" t="s">
        <v>856</v>
      </c>
      <c r="BZ97" s="1675" t="s">
        <v>856</v>
      </c>
      <c r="CA97" s="1675" t="s">
        <v>856</v>
      </c>
      <c r="CB97" s="1675" t="s">
        <v>856</v>
      </c>
      <c r="CC97" s="1675" t="s">
        <v>856</v>
      </c>
      <c r="CD97" s="1675" t="s">
        <v>856</v>
      </c>
      <c r="CE97" s="1675" t="s">
        <v>856</v>
      </c>
      <c r="CF97" s="1675" t="s">
        <v>856</v>
      </c>
      <c r="CG97" s="1675" t="s">
        <v>856</v>
      </c>
      <c r="CH97" s="1675" t="s">
        <v>856</v>
      </c>
      <c r="CI97" s="1675" t="s">
        <v>856</v>
      </c>
      <c r="CJ97" s="1675" t="s">
        <v>856</v>
      </c>
      <c r="CK97" s="1675" t="s">
        <v>856</v>
      </c>
      <c r="CL97" s="1675" t="s">
        <v>856</v>
      </c>
      <c r="CM97" s="1675" t="s">
        <v>856</v>
      </c>
      <c r="CN97" s="1675" t="s">
        <v>856</v>
      </c>
      <c r="CO97" s="1675" t="s">
        <v>856</v>
      </c>
      <c r="CP97" s="1675" t="s">
        <v>856</v>
      </c>
      <c r="CQ97" s="1675" t="s">
        <v>856</v>
      </c>
      <c r="CR97" s="1675" t="s">
        <v>856</v>
      </c>
      <c r="CS97" s="1675" t="s">
        <v>856</v>
      </c>
      <c r="CT97" s="1675" t="s">
        <v>856</v>
      </c>
      <c r="CU97" s="1675" t="s">
        <v>856</v>
      </c>
      <c r="CV97" s="1675" t="s">
        <v>856</v>
      </c>
      <c r="CW97" s="1675" t="s">
        <v>856</v>
      </c>
      <c r="CX97" s="1675" t="s">
        <v>856</v>
      </c>
      <c r="CY97" s="1675" t="s">
        <v>856</v>
      </c>
      <c r="CZ97" s="1675" t="s">
        <v>856</v>
      </c>
      <c r="DA97" s="1675" t="s">
        <v>856</v>
      </c>
      <c r="DB97" s="1675" t="s">
        <v>856</v>
      </c>
      <c r="DC97" s="1675" t="s">
        <v>856</v>
      </c>
      <c r="DD97" s="1675" t="s">
        <v>856</v>
      </c>
      <c r="DE97" s="1675" t="s">
        <v>856</v>
      </c>
      <c r="DF97" s="1675" t="s">
        <v>856</v>
      </c>
      <c r="DG97" s="1675" t="s">
        <v>856</v>
      </c>
      <c r="DH97" s="1675" t="s">
        <v>856</v>
      </c>
      <c r="DI97" s="1675" t="s">
        <v>856</v>
      </c>
      <c r="DJ97" s="1675" t="s">
        <v>856</v>
      </c>
      <c r="DK97" s="1675" t="s">
        <v>856</v>
      </c>
      <c r="DL97" s="1675" t="s">
        <v>856</v>
      </c>
      <c r="DM97" s="1675" t="s">
        <v>856</v>
      </c>
      <c r="DN97" s="1675" t="s">
        <v>856</v>
      </c>
      <c r="DO97" s="1675" t="s">
        <v>856</v>
      </c>
      <c r="DP97" s="1675" t="s">
        <v>856</v>
      </c>
      <c r="DQ97" s="1675" t="s">
        <v>856</v>
      </c>
      <c r="DR97" s="1675" t="s">
        <v>856</v>
      </c>
      <c r="DS97" s="1675" t="s">
        <v>856</v>
      </c>
      <c r="DT97" s="1675" t="s">
        <v>856</v>
      </c>
      <c r="DU97" s="1675" t="s">
        <v>856</v>
      </c>
      <c r="DV97" s="1675" t="s">
        <v>856</v>
      </c>
      <c r="DW97" s="1675" t="s">
        <v>856</v>
      </c>
      <c r="DX97" s="1675" t="s">
        <v>856</v>
      </c>
      <c r="DY97" s="1675" t="s">
        <v>856</v>
      </c>
      <c r="DZ97" s="1675" t="s">
        <v>856</v>
      </c>
      <c r="EA97" s="1675" t="s">
        <v>856</v>
      </c>
      <c r="EB97" s="1675" t="s">
        <v>856</v>
      </c>
      <c r="EC97" s="1675" t="s">
        <v>856</v>
      </c>
      <c r="ED97" s="1675" t="s">
        <v>856</v>
      </c>
      <c r="EE97" s="1675" t="s">
        <v>856</v>
      </c>
      <c r="EF97" s="1675" t="s">
        <v>856</v>
      </c>
      <c r="EG97" s="1675" t="s">
        <v>856</v>
      </c>
      <c r="EH97" s="1675" t="s">
        <v>856</v>
      </c>
      <c r="EI97" s="1675" t="s">
        <v>856</v>
      </c>
      <c r="EJ97" s="1675" t="s">
        <v>856</v>
      </c>
      <c r="EK97" s="1675" t="s">
        <v>856</v>
      </c>
      <c r="EL97" s="1675" t="s">
        <v>856</v>
      </c>
      <c r="EM97" s="1675" t="s">
        <v>856</v>
      </c>
      <c r="EN97" s="1675" t="s">
        <v>856</v>
      </c>
      <c r="EO97" s="1675" t="s">
        <v>856</v>
      </c>
      <c r="EP97" s="1675" t="s">
        <v>856</v>
      </c>
      <c r="EQ97" s="1675" t="s">
        <v>856</v>
      </c>
      <c r="ER97" s="1675" t="s">
        <v>856</v>
      </c>
      <c r="ES97" s="1675" t="s">
        <v>856</v>
      </c>
      <c r="ET97" s="1675" t="s">
        <v>856</v>
      </c>
      <c r="EU97" s="1675" t="s">
        <v>856</v>
      </c>
      <c r="EV97" s="1675" t="s">
        <v>856</v>
      </c>
      <c r="EW97" s="1675" t="s">
        <v>856</v>
      </c>
      <c r="EX97" s="1675" t="s">
        <v>856</v>
      </c>
      <c r="EY97" s="1675" t="s">
        <v>856</v>
      </c>
      <c r="EZ97" s="1675" t="s">
        <v>856</v>
      </c>
      <c r="FA97" s="1675" t="s">
        <v>856</v>
      </c>
      <c r="FB97" s="1675" t="s">
        <v>856</v>
      </c>
      <c r="FC97" s="1675" t="s">
        <v>856</v>
      </c>
      <c r="FD97" s="1675" t="s">
        <v>856</v>
      </c>
      <c r="FE97" s="1675" t="s">
        <v>856</v>
      </c>
      <c r="FF97" s="1675" t="s">
        <v>856</v>
      </c>
      <c r="FG97" s="1675" t="s">
        <v>856</v>
      </c>
      <c r="FH97" s="1675" t="s">
        <v>856</v>
      </c>
      <c r="FI97" s="1675" t="s">
        <v>856</v>
      </c>
      <c r="FJ97" s="1675" t="s">
        <v>856</v>
      </c>
      <c r="FK97" s="1675" t="s">
        <v>856</v>
      </c>
      <c r="FL97" s="1675" t="s">
        <v>856</v>
      </c>
      <c r="FM97" s="1675" t="s">
        <v>856</v>
      </c>
      <c r="FN97" s="1675" t="s">
        <v>856</v>
      </c>
      <c r="FO97" s="1675" t="s">
        <v>856</v>
      </c>
      <c r="FP97" s="1675" t="s">
        <v>856</v>
      </c>
      <c r="FQ97" s="1675" t="s">
        <v>856</v>
      </c>
      <c r="FR97" s="1675" t="s">
        <v>856</v>
      </c>
      <c r="FS97" s="1675" t="s">
        <v>856</v>
      </c>
      <c r="FT97" s="1675" t="s">
        <v>856</v>
      </c>
      <c r="FU97" s="1675" t="s">
        <v>856</v>
      </c>
      <c r="FV97" s="1675" t="s">
        <v>856</v>
      </c>
      <c r="FW97" s="1675" t="s">
        <v>856</v>
      </c>
      <c r="FX97" s="1675" t="s">
        <v>856</v>
      </c>
      <c r="FY97" s="1675" t="s">
        <v>856</v>
      </c>
      <c r="FZ97" s="1675" t="s">
        <v>856</v>
      </c>
      <c r="GA97" s="1675" t="s">
        <v>856</v>
      </c>
      <c r="GB97" s="1675" t="s">
        <v>856</v>
      </c>
      <c r="GC97" s="1675" t="s">
        <v>856</v>
      </c>
      <c r="GD97" s="1675" t="s">
        <v>856</v>
      </c>
      <c r="GE97" s="1675" t="s">
        <v>856</v>
      </c>
      <c r="GF97" s="1675" t="s">
        <v>856</v>
      </c>
      <c r="GG97" s="1675" t="s">
        <v>856</v>
      </c>
      <c r="GH97" s="1675" t="s">
        <v>856</v>
      </c>
      <c r="GI97" s="1675" t="s">
        <v>856</v>
      </c>
      <c r="GJ97" s="1675" t="s">
        <v>856</v>
      </c>
      <c r="GK97" s="1675" t="s">
        <v>856</v>
      </c>
      <c r="GL97" s="1675" t="s">
        <v>856</v>
      </c>
      <c r="GM97" s="1675" t="s">
        <v>856</v>
      </c>
      <c r="GN97" s="1675" t="s">
        <v>856</v>
      </c>
      <c r="GO97" s="1675" t="s">
        <v>856</v>
      </c>
      <c r="GP97" s="1675" t="s">
        <v>856</v>
      </c>
      <c r="GQ97" s="1675" t="s">
        <v>856</v>
      </c>
      <c r="GR97" s="1675" t="s">
        <v>856</v>
      </c>
      <c r="GS97" s="1675" t="s">
        <v>856</v>
      </c>
      <c r="GT97" s="1675" t="s">
        <v>856</v>
      </c>
      <c r="GU97" s="1675" t="s">
        <v>856</v>
      </c>
      <c r="GV97" s="1675" t="s">
        <v>856</v>
      </c>
      <c r="GW97" s="1675" t="s">
        <v>856</v>
      </c>
      <c r="GX97" s="1675" t="s">
        <v>856</v>
      </c>
      <c r="GY97" s="1675" t="s">
        <v>856</v>
      </c>
      <c r="GZ97" s="1675" t="s">
        <v>856</v>
      </c>
      <c r="HA97" s="1675" t="s">
        <v>856</v>
      </c>
      <c r="HB97" s="1675" t="s">
        <v>856</v>
      </c>
      <c r="HC97" s="1675" t="s">
        <v>856</v>
      </c>
      <c r="HD97" s="1675" t="s">
        <v>856</v>
      </c>
      <c r="HE97" s="1675" t="s">
        <v>856</v>
      </c>
      <c r="HF97" s="1675" t="s">
        <v>856</v>
      </c>
      <c r="HG97" s="1675" t="s">
        <v>856</v>
      </c>
      <c r="HH97" s="1675" t="s">
        <v>856</v>
      </c>
      <c r="HI97" s="1675" t="s">
        <v>856</v>
      </c>
      <c r="HJ97" s="1675" t="s">
        <v>856</v>
      </c>
      <c r="HK97" s="1675" t="s">
        <v>856</v>
      </c>
      <c r="HL97" s="1675" t="s">
        <v>856</v>
      </c>
      <c r="HM97" s="1675" t="s">
        <v>856</v>
      </c>
      <c r="HN97" s="1675" t="s">
        <v>856</v>
      </c>
      <c r="HO97" s="1675" t="s">
        <v>856</v>
      </c>
      <c r="HP97" s="1675" t="s">
        <v>856</v>
      </c>
      <c r="HQ97" s="1675" t="s">
        <v>856</v>
      </c>
      <c r="HR97" s="1675" t="s">
        <v>856</v>
      </c>
      <c r="HS97" s="1675" t="s">
        <v>856</v>
      </c>
      <c r="HT97" s="1675" t="s">
        <v>856</v>
      </c>
      <c r="HU97" s="1675" t="s">
        <v>856</v>
      </c>
      <c r="HV97" s="1675" t="s">
        <v>856</v>
      </c>
      <c r="HW97" s="1675" t="s">
        <v>856</v>
      </c>
      <c r="HX97" s="1675" t="s">
        <v>856</v>
      </c>
      <c r="HY97" s="1675" t="s">
        <v>856</v>
      </c>
      <c r="HZ97" s="1675" t="s">
        <v>856</v>
      </c>
      <c r="IA97" s="1675" t="s">
        <v>856</v>
      </c>
      <c r="IB97" s="1675" t="s">
        <v>856</v>
      </c>
      <c r="IC97" s="1675" t="s">
        <v>856</v>
      </c>
      <c r="ID97" s="1675" t="s">
        <v>856</v>
      </c>
      <c r="IE97" s="1675" t="s">
        <v>856</v>
      </c>
      <c r="IF97" s="1675" t="s">
        <v>856</v>
      </c>
      <c r="IG97" s="1675" t="s">
        <v>856</v>
      </c>
      <c r="IH97" s="1675" t="s">
        <v>856</v>
      </c>
      <c r="II97" s="1675" t="s">
        <v>856</v>
      </c>
      <c r="IJ97" s="1675" t="s">
        <v>856</v>
      </c>
      <c r="IK97" s="1675" t="s">
        <v>856</v>
      </c>
      <c r="IL97" s="1675" t="s">
        <v>856</v>
      </c>
      <c r="IM97" s="1675" t="s">
        <v>856</v>
      </c>
      <c r="IN97" s="1675" t="s">
        <v>856</v>
      </c>
      <c r="IO97" s="1675" t="s">
        <v>856</v>
      </c>
      <c r="IP97" s="1675" t="s">
        <v>856</v>
      </c>
      <c r="IQ97" s="1675" t="s">
        <v>856</v>
      </c>
      <c r="IR97" s="1675" t="s">
        <v>856</v>
      </c>
      <c r="IS97" s="1675" t="s">
        <v>856</v>
      </c>
      <c r="IT97" s="1675" t="s">
        <v>856</v>
      </c>
      <c r="IU97" s="1675" t="s">
        <v>856</v>
      </c>
      <c r="IV97" s="1675" t="s">
        <v>856</v>
      </c>
      <c r="IW97" s="1675" t="s">
        <v>856</v>
      </c>
      <c r="IX97" s="1675" t="s">
        <v>856</v>
      </c>
      <c r="IY97" s="1675" t="s">
        <v>856</v>
      </c>
      <c r="IZ97" s="1675" t="s">
        <v>856</v>
      </c>
      <c r="JA97" s="1675" t="s">
        <v>856</v>
      </c>
      <c r="JB97" s="1675" t="s">
        <v>856</v>
      </c>
      <c r="JC97" s="1675" t="s">
        <v>856</v>
      </c>
      <c r="JD97" s="1675" t="s">
        <v>856</v>
      </c>
      <c r="JE97" s="1675" t="s">
        <v>856</v>
      </c>
      <c r="JF97" s="1675" t="s">
        <v>856</v>
      </c>
      <c r="JG97" s="1675" t="s">
        <v>856</v>
      </c>
      <c r="JH97" s="1675" t="s">
        <v>856</v>
      </c>
      <c r="JI97" s="1675" t="s">
        <v>856</v>
      </c>
      <c r="JJ97" s="1675" t="s">
        <v>856</v>
      </c>
      <c r="JK97" s="1675" t="s">
        <v>856</v>
      </c>
      <c r="JL97" s="1675" t="s">
        <v>856</v>
      </c>
      <c r="JM97" s="1675" t="s">
        <v>856</v>
      </c>
      <c r="JN97" s="1675" t="s">
        <v>856</v>
      </c>
      <c r="JO97" s="1675" t="s">
        <v>856</v>
      </c>
      <c r="JP97" s="1675" t="s">
        <v>856</v>
      </c>
      <c r="JQ97" s="1675" t="s">
        <v>856</v>
      </c>
      <c r="JR97" s="1675" t="s">
        <v>856</v>
      </c>
      <c r="JS97" s="1675" t="s">
        <v>856</v>
      </c>
      <c r="JT97" s="1675" t="s">
        <v>856</v>
      </c>
      <c r="JU97" s="1675" t="s">
        <v>856</v>
      </c>
      <c r="JV97" s="1675" t="s">
        <v>856</v>
      </c>
      <c r="JW97" s="1675" t="s">
        <v>856</v>
      </c>
      <c r="JX97" s="1675" t="s">
        <v>856</v>
      </c>
      <c r="JY97" s="1675" t="s">
        <v>856</v>
      </c>
      <c r="JZ97" s="1675" t="s">
        <v>856</v>
      </c>
      <c r="KA97" s="1675" t="s">
        <v>856</v>
      </c>
      <c r="KB97" s="1675" t="s">
        <v>856</v>
      </c>
      <c r="KC97" s="1675" t="s">
        <v>856</v>
      </c>
      <c r="KD97" s="1675" t="s">
        <v>856</v>
      </c>
      <c r="KE97" s="1675" t="s">
        <v>856</v>
      </c>
      <c r="KF97" s="1675" t="s">
        <v>856</v>
      </c>
      <c r="KG97" s="1675" t="s">
        <v>856</v>
      </c>
      <c r="KH97" s="1675" t="s">
        <v>856</v>
      </c>
      <c r="KI97" s="1675" t="s">
        <v>856</v>
      </c>
      <c r="KJ97" s="1675" t="s">
        <v>856</v>
      </c>
      <c r="KK97" s="1675" t="s">
        <v>856</v>
      </c>
      <c r="KL97" s="1675" t="s">
        <v>856</v>
      </c>
      <c r="KM97" s="1675" t="s">
        <v>856</v>
      </c>
      <c r="KN97" s="1675" t="s">
        <v>856</v>
      </c>
      <c r="KO97" s="1675" t="s">
        <v>856</v>
      </c>
      <c r="KP97" s="1675" t="s">
        <v>856</v>
      </c>
      <c r="KQ97" s="1675" t="s">
        <v>856</v>
      </c>
      <c r="KR97" s="1675" t="s">
        <v>856</v>
      </c>
      <c r="KS97" s="1675" t="s">
        <v>856</v>
      </c>
      <c r="KT97" s="1675" t="s">
        <v>856</v>
      </c>
      <c r="KU97" s="1675" t="s">
        <v>856</v>
      </c>
      <c r="KV97" s="1675" t="s">
        <v>856</v>
      </c>
      <c r="KW97" s="1675" t="s">
        <v>856</v>
      </c>
      <c r="KX97" s="1675" t="s">
        <v>856</v>
      </c>
      <c r="KY97" s="1675" t="s">
        <v>856</v>
      </c>
      <c r="KZ97" s="1675" t="s">
        <v>856</v>
      </c>
      <c r="LA97" s="1675" t="s">
        <v>856</v>
      </c>
      <c r="LB97" s="1675" t="s">
        <v>856</v>
      </c>
      <c r="LC97" s="1675" t="s">
        <v>856</v>
      </c>
      <c r="LD97" s="1675" t="s">
        <v>856</v>
      </c>
      <c r="LE97" s="1675" t="s">
        <v>856</v>
      </c>
      <c r="LF97" s="1675" t="s">
        <v>856</v>
      </c>
      <c r="LG97" s="1675" t="s">
        <v>856</v>
      </c>
      <c r="LH97" s="1675" t="s">
        <v>856</v>
      </c>
      <c r="LI97" s="1675" t="s">
        <v>856</v>
      </c>
      <c r="LJ97" s="1675" t="s">
        <v>856</v>
      </c>
      <c r="LK97" s="1675" t="s">
        <v>856</v>
      </c>
      <c r="LL97" s="1675" t="s">
        <v>856</v>
      </c>
      <c r="LM97" s="1675" t="s">
        <v>856</v>
      </c>
      <c r="LN97" s="1675" t="s">
        <v>856</v>
      </c>
      <c r="LO97" s="1675" t="s">
        <v>856</v>
      </c>
      <c r="LP97" s="1675" t="s">
        <v>856</v>
      </c>
      <c r="LQ97" s="1675" t="s">
        <v>856</v>
      </c>
      <c r="LR97" s="1675" t="s">
        <v>856</v>
      </c>
      <c r="LS97" s="1675" t="s">
        <v>856</v>
      </c>
      <c r="LT97" s="1675" t="s">
        <v>856</v>
      </c>
      <c r="LU97" s="1675" t="s">
        <v>856</v>
      </c>
      <c r="LV97" s="1675" t="s">
        <v>856</v>
      </c>
      <c r="LW97" s="1675" t="s">
        <v>856</v>
      </c>
      <c r="LX97" s="1675" t="s">
        <v>856</v>
      </c>
      <c r="LY97" s="1675" t="s">
        <v>856</v>
      </c>
      <c r="LZ97" s="1675" t="s">
        <v>856</v>
      </c>
      <c r="MA97" s="1675" t="s">
        <v>856</v>
      </c>
      <c r="MB97" s="1675" t="s">
        <v>856</v>
      </c>
      <c r="MC97" s="1675" t="s">
        <v>856</v>
      </c>
      <c r="MD97" s="1675" t="s">
        <v>856</v>
      </c>
      <c r="ME97" s="1675" t="s">
        <v>856</v>
      </c>
      <c r="MF97" s="1675" t="s">
        <v>856</v>
      </c>
      <c r="MG97" s="1675" t="s">
        <v>856</v>
      </c>
      <c r="MH97" s="1675" t="s">
        <v>856</v>
      </c>
      <c r="MI97" s="1675" t="s">
        <v>856</v>
      </c>
      <c r="MJ97" s="1675" t="s">
        <v>856</v>
      </c>
      <c r="MK97" s="1675" t="s">
        <v>856</v>
      </c>
      <c r="ML97" s="1675" t="s">
        <v>856</v>
      </c>
      <c r="MM97" s="1675" t="s">
        <v>856</v>
      </c>
      <c r="MN97" s="1675" t="s">
        <v>856</v>
      </c>
      <c r="MO97" s="1675" t="s">
        <v>856</v>
      </c>
      <c r="MP97" s="1675" t="s">
        <v>856</v>
      </c>
      <c r="MQ97" s="1675" t="s">
        <v>856</v>
      </c>
      <c r="MR97" s="1675" t="s">
        <v>856</v>
      </c>
      <c r="MS97" s="1675" t="s">
        <v>856</v>
      </c>
      <c r="MT97" s="1675" t="s">
        <v>856</v>
      </c>
      <c r="MU97" s="1675" t="s">
        <v>856</v>
      </c>
      <c r="MV97" s="1675" t="s">
        <v>856</v>
      </c>
      <c r="MW97" s="1675" t="s">
        <v>856</v>
      </c>
      <c r="MX97" s="1675" t="s">
        <v>856</v>
      </c>
      <c r="MY97" s="1675" t="s">
        <v>856</v>
      </c>
      <c r="MZ97" s="1675" t="s">
        <v>856</v>
      </c>
      <c r="NA97" s="1675" t="s">
        <v>856</v>
      </c>
      <c r="NB97" s="1675" t="s">
        <v>856</v>
      </c>
      <c r="NC97" s="1675" t="s">
        <v>856</v>
      </c>
      <c r="ND97" s="1675" t="s">
        <v>856</v>
      </c>
      <c r="NE97" s="1675" t="s">
        <v>856</v>
      </c>
      <c r="NF97" s="1675" t="s">
        <v>856</v>
      </c>
      <c r="NG97" s="1675" t="s">
        <v>856</v>
      </c>
      <c r="NH97" s="1675" t="s">
        <v>856</v>
      </c>
      <c r="NI97" s="1675" t="s">
        <v>856</v>
      </c>
      <c r="NJ97" s="1675" t="s">
        <v>856</v>
      </c>
      <c r="NK97" s="1675" t="s">
        <v>856</v>
      </c>
      <c r="NL97" s="1675" t="s">
        <v>856</v>
      </c>
      <c r="NM97" s="1675" t="s">
        <v>856</v>
      </c>
      <c r="NN97" s="1675" t="s">
        <v>856</v>
      </c>
      <c r="NO97" s="1675" t="s">
        <v>856</v>
      </c>
      <c r="NP97" s="1675" t="s">
        <v>856</v>
      </c>
      <c r="NQ97" s="1675" t="s">
        <v>856</v>
      </c>
      <c r="NR97" s="1675" t="s">
        <v>856</v>
      </c>
      <c r="NS97" s="1675" t="s">
        <v>856</v>
      </c>
      <c r="NT97" s="1675" t="s">
        <v>856</v>
      </c>
      <c r="NU97" s="1675" t="s">
        <v>856</v>
      </c>
      <c r="NV97" s="1675" t="s">
        <v>856</v>
      </c>
      <c r="NW97" s="1675" t="s">
        <v>856</v>
      </c>
      <c r="NX97" s="1675" t="s">
        <v>856</v>
      </c>
      <c r="NY97" s="1675" t="s">
        <v>856</v>
      </c>
      <c r="NZ97" s="1675" t="s">
        <v>856</v>
      </c>
      <c r="OA97" s="1675" t="s">
        <v>856</v>
      </c>
      <c r="OB97" s="1675" t="s">
        <v>856</v>
      </c>
      <c r="OC97" s="1675" t="s">
        <v>856</v>
      </c>
      <c r="OD97" s="1675" t="s">
        <v>856</v>
      </c>
      <c r="OE97" s="1675" t="s">
        <v>856</v>
      </c>
      <c r="OF97" s="1675" t="s">
        <v>856</v>
      </c>
      <c r="OG97" s="1675" t="s">
        <v>856</v>
      </c>
      <c r="OH97" s="1675" t="s">
        <v>856</v>
      </c>
      <c r="OI97" s="1675" t="s">
        <v>856</v>
      </c>
      <c r="OJ97" s="1675" t="s">
        <v>856</v>
      </c>
      <c r="OK97" s="1675" t="s">
        <v>856</v>
      </c>
      <c r="OL97" s="1675" t="s">
        <v>856</v>
      </c>
      <c r="OM97" s="1675" t="s">
        <v>856</v>
      </c>
      <c r="ON97" s="1675" t="s">
        <v>856</v>
      </c>
      <c r="OO97" s="1675" t="s">
        <v>856</v>
      </c>
      <c r="OP97" s="1675" t="s">
        <v>856</v>
      </c>
      <c r="OQ97" s="1675" t="s">
        <v>856</v>
      </c>
      <c r="OR97" s="1675" t="s">
        <v>856</v>
      </c>
      <c r="OS97" s="1675" t="s">
        <v>856</v>
      </c>
      <c r="OT97" s="1675" t="s">
        <v>856</v>
      </c>
      <c r="OU97" s="1675" t="s">
        <v>856</v>
      </c>
      <c r="OV97" s="1675" t="s">
        <v>856</v>
      </c>
      <c r="OW97" s="1675" t="s">
        <v>856</v>
      </c>
      <c r="OX97" s="1675" t="s">
        <v>856</v>
      </c>
      <c r="OY97" s="1675" t="s">
        <v>856</v>
      </c>
      <c r="OZ97" s="1675" t="s">
        <v>856</v>
      </c>
      <c r="PA97" s="1675" t="s">
        <v>856</v>
      </c>
      <c r="PB97" s="1675" t="s">
        <v>856</v>
      </c>
      <c r="PC97" s="1675" t="s">
        <v>856</v>
      </c>
      <c r="PD97" s="1675" t="s">
        <v>856</v>
      </c>
      <c r="PE97" s="1675" t="s">
        <v>856</v>
      </c>
      <c r="PF97" s="1675" t="s">
        <v>856</v>
      </c>
      <c r="PG97" s="1675" t="s">
        <v>856</v>
      </c>
      <c r="PH97" s="1675" t="s">
        <v>856</v>
      </c>
      <c r="PI97" s="1675" t="s">
        <v>856</v>
      </c>
      <c r="PJ97" s="1675" t="s">
        <v>856</v>
      </c>
      <c r="PK97" s="1675" t="s">
        <v>856</v>
      </c>
      <c r="PL97" s="1675" t="s">
        <v>856</v>
      </c>
      <c r="PM97" s="1675" t="s">
        <v>856</v>
      </c>
      <c r="PN97" s="1675" t="s">
        <v>856</v>
      </c>
      <c r="PO97" s="1675" t="s">
        <v>856</v>
      </c>
      <c r="PP97" s="1675" t="s">
        <v>856</v>
      </c>
      <c r="PQ97" s="1675" t="s">
        <v>856</v>
      </c>
      <c r="PR97" s="1675" t="s">
        <v>856</v>
      </c>
      <c r="PS97" s="1675" t="s">
        <v>856</v>
      </c>
      <c r="PT97" s="1675" t="s">
        <v>856</v>
      </c>
      <c r="PU97" s="1675" t="s">
        <v>856</v>
      </c>
      <c r="PV97" s="1675" t="s">
        <v>856</v>
      </c>
      <c r="PW97" s="1675" t="s">
        <v>856</v>
      </c>
      <c r="PX97" s="1675" t="s">
        <v>856</v>
      </c>
      <c r="PY97" s="1675" t="s">
        <v>856</v>
      </c>
      <c r="PZ97" s="1675" t="s">
        <v>856</v>
      </c>
      <c r="QA97" s="1675" t="s">
        <v>856</v>
      </c>
      <c r="QB97" s="1675" t="s">
        <v>856</v>
      </c>
      <c r="QC97" s="1675" t="s">
        <v>856</v>
      </c>
      <c r="QD97" s="1675" t="s">
        <v>856</v>
      </c>
      <c r="QE97" s="1675" t="s">
        <v>856</v>
      </c>
      <c r="QF97" s="1675" t="s">
        <v>856</v>
      </c>
      <c r="QG97" s="1675" t="s">
        <v>856</v>
      </c>
      <c r="QH97" s="1675" t="s">
        <v>856</v>
      </c>
      <c r="QI97" s="1675" t="s">
        <v>856</v>
      </c>
      <c r="QJ97" s="1675" t="s">
        <v>856</v>
      </c>
      <c r="QK97" s="1675" t="s">
        <v>856</v>
      </c>
      <c r="QL97" s="1675" t="s">
        <v>856</v>
      </c>
      <c r="QM97" s="1675" t="s">
        <v>856</v>
      </c>
      <c r="QN97" s="1675" t="s">
        <v>856</v>
      </c>
      <c r="QO97" s="1675" t="s">
        <v>856</v>
      </c>
      <c r="QP97" s="1675" t="s">
        <v>856</v>
      </c>
      <c r="QQ97" s="1675" t="s">
        <v>856</v>
      </c>
      <c r="QR97" s="1675" t="s">
        <v>856</v>
      </c>
      <c r="QS97" s="1675" t="s">
        <v>856</v>
      </c>
      <c r="QT97" s="1675" t="s">
        <v>856</v>
      </c>
      <c r="QU97" s="1675" t="s">
        <v>856</v>
      </c>
      <c r="QV97" s="1675" t="s">
        <v>856</v>
      </c>
      <c r="QW97" s="1675" t="s">
        <v>856</v>
      </c>
      <c r="QX97" s="1675" t="s">
        <v>856</v>
      </c>
      <c r="QY97" s="1675" t="s">
        <v>856</v>
      </c>
      <c r="QZ97" s="1675" t="s">
        <v>856</v>
      </c>
      <c r="RA97" s="1675" t="s">
        <v>856</v>
      </c>
      <c r="RB97" s="1675" t="s">
        <v>856</v>
      </c>
      <c r="RC97" s="1675" t="s">
        <v>856</v>
      </c>
      <c r="RD97" s="1675" t="s">
        <v>856</v>
      </c>
      <c r="RE97" s="1675" t="s">
        <v>856</v>
      </c>
      <c r="RF97" s="1675" t="s">
        <v>856</v>
      </c>
      <c r="RG97" s="1675" t="s">
        <v>856</v>
      </c>
      <c r="RH97" s="1675" t="s">
        <v>856</v>
      </c>
      <c r="RI97" s="1675" t="s">
        <v>856</v>
      </c>
      <c r="RJ97" s="1675" t="s">
        <v>856</v>
      </c>
      <c r="RK97" s="1675" t="s">
        <v>856</v>
      </c>
      <c r="RL97" s="1675" t="s">
        <v>856</v>
      </c>
      <c r="RM97" s="1675" t="s">
        <v>856</v>
      </c>
      <c r="RN97" s="1675" t="s">
        <v>856</v>
      </c>
      <c r="RO97" s="1675" t="s">
        <v>856</v>
      </c>
      <c r="RP97" s="1675" t="s">
        <v>856</v>
      </c>
      <c r="RQ97" s="1675" t="s">
        <v>856</v>
      </c>
      <c r="RR97" s="1675" t="s">
        <v>856</v>
      </c>
      <c r="RS97" s="1675" t="s">
        <v>856</v>
      </c>
      <c r="RT97" s="1675" t="s">
        <v>856</v>
      </c>
      <c r="RU97" s="1675" t="s">
        <v>856</v>
      </c>
      <c r="RV97" s="1675" t="s">
        <v>856</v>
      </c>
      <c r="RW97" s="1675" t="s">
        <v>856</v>
      </c>
      <c r="RX97" s="1675" t="s">
        <v>856</v>
      </c>
      <c r="RY97" s="1675" t="s">
        <v>856</v>
      </c>
      <c r="RZ97" s="1675" t="s">
        <v>856</v>
      </c>
      <c r="SA97" s="1675" t="s">
        <v>856</v>
      </c>
      <c r="SB97" s="1675" t="s">
        <v>856</v>
      </c>
      <c r="SC97" s="1675" t="s">
        <v>856</v>
      </c>
      <c r="SD97" s="1675" t="s">
        <v>856</v>
      </c>
      <c r="SE97" s="1675" t="s">
        <v>856</v>
      </c>
      <c r="SF97" s="1675" t="s">
        <v>856</v>
      </c>
      <c r="SG97" s="1675" t="s">
        <v>856</v>
      </c>
      <c r="SH97" s="1675" t="s">
        <v>856</v>
      </c>
      <c r="SI97" s="1675" t="s">
        <v>856</v>
      </c>
      <c r="SJ97" s="1675" t="s">
        <v>856</v>
      </c>
      <c r="SK97" s="1675" t="s">
        <v>856</v>
      </c>
      <c r="SL97" s="1675" t="s">
        <v>856</v>
      </c>
      <c r="SM97" s="1675" t="s">
        <v>856</v>
      </c>
      <c r="SN97" s="1675" t="s">
        <v>856</v>
      </c>
      <c r="SO97" s="1675" t="s">
        <v>856</v>
      </c>
      <c r="SP97" s="1675" t="s">
        <v>856</v>
      </c>
      <c r="SQ97" s="1675" t="s">
        <v>856</v>
      </c>
      <c r="SR97" s="1675" t="s">
        <v>856</v>
      </c>
      <c r="SS97" s="1675" t="s">
        <v>856</v>
      </c>
      <c r="ST97" s="1675" t="s">
        <v>856</v>
      </c>
      <c r="SU97" s="1675" t="s">
        <v>856</v>
      </c>
      <c r="SV97" s="1675" t="s">
        <v>856</v>
      </c>
      <c r="SW97" s="1675" t="s">
        <v>856</v>
      </c>
      <c r="SX97" s="1675" t="s">
        <v>856</v>
      </c>
      <c r="SY97" s="1675" t="s">
        <v>856</v>
      </c>
      <c r="SZ97" s="1675" t="s">
        <v>856</v>
      </c>
      <c r="TA97" s="1675" t="s">
        <v>856</v>
      </c>
      <c r="TB97" s="1675" t="s">
        <v>856</v>
      </c>
      <c r="TC97" s="1675" t="s">
        <v>856</v>
      </c>
      <c r="TD97" s="1675" t="s">
        <v>856</v>
      </c>
      <c r="TE97" s="1675" t="s">
        <v>856</v>
      </c>
      <c r="TF97" s="1675" t="s">
        <v>856</v>
      </c>
      <c r="TG97" s="1675" t="s">
        <v>856</v>
      </c>
      <c r="TH97" s="1675" t="s">
        <v>856</v>
      </c>
      <c r="TI97" s="1675" t="s">
        <v>856</v>
      </c>
      <c r="TJ97" s="1675" t="s">
        <v>856</v>
      </c>
      <c r="TK97" s="1675" t="s">
        <v>856</v>
      </c>
      <c r="TL97" s="1675" t="s">
        <v>856</v>
      </c>
      <c r="TM97" s="1675" t="s">
        <v>856</v>
      </c>
      <c r="TN97" s="1675" t="s">
        <v>856</v>
      </c>
      <c r="TO97" s="1675" t="s">
        <v>856</v>
      </c>
      <c r="TP97" s="1675" t="s">
        <v>856</v>
      </c>
      <c r="TQ97" s="1675" t="s">
        <v>856</v>
      </c>
      <c r="TR97" s="1675" t="s">
        <v>856</v>
      </c>
      <c r="TS97" s="1675" t="s">
        <v>856</v>
      </c>
      <c r="TT97" s="1675" t="s">
        <v>856</v>
      </c>
      <c r="TU97" s="1675" t="s">
        <v>856</v>
      </c>
      <c r="TV97" s="1675" t="s">
        <v>856</v>
      </c>
      <c r="TW97" s="1675" t="s">
        <v>856</v>
      </c>
      <c r="TX97" s="1675" t="s">
        <v>856</v>
      </c>
      <c r="TY97" s="1675" t="s">
        <v>856</v>
      </c>
      <c r="TZ97" s="1675" t="s">
        <v>856</v>
      </c>
      <c r="UA97" s="1675" t="s">
        <v>856</v>
      </c>
      <c r="UB97" s="1675" t="s">
        <v>856</v>
      </c>
      <c r="UC97" s="1675" t="s">
        <v>856</v>
      </c>
      <c r="UD97" s="1675" t="s">
        <v>856</v>
      </c>
      <c r="UE97" s="1675" t="s">
        <v>856</v>
      </c>
      <c r="UF97" s="1675" t="s">
        <v>856</v>
      </c>
      <c r="UG97" s="1675" t="s">
        <v>856</v>
      </c>
      <c r="UH97" s="1675" t="s">
        <v>856</v>
      </c>
      <c r="UI97" s="1675" t="s">
        <v>856</v>
      </c>
      <c r="UJ97" s="1675" t="s">
        <v>856</v>
      </c>
      <c r="UK97" s="1675" t="s">
        <v>856</v>
      </c>
      <c r="UL97" s="1675" t="s">
        <v>856</v>
      </c>
      <c r="UM97" s="1675" t="s">
        <v>856</v>
      </c>
      <c r="UN97" s="1675" t="s">
        <v>856</v>
      </c>
      <c r="UO97" s="1675" t="s">
        <v>856</v>
      </c>
      <c r="UP97" s="1675" t="s">
        <v>856</v>
      </c>
      <c r="UQ97" s="1675" t="s">
        <v>856</v>
      </c>
      <c r="UR97" s="1675" t="s">
        <v>856</v>
      </c>
      <c r="US97" s="1675" t="s">
        <v>856</v>
      </c>
      <c r="UT97" s="1675" t="s">
        <v>856</v>
      </c>
      <c r="UU97" s="1675" t="s">
        <v>856</v>
      </c>
      <c r="UV97" s="1675" t="s">
        <v>856</v>
      </c>
      <c r="UW97" s="1675" t="s">
        <v>856</v>
      </c>
      <c r="UX97" s="1675" t="s">
        <v>856</v>
      </c>
      <c r="UY97" s="1675" t="s">
        <v>856</v>
      </c>
      <c r="UZ97" s="1675" t="s">
        <v>856</v>
      </c>
      <c r="VA97" s="1675" t="s">
        <v>856</v>
      </c>
      <c r="VB97" s="1675" t="s">
        <v>856</v>
      </c>
      <c r="VC97" s="1675" t="s">
        <v>856</v>
      </c>
      <c r="VD97" s="1675" t="s">
        <v>856</v>
      </c>
      <c r="VE97" s="1675" t="s">
        <v>856</v>
      </c>
      <c r="VF97" s="1675" t="s">
        <v>856</v>
      </c>
      <c r="VG97" s="1675" t="s">
        <v>856</v>
      </c>
      <c r="VH97" s="1675" t="s">
        <v>856</v>
      </c>
      <c r="VI97" s="1675" t="s">
        <v>856</v>
      </c>
      <c r="VJ97" s="1675" t="s">
        <v>856</v>
      </c>
      <c r="VK97" s="1675" t="s">
        <v>856</v>
      </c>
      <c r="VL97" s="1675" t="s">
        <v>856</v>
      </c>
      <c r="VM97" s="1675" t="s">
        <v>856</v>
      </c>
      <c r="VN97" s="1675" t="s">
        <v>856</v>
      </c>
      <c r="VO97" s="1675" t="s">
        <v>856</v>
      </c>
      <c r="VP97" s="1675" t="s">
        <v>856</v>
      </c>
      <c r="VQ97" s="1675" t="s">
        <v>856</v>
      </c>
      <c r="VR97" s="1675" t="s">
        <v>856</v>
      </c>
      <c r="VS97" s="1675" t="s">
        <v>856</v>
      </c>
      <c r="VT97" s="1675" t="s">
        <v>856</v>
      </c>
      <c r="VU97" s="1675" t="s">
        <v>856</v>
      </c>
      <c r="VV97" s="1675" t="s">
        <v>856</v>
      </c>
      <c r="VW97" s="1675" t="s">
        <v>856</v>
      </c>
      <c r="VX97" s="1675" t="s">
        <v>856</v>
      </c>
      <c r="VY97" s="1675" t="s">
        <v>856</v>
      </c>
      <c r="VZ97" s="1675" t="s">
        <v>856</v>
      </c>
      <c r="WA97" s="1675" t="s">
        <v>856</v>
      </c>
      <c r="WB97" s="1675" t="s">
        <v>856</v>
      </c>
      <c r="WC97" s="1675" t="s">
        <v>856</v>
      </c>
      <c r="WD97" s="1675" t="s">
        <v>856</v>
      </c>
      <c r="WE97" s="1675" t="s">
        <v>856</v>
      </c>
      <c r="WF97" s="1675" t="s">
        <v>856</v>
      </c>
      <c r="WG97" s="1675" t="s">
        <v>856</v>
      </c>
      <c r="WH97" s="1675" t="s">
        <v>856</v>
      </c>
      <c r="WI97" s="1675" t="s">
        <v>856</v>
      </c>
      <c r="WJ97" s="1675" t="s">
        <v>856</v>
      </c>
      <c r="WK97" s="1675" t="s">
        <v>856</v>
      </c>
      <c r="WL97" s="1675" t="s">
        <v>856</v>
      </c>
      <c r="WM97" s="1675" t="s">
        <v>856</v>
      </c>
      <c r="WN97" s="1675" t="s">
        <v>856</v>
      </c>
      <c r="WO97" s="1675" t="s">
        <v>856</v>
      </c>
      <c r="WP97" s="1675" t="s">
        <v>856</v>
      </c>
      <c r="WQ97" s="1675" t="s">
        <v>856</v>
      </c>
      <c r="WR97" s="1675" t="s">
        <v>856</v>
      </c>
      <c r="WS97" s="1675" t="s">
        <v>856</v>
      </c>
      <c r="WT97" s="1675" t="s">
        <v>856</v>
      </c>
      <c r="WU97" s="1675" t="s">
        <v>856</v>
      </c>
      <c r="WV97" s="1675" t="s">
        <v>856</v>
      </c>
      <c r="WW97" s="1675" t="s">
        <v>856</v>
      </c>
      <c r="WX97" s="1675" t="s">
        <v>856</v>
      </c>
      <c r="WY97" s="1675" t="s">
        <v>856</v>
      </c>
      <c r="WZ97" s="1675" t="s">
        <v>856</v>
      </c>
      <c r="XA97" s="1675" t="s">
        <v>856</v>
      </c>
      <c r="XB97" s="1675" t="s">
        <v>856</v>
      </c>
      <c r="XC97" s="1675" t="s">
        <v>856</v>
      </c>
      <c r="XD97" s="1675" t="s">
        <v>856</v>
      </c>
      <c r="XE97" s="1675" t="s">
        <v>856</v>
      </c>
      <c r="XF97" s="1675" t="s">
        <v>856</v>
      </c>
      <c r="XG97" s="1675" t="s">
        <v>856</v>
      </c>
      <c r="XH97" s="1675" t="s">
        <v>856</v>
      </c>
      <c r="XI97" s="1675" t="s">
        <v>856</v>
      </c>
      <c r="XJ97" s="1675" t="s">
        <v>856</v>
      </c>
      <c r="XK97" s="1675" t="s">
        <v>856</v>
      </c>
      <c r="XL97" s="1675" t="s">
        <v>856</v>
      </c>
      <c r="XM97" s="1675" t="s">
        <v>856</v>
      </c>
      <c r="XN97" s="1675" t="s">
        <v>856</v>
      </c>
      <c r="XO97" s="1675" t="s">
        <v>856</v>
      </c>
      <c r="XP97" s="1675" t="s">
        <v>856</v>
      </c>
      <c r="XQ97" s="1675" t="s">
        <v>856</v>
      </c>
      <c r="XR97" s="1675" t="s">
        <v>856</v>
      </c>
      <c r="XS97" s="1675" t="s">
        <v>856</v>
      </c>
      <c r="XT97" s="1675" t="s">
        <v>856</v>
      </c>
      <c r="XU97" s="1675" t="s">
        <v>856</v>
      </c>
      <c r="XV97" s="1675" t="s">
        <v>856</v>
      </c>
      <c r="XW97" s="1675" t="s">
        <v>856</v>
      </c>
      <c r="XX97" s="1675" t="s">
        <v>856</v>
      </c>
      <c r="XY97" s="1675" t="s">
        <v>856</v>
      </c>
      <c r="XZ97" s="1675" t="s">
        <v>856</v>
      </c>
      <c r="YA97" s="1675" t="s">
        <v>856</v>
      </c>
      <c r="YB97" s="1675" t="s">
        <v>856</v>
      </c>
      <c r="YC97" s="1675" t="s">
        <v>856</v>
      </c>
      <c r="YD97" s="1675" t="s">
        <v>856</v>
      </c>
      <c r="YE97" s="1675" t="s">
        <v>856</v>
      </c>
      <c r="YF97" s="1675" t="s">
        <v>856</v>
      </c>
      <c r="YG97" s="1675" t="s">
        <v>856</v>
      </c>
      <c r="YH97" s="1675" t="s">
        <v>856</v>
      </c>
      <c r="YI97" s="1675" t="s">
        <v>856</v>
      </c>
      <c r="YJ97" s="1675" t="s">
        <v>856</v>
      </c>
      <c r="YK97" s="1675" t="s">
        <v>856</v>
      </c>
      <c r="YL97" s="1675" t="s">
        <v>856</v>
      </c>
      <c r="YM97" s="1675" t="s">
        <v>856</v>
      </c>
      <c r="YN97" s="1675" t="s">
        <v>856</v>
      </c>
      <c r="YO97" s="1675" t="s">
        <v>856</v>
      </c>
      <c r="YP97" s="1675" t="s">
        <v>856</v>
      </c>
      <c r="YQ97" s="1675" t="s">
        <v>856</v>
      </c>
      <c r="YR97" s="1675" t="s">
        <v>856</v>
      </c>
      <c r="YS97" s="1675" t="s">
        <v>856</v>
      </c>
      <c r="YT97" s="1675" t="s">
        <v>856</v>
      </c>
      <c r="YU97" s="1675" t="s">
        <v>856</v>
      </c>
      <c r="YV97" s="1675" t="s">
        <v>856</v>
      </c>
      <c r="YW97" s="1675" t="s">
        <v>856</v>
      </c>
      <c r="YX97" s="1675" t="s">
        <v>856</v>
      </c>
      <c r="YY97" s="1675" t="s">
        <v>856</v>
      </c>
      <c r="YZ97" s="1675" t="s">
        <v>856</v>
      </c>
      <c r="ZA97" s="1675" t="s">
        <v>856</v>
      </c>
      <c r="ZB97" s="1675" t="s">
        <v>856</v>
      </c>
      <c r="ZC97" s="1675" t="s">
        <v>856</v>
      </c>
      <c r="ZD97" s="1675" t="s">
        <v>856</v>
      </c>
      <c r="ZE97" s="1675" t="s">
        <v>856</v>
      </c>
      <c r="ZF97" s="1675" t="s">
        <v>856</v>
      </c>
      <c r="ZG97" s="1675" t="s">
        <v>856</v>
      </c>
      <c r="ZH97" s="1675" t="s">
        <v>856</v>
      </c>
      <c r="ZI97" s="1675" t="s">
        <v>856</v>
      </c>
      <c r="ZJ97" s="1675" t="s">
        <v>856</v>
      </c>
      <c r="ZK97" s="1675" t="s">
        <v>856</v>
      </c>
      <c r="ZL97" s="1675" t="s">
        <v>856</v>
      </c>
      <c r="ZM97" s="1675" t="s">
        <v>856</v>
      </c>
      <c r="ZN97" s="1675" t="s">
        <v>856</v>
      </c>
      <c r="ZO97" s="1675" t="s">
        <v>856</v>
      </c>
      <c r="ZP97" s="1675" t="s">
        <v>856</v>
      </c>
      <c r="ZQ97" s="1675" t="s">
        <v>856</v>
      </c>
      <c r="ZR97" s="1675" t="s">
        <v>856</v>
      </c>
      <c r="ZS97" s="1675" t="s">
        <v>856</v>
      </c>
      <c r="ZT97" s="1675" t="s">
        <v>856</v>
      </c>
      <c r="ZU97" s="1675" t="s">
        <v>856</v>
      </c>
      <c r="ZV97" s="1675" t="s">
        <v>856</v>
      </c>
      <c r="ZW97" s="1675" t="s">
        <v>856</v>
      </c>
      <c r="ZX97" s="1675" t="s">
        <v>856</v>
      </c>
      <c r="ZY97" s="1675" t="s">
        <v>856</v>
      </c>
      <c r="ZZ97" s="1675" t="s">
        <v>856</v>
      </c>
      <c r="AAA97" s="1675" t="s">
        <v>856</v>
      </c>
      <c r="AAB97" s="1675" t="s">
        <v>856</v>
      </c>
      <c r="AAC97" s="1675" t="s">
        <v>856</v>
      </c>
      <c r="AAD97" s="1675" t="s">
        <v>856</v>
      </c>
      <c r="AAE97" s="1675" t="s">
        <v>856</v>
      </c>
      <c r="AAF97" s="1675" t="s">
        <v>856</v>
      </c>
      <c r="AAG97" s="1675" t="s">
        <v>856</v>
      </c>
      <c r="AAH97" s="1675" t="s">
        <v>856</v>
      </c>
      <c r="AAI97" s="1675" t="s">
        <v>856</v>
      </c>
      <c r="AAJ97" s="1675" t="s">
        <v>856</v>
      </c>
      <c r="AAK97" s="1675" t="s">
        <v>856</v>
      </c>
      <c r="AAL97" s="1675" t="s">
        <v>856</v>
      </c>
      <c r="AAM97" s="1675" t="s">
        <v>856</v>
      </c>
      <c r="AAN97" s="1675" t="s">
        <v>856</v>
      </c>
      <c r="AAO97" s="1675" t="s">
        <v>856</v>
      </c>
      <c r="AAP97" s="1675" t="s">
        <v>856</v>
      </c>
      <c r="AAQ97" s="1675" t="s">
        <v>856</v>
      </c>
      <c r="AAR97" s="1675" t="s">
        <v>856</v>
      </c>
      <c r="AAS97" s="1675" t="s">
        <v>856</v>
      </c>
      <c r="AAT97" s="1675" t="s">
        <v>856</v>
      </c>
      <c r="AAU97" s="1675" t="s">
        <v>856</v>
      </c>
      <c r="AAV97" s="1675" t="s">
        <v>856</v>
      </c>
      <c r="AAW97" s="1675" t="s">
        <v>856</v>
      </c>
      <c r="AAX97" s="1675" t="s">
        <v>856</v>
      </c>
      <c r="AAY97" s="1675" t="s">
        <v>856</v>
      </c>
      <c r="AAZ97" s="1675" t="s">
        <v>856</v>
      </c>
      <c r="ABA97" s="1675" t="s">
        <v>856</v>
      </c>
      <c r="ABB97" s="1675" t="s">
        <v>856</v>
      </c>
      <c r="ABC97" s="1675" t="s">
        <v>856</v>
      </c>
      <c r="ABD97" s="1675" t="s">
        <v>856</v>
      </c>
      <c r="ABE97" s="1675" t="s">
        <v>856</v>
      </c>
      <c r="ABF97" s="1675" t="s">
        <v>856</v>
      </c>
      <c r="ABG97" s="1675" t="s">
        <v>856</v>
      </c>
      <c r="ABH97" s="1675" t="s">
        <v>856</v>
      </c>
      <c r="ABI97" s="1675" t="s">
        <v>856</v>
      </c>
      <c r="ABJ97" s="1675" t="s">
        <v>856</v>
      </c>
      <c r="ABK97" s="1675" t="s">
        <v>856</v>
      </c>
      <c r="ABL97" s="1675" t="s">
        <v>856</v>
      </c>
      <c r="ABM97" s="1675" t="s">
        <v>856</v>
      </c>
      <c r="ABN97" s="1675" t="s">
        <v>856</v>
      </c>
      <c r="ABO97" s="1675" t="s">
        <v>856</v>
      </c>
      <c r="ABP97" s="1675" t="s">
        <v>856</v>
      </c>
      <c r="ABQ97" s="1675" t="s">
        <v>856</v>
      </c>
      <c r="ABR97" s="1675" t="s">
        <v>856</v>
      </c>
      <c r="ABS97" s="1675" t="s">
        <v>856</v>
      </c>
      <c r="ABT97" s="1675" t="s">
        <v>856</v>
      </c>
      <c r="ABU97" s="1675" t="s">
        <v>856</v>
      </c>
      <c r="ABV97" s="1675" t="s">
        <v>856</v>
      </c>
      <c r="ABW97" s="1675" t="s">
        <v>856</v>
      </c>
      <c r="ABX97" s="1675" t="s">
        <v>856</v>
      </c>
      <c r="ABY97" s="1675" t="s">
        <v>856</v>
      </c>
      <c r="ABZ97" s="1675" t="s">
        <v>856</v>
      </c>
      <c r="ACA97" s="1675" t="s">
        <v>856</v>
      </c>
      <c r="ACB97" s="1675" t="s">
        <v>856</v>
      </c>
      <c r="ACC97" s="1675" t="s">
        <v>856</v>
      </c>
      <c r="ACD97" s="1675" t="s">
        <v>856</v>
      </c>
      <c r="ACE97" s="1675" t="s">
        <v>856</v>
      </c>
      <c r="ACF97" s="1675" t="s">
        <v>856</v>
      </c>
      <c r="ACG97" s="1675" t="s">
        <v>856</v>
      </c>
      <c r="ACH97" s="1675" t="s">
        <v>856</v>
      </c>
      <c r="ACI97" s="1675" t="s">
        <v>856</v>
      </c>
      <c r="ACJ97" s="1675" t="s">
        <v>856</v>
      </c>
      <c r="ACK97" s="1675" t="s">
        <v>856</v>
      </c>
      <c r="ACL97" s="1675" t="s">
        <v>856</v>
      </c>
      <c r="ACM97" s="1675" t="s">
        <v>856</v>
      </c>
      <c r="ACN97" s="1675" t="s">
        <v>856</v>
      </c>
      <c r="ACO97" s="1675" t="s">
        <v>856</v>
      </c>
      <c r="ACP97" s="1675" t="s">
        <v>856</v>
      </c>
      <c r="ACQ97" s="1675" t="s">
        <v>856</v>
      </c>
      <c r="ACR97" s="1675" t="s">
        <v>856</v>
      </c>
      <c r="ACS97" s="1675" t="s">
        <v>856</v>
      </c>
      <c r="ACT97" s="1675" t="s">
        <v>856</v>
      </c>
      <c r="ACU97" s="1675" t="s">
        <v>856</v>
      </c>
      <c r="ACV97" s="1675" t="s">
        <v>856</v>
      </c>
      <c r="ACW97" s="1675" t="s">
        <v>856</v>
      </c>
      <c r="ACX97" s="1675" t="s">
        <v>856</v>
      </c>
      <c r="ACY97" s="1675" t="s">
        <v>856</v>
      </c>
      <c r="ACZ97" s="1675" t="s">
        <v>856</v>
      </c>
      <c r="ADA97" s="1675" t="s">
        <v>856</v>
      </c>
      <c r="ADB97" s="1675" t="s">
        <v>856</v>
      </c>
      <c r="ADC97" s="1675" t="s">
        <v>856</v>
      </c>
      <c r="ADD97" s="1675" t="s">
        <v>856</v>
      </c>
      <c r="ADE97" s="1675" t="s">
        <v>856</v>
      </c>
      <c r="ADF97" s="1675" t="s">
        <v>856</v>
      </c>
      <c r="ADG97" s="1675" t="s">
        <v>856</v>
      </c>
      <c r="ADH97" s="1675" t="s">
        <v>856</v>
      </c>
      <c r="ADI97" s="1675" t="s">
        <v>856</v>
      </c>
      <c r="ADJ97" s="1675" t="s">
        <v>856</v>
      </c>
      <c r="ADK97" s="1675" t="s">
        <v>856</v>
      </c>
      <c r="ADL97" s="1675" t="s">
        <v>856</v>
      </c>
      <c r="ADM97" s="1675" t="s">
        <v>856</v>
      </c>
      <c r="ADN97" s="1675" t="s">
        <v>856</v>
      </c>
      <c r="ADO97" s="1675" t="s">
        <v>856</v>
      </c>
      <c r="ADP97" s="1675" t="s">
        <v>856</v>
      </c>
      <c r="ADQ97" s="1675" t="s">
        <v>856</v>
      </c>
      <c r="ADR97" s="1675" t="s">
        <v>856</v>
      </c>
      <c r="ADS97" s="1675" t="s">
        <v>856</v>
      </c>
      <c r="ADT97" s="1675" t="s">
        <v>856</v>
      </c>
      <c r="ADU97" s="1675" t="s">
        <v>856</v>
      </c>
      <c r="ADV97" s="1675" t="s">
        <v>856</v>
      </c>
      <c r="ADW97" s="1675" t="s">
        <v>856</v>
      </c>
      <c r="ADX97" s="1675" t="s">
        <v>856</v>
      </c>
      <c r="ADY97" s="1675" t="s">
        <v>856</v>
      </c>
      <c r="ADZ97" s="1675" t="s">
        <v>856</v>
      </c>
      <c r="AEA97" s="1675" t="s">
        <v>856</v>
      </c>
      <c r="AEB97" s="1675" t="s">
        <v>856</v>
      </c>
      <c r="AEC97" s="1675" t="s">
        <v>856</v>
      </c>
      <c r="AED97" s="1675" t="s">
        <v>856</v>
      </c>
      <c r="AEE97" s="1675" t="s">
        <v>856</v>
      </c>
      <c r="AEF97" s="1675" t="s">
        <v>856</v>
      </c>
      <c r="AEG97" s="1675" t="s">
        <v>856</v>
      </c>
      <c r="AEH97" s="1675" t="s">
        <v>856</v>
      </c>
      <c r="AEI97" s="1675" t="s">
        <v>856</v>
      </c>
      <c r="AEJ97" s="1675" t="s">
        <v>856</v>
      </c>
      <c r="AEK97" s="1675" t="s">
        <v>856</v>
      </c>
      <c r="AEL97" s="1675" t="s">
        <v>856</v>
      </c>
      <c r="AEM97" s="1675" t="s">
        <v>856</v>
      </c>
      <c r="AEN97" s="1675" t="s">
        <v>856</v>
      </c>
      <c r="AEO97" s="1675" t="s">
        <v>856</v>
      </c>
      <c r="AEP97" s="1675" t="s">
        <v>856</v>
      </c>
      <c r="AEQ97" s="1675" t="s">
        <v>856</v>
      </c>
      <c r="AER97" s="1675" t="s">
        <v>856</v>
      </c>
      <c r="AES97" s="1675" t="s">
        <v>856</v>
      </c>
      <c r="AET97" s="1675" t="s">
        <v>856</v>
      </c>
      <c r="AEU97" s="1675" t="s">
        <v>856</v>
      </c>
      <c r="AEV97" s="1675" t="s">
        <v>856</v>
      </c>
      <c r="AEW97" s="1675" t="s">
        <v>856</v>
      </c>
      <c r="AEX97" s="1675" t="s">
        <v>856</v>
      </c>
      <c r="AEY97" s="1675" t="s">
        <v>856</v>
      </c>
      <c r="AEZ97" s="1675" t="s">
        <v>856</v>
      </c>
      <c r="AFA97" s="1675" t="s">
        <v>856</v>
      </c>
      <c r="AFB97" s="1675" t="s">
        <v>856</v>
      </c>
      <c r="AFC97" s="1675" t="s">
        <v>856</v>
      </c>
      <c r="AFD97" s="1675" t="s">
        <v>856</v>
      </c>
      <c r="AFE97" s="1675" t="s">
        <v>856</v>
      </c>
      <c r="AFF97" s="1675" t="s">
        <v>856</v>
      </c>
      <c r="AFG97" s="1675" t="s">
        <v>856</v>
      </c>
      <c r="AFH97" s="1675" t="s">
        <v>856</v>
      </c>
      <c r="AFI97" s="1675" t="s">
        <v>856</v>
      </c>
      <c r="AFJ97" s="1675" t="s">
        <v>856</v>
      </c>
      <c r="AFK97" s="1675" t="s">
        <v>856</v>
      </c>
      <c r="AFL97" s="1675" t="s">
        <v>856</v>
      </c>
      <c r="AFM97" s="1675" t="s">
        <v>856</v>
      </c>
      <c r="AFN97" s="1675" t="s">
        <v>856</v>
      </c>
      <c r="AFO97" s="1675" t="s">
        <v>856</v>
      </c>
      <c r="AFP97" s="1675" t="s">
        <v>856</v>
      </c>
      <c r="AFQ97" s="1675" t="s">
        <v>856</v>
      </c>
      <c r="AFR97" s="1675" t="s">
        <v>856</v>
      </c>
      <c r="AFS97" s="1675" t="s">
        <v>856</v>
      </c>
      <c r="AFT97" s="1675" t="s">
        <v>856</v>
      </c>
      <c r="AFU97" s="1675" t="s">
        <v>856</v>
      </c>
      <c r="AFV97" s="1675" t="s">
        <v>856</v>
      </c>
      <c r="AFW97" s="1675" t="s">
        <v>856</v>
      </c>
      <c r="AFX97" s="1675" t="s">
        <v>856</v>
      </c>
      <c r="AFY97" s="1675" t="s">
        <v>856</v>
      </c>
      <c r="AFZ97" s="1675" t="s">
        <v>856</v>
      </c>
      <c r="AGA97" s="1675" t="s">
        <v>856</v>
      </c>
      <c r="AGB97" s="1675" t="s">
        <v>856</v>
      </c>
      <c r="AGC97" s="1675" t="s">
        <v>856</v>
      </c>
      <c r="AGD97" s="1675" t="s">
        <v>856</v>
      </c>
      <c r="AGE97" s="1675" t="s">
        <v>856</v>
      </c>
      <c r="AGF97" s="1675" t="s">
        <v>856</v>
      </c>
      <c r="AGG97" s="1675" t="s">
        <v>856</v>
      </c>
      <c r="AGH97" s="1675" t="s">
        <v>856</v>
      </c>
      <c r="AGI97" s="1675" t="s">
        <v>856</v>
      </c>
      <c r="AGJ97" s="1675" t="s">
        <v>856</v>
      </c>
      <c r="AGK97" s="1675" t="s">
        <v>856</v>
      </c>
      <c r="AGL97" s="1675" t="s">
        <v>856</v>
      </c>
      <c r="AGM97" s="1675" t="s">
        <v>856</v>
      </c>
      <c r="AGN97" s="1675" t="s">
        <v>856</v>
      </c>
      <c r="AGO97" s="1675" t="s">
        <v>856</v>
      </c>
      <c r="AGP97" s="1675" t="s">
        <v>856</v>
      </c>
      <c r="AGQ97" s="1675" t="s">
        <v>856</v>
      </c>
      <c r="AGR97" s="1675" t="s">
        <v>856</v>
      </c>
      <c r="AGS97" s="1675" t="s">
        <v>856</v>
      </c>
      <c r="AGT97" s="1675" t="s">
        <v>856</v>
      </c>
      <c r="AGU97" s="1675" t="s">
        <v>856</v>
      </c>
      <c r="AGV97" s="1675" t="s">
        <v>856</v>
      </c>
      <c r="AGW97" s="1675" t="s">
        <v>856</v>
      </c>
      <c r="AGX97" s="1675" t="s">
        <v>856</v>
      </c>
      <c r="AGY97" s="1675" t="s">
        <v>856</v>
      </c>
      <c r="AGZ97" s="1675" t="s">
        <v>856</v>
      </c>
      <c r="AHA97" s="1675" t="s">
        <v>856</v>
      </c>
      <c r="AHB97" s="1675" t="s">
        <v>856</v>
      </c>
      <c r="AHC97" s="1675" t="s">
        <v>856</v>
      </c>
      <c r="AHD97" s="1675" t="s">
        <v>856</v>
      </c>
      <c r="AHE97" s="1675" t="s">
        <v>856</v>
      </c>
      <c r="AHF97" s="1675" t="s">
        <v>856</v>
      </c>
      <c r="AHG97" s="1675" t="s">
        <v>856</v>
      </c>
      <c r="AHH97" s="1675" t="s">
        <v>856</v>
      </c>
      <c r="AHI97" s="1675" t="s">
        <v>856</v>
      </c>
      <c r="AHJ97" s="1675" t="s">
        <v>856</v>
      </c>
      <c r="AHK97" s="1675" t="s">
        <v>856</v>
      </c>
      <c r="AHL97" s="1675" t="s">
        <v>856</v>
      </c>
      <c r="AHM97" s="1675" t="s">
        <v>856</v>
      </c>
      <c r="AHN97" s="1675" t="s">
        <v>856</v>
      </c>
      <c r="AHO97" s="1675" t="s">
        <v>856</v>
      </c>
      <c r="AHP97" s="1675" t="s">
        <v>856</v>
      </c>
      <c r="AHQ97" s="1675" t="s">
        <v>856</v>
      </c>
      <c r="AHR97" s="1675" t="s">
        <v>856</v>
      </c>
      <c r="AHS97" s="1675" t="s">
        <v>856</v>
      </c>
      <c r="AHT97" s="1675" t="s">
        <v>856</v>
      </c>
      <c r="AHU97" s="1675" t="s">
        <v>856</v>
      </c>
      <c r="AHV97" s="1675" t="s">
        <v>856</v>
      </c>
      <c r="AHW97" s="1675" t="s">
        <v>856</v>
      </c>
      <c r="AHX97" s="1675" t="s">
        <v>856</v>
      </c>
      <c r="AHY97" s="1675" t="s">
        <v>856</v>
      </c>
      <c r="AHZ97" s="1675" t="s">
        <v>856</v>
      </c>
      <c r="AIA97" s="1675" t="s">
        <v>856</v>
      </c>
      <c r="AIB97" s="1675" t="s">
        <v>856</v>
      </c>
      <c r="AIC97" s="1675" t="s">
        <v>856</v>
      </c>
      <c r="AID97" s="1675" t="s">
        <v>856</v>
      </c>
      <c r="AIE97" s="1675" t="s">
        <v>856</v>
      </c>
      <c r="AIF97" s="1675" t="s">
        <v>856</v>
      </c>
      <c r="AIG97" s="1675" t="s">
        <v>856</v>
      </c>
      <c r="AIH97" s="1675" t="s">
        <v>856</v>
      </c>
      <c r="AII97" s="1675" t="s">
        <v>856</v>
      </c>
      <c r="AIJ97" s="1675" t="s">
        <v>856</v>
      </c>
      <c r="AIK97" s="1675" t="s">
        <v>856</v>
      </c>
      <c r="AIL97" s="1675" t="s">
        <v>856</v>
      </c>
      <c r="AIM97" s="1675" t="s">
        <v>856</v>
      </c>
      <c r="AIN97" s="1675" t="s">
        <v>856</v>
      </c>
      <c r="AIO97" s="1675" t="s">
        <v>856</v>
      </c>
      <c r="AIP97" s="1675" t="s">
        <v>856</v>
      </c>
      <c r="AIQ97" s="1675" t="s">
        <v>856</v>
      </c>
      <c r="AIR97" s="1675" t="s">
        <v>856</v>
      </c>
      <c r="AIS97" s="1675" t="s">
        <v>856</v>
      </c>
      <c r="AIT97" s="1675" t="s">
        <v>856</v>
      </c>
      <c r="AIU97" s="1675" t="s">
        <v>856</v>
      </c>
      <c r="AIV97" s="1675" t="s">
        <v>856</v>
      </c>
      <c r="AIW97" s="1675" t="s">
        <v>856</v>
      </c>
      <c r="AIX97" s="1675" t="s">
        <v>856</v>
      </c>
      <c r="AIY97" s="1675" t="s">
        <v>856</v>
      </c>
      <c r="AIZ97" s="1675" t="s">
        <v>856</v>
      </c>
      <c r="AJA97" s="1675" t="s">
        <v>856</v>
      </c>
      <c r="AJB97" s="1675" t="s">
        <v>856</v>
      </c>
      <c r="AJC97" s="1675" t="s">
        <v>856</v>
      </c>
      <c r="AJD97" s="1675" t="s">
        <v>856</v>
      </c>
      <c r="AJE97" s="1675" t="s">
        <v>856</v>
      </c>
      <c r="AJF97" s="1675" t="s">
        <v>856</v>
      </c>
      <c r="AJG97" s="1675" t="s">
        <v>856</v>
      </c>
      <c r="AJH97" s="1675" t="s">
        <v>856</v>
      </c>
      <c r="AJI97" s="1675" t="s">
        <v>856</v>
      </c>
      <c r="AJJ97" s="1675" t="s">
        <v>856</v>
      </c>
      <c r="AJK97" s="1675" t="s">
        <v>856</v>
      </c>
      <c r="AJL97" s="1675" t="s">
        <v>856</v>
      </c>
      <c r="AJM97" s="1675" t="s">
        <v>856</v>
      </c>
      <c r="AJN97" s="1675" t="s">
        <v>856</v>
      </c>
      <c r="AJO97" s="1675" t="s">
        <v>856</v>
      </c>
      <c r="AJP97" s="1675" t="s">
        <v>856</v>
      </c>
      <c r="AJQ97" s="1675" t="s">
        <v>856</v>
      </c>
      <c r="AJR97" s="1675" t="s">
        <v>856</v>
      </c>
      <c r="AJS97" s="1675" t="s">
        <v>856</v>
      </c>
      <c r="AJT97" s="1675" t="s">
        <v>856</v>
      </c>
      <c r="AJU97" s="1675" t="s">
        <v>856</v>
      </c>
      <c r="AJV97" s="1675" t="s">
        <v>856</v>
      </c>
      <c r="AJW97" s="1675" t="s">
        <v>856</v>
      </c>
      <c r="AJX97" s="1675" t="s">
        <v>856</v>
      </c>
      <c r="AJY97" s="1675" t="s">
        <v>856</v>
      </c>
      <c r="AJZ97" s="1675" t="s">
        <v>856</v>
      </c>
      <c r="AKA97" s="1675" t="s">
        <v>856</v>
      </c>
      <c r="AKB97" s="1675" t="s">
        <v>856</v>
      </c>
      <c r="AKC97" s="1675" t="s">
        <v>856</v>
      </c>
      <c r="AKD97" s="1675" t="s">
        <v>856</v>
      </c>
      <c r="AKE97" s="1675" t="s">
        <v>856</v>
      </c>
      <c r="AKF97" s="1675" t="s">
        <v>856</v>
      </c>
      <c r="AKG97" s="1675" t="s">
        <v>856</v>
      </c>
      <c r="AKH97" s="1675" t="s">
        <v>856</v>
      </c>
      <c r="AKI97" s="1675" t="s">
        <v>856</v>
      </c>
      <c r="AKJ97" s="1675" t="s">
        <v>856</v>
      </c>
      <c r="AKK97" s="1675" t="s">
        <v>856</v>
      </c>
      <c r="AKL97" s="1675" t="s">
        <v>856</v>
      </c>
      <c r="AKM97" s="1675" t="s">
        <v>856</v>
      </c>
      <c r="AKN97" s="1675" t="s">
        <v>856</v>
      </c>
      <c r="AKO97" s="1675" t="s">
        <v>856</v>
      </c>
      <c r="AKP97" s="1675" t="s">
        <v>856</v>
      </c>
      <c r="AKQ97" s="1675" t="s">
        <v>856</v>
      </c>
      <c r="AKR97" s="1675" t="s">
        <v>856</v>
      </c>
      <c r="AKS97" s="1675" t="s">
        <v>856</v>
      </c>
      <c r="AKT97" s="1675" t="s">
        <v>856</v>
      </c>
      <c r="AKU97" s="1675" t="s">
        <v>856</v>
      </c>
      <c r="AKV97" s="1675" t="s">
        <v>856</v>
      </c>
      <c r="AKW97" s="1675" t="s">
        <v>856</v>
      </c>
      <c r="AKX97" s="1675" t="s">
        <v>856</v>
      </c>
      <c r="AKY97" s="1675" t="s">
        <v>856</v>
      </c>
      <c r="AKZ97" s="1675" t="s">
        <v>856</v>
      </c>
      <c r="ALA97" s="1675" t="s">
        <v>856</v>
      </c>
      <c r="ALB97" s="1675" t="s">
        <v>856</v>
      </c>
      <c r="ALC97" s="1675" t="s">
        <v>856</v>
      </c>
      <c r="ALD97" s="1675" t="s">
        <v>856</v>
      </c>
      <c r="ALE97" s="1675" t="s">
        <v>856</v>
      </c>
      <c r="ALF97" s="1675" t="s">
        <v>856</v>
      </c>
      <c r="ALG97" s="1675" t="s">
        <v>856</v>
      </c>
      <c r="ALH97" s="1675" t="s">
        <v>856</v>
      </c>
      <c r="ALI97" s="1675" t="s">
        <v>856</v>
      </c>
      <c r="ALJ97" s="1675" t="s">
        <v>856</v>
      </c>
      <c r="ALK97" s="1675" t="s">
        <v>856</v>
      </c>
      <c r="ALL97" s="1675" t="s">
        <v>856</v>
      </c>
      <c r="ALM97" s="1675" t="s">
        <v>856</v>
      </c>
      <c r="ALN97" s="1675" t="s">
        <v>856</v>
      </c>
      <c r="ALO97" s="1675" t="s">
        <v>856</v>
      </c>
      <c r="ALP97" s="1675" t="s">
        <v>856</v>
      </c>
      <c r="ALQ97" s="1675" t="s">
        <v>856</v>
      </c>
      <c r="ALR97" s="1675" t="s">
        <v>856</v>
      </c>
      <c r="ALS97" s="1675" t="s">
        <v>856</v>
      </c>
      <c r="ALT97" s="1675" t="s">
        <v>856</v>
      </c>
      <c r="ALU97" s="1675" t="s">
        <v>856</v>
      </c>
      <c r="ALV97" s="1675" t="s">
        <v>856</v>
      </c>
      <c r="ALW97" s="1675" t="s">
        <v>856</v>
      </c>
      <c r="ALX97" s="1675" t="s">
        <v>856</v>
      </c>
      <c r="ALY97" s="1675" t="s">
        <v>856</v>
      </c>
      <c r="ALZ97" s="1675" t="s">
        <v>856</v>
      </c>
      <c r="AMA97" s="1675" t="s">
        <v>856</v>
      </c>
      <c r="AMB97" s="1675" t="s">
        <v>856</v>
      </c>
      <c r="AMC97" s="1675" t="s">
        <v>856</v>
      </c>
      <c r="AMD97" s="1675" t="s">
        <v>856</v>
      </c>
      <c r="AME97" s="1675" t="s">
        <v>856</v>
      </c>
      <c r="AMF97" s="1675" t="s">
        <v>856</v>
      </c>
      <c r="AMG97" s="1675" t="s">
        <v>856</v>
      </c>
      <c r="AMH97" s="1675" t="s">
        <v>856</v>
      </c>
      <c r="AMI97" s="1675" t="s">
        <v>856</v>
      </c>
      <c r="AMJ97" s="1675" t="s">
        <v>856</v>
      </c>
      <c r="AMK97" s="1675" t="s">
        <v>856</v>
      </c>
      <c r="AML97" s="1675" t="s">
        <v>856</v>
      </c>
      <c r="AMM97" s="1675" t="s">
        <v>856</v>
      </c>
      <c r="AMN97" s="1675" t="s">
        <v>856</v>
      </c>
      <c r="AMO97" s="1675" t="s">
        <v>856</v>
      </c>
      <c r="AMP97" s="1675" t="s">
        <v>856</v>
      </c>
      <c r="AMQ97" s="1675" t="s">
        <v>856</v>
      </c>
      <c r="AMR97" s="1675" t="s">
        <v>856</v>
      </c>
      <c r="AMS97" s="1675" t="s">
        <v>856</v>
      </c>
      <c r="AMT97" s="1675" t="s">
        <v>856</v>
      </c>
      <c r="AMU97" s="1675" t="s">
        <v>856</v>
      </c>
      <c r="AMV97" s="1675" t="s">
        <v>856</v>
      </c>
      <c r="AMW97" s="1675" t="s">
        <v>856</v>
      </c>
      <c r="AMX97" s="1675" t="s">
        <v>856</v>
      </c>
      <c r="AMY97" s="1675" t="s">
        <v>856</v>
      </c>
      <c r="AMZ97" s="1675" t="s">
        <v>856</v>
      </c>
      <c r="ANA97" s="1675" t="s">
        <v>856</v>
      </c>
      <c r="ANB97" s="1675" t="s">
        <v>856</v>
      </c>
      <c r="ANC97" s="1675" t="s">
        <v>856</v>
      </c>
      <c r="AND97" s="1675" t="s">
        <v>856</v>
      </c>
      <c r="ANE97" s="1675" t="s">
        <v>856</v>
      </c>
      <c r="ANF97" s="1675" t="s">
        <v>856</v>
      </c>
      <c r="ANG97" s="1675" t="s">
        <v>856</v>
      </c>
      <c r="ANH97" s="1675" t="s">
        <v>856</v>
      </c>
      <c r="ANI97" s="1675" t="s">
        <v>856</v>
      </c>
      <c r="ANJ97" s="1675" t="s">
        <v>856</v>
      </c>
      <c r="ANK97" s="1675" t="s">
        <v>856</v>
      </c>
      <c r="ANL97" s="1675" t="s">
        <v>856</v>
      </c>
      <c r="ANM97" s="1675" t="s">
        <v>856</v>
      </c>
      <c r="ANN97" s="1675" t="s">
        <v>856</v>
      </c>
      <c r="ANO97" s="1675" t="s">
        <v>856</v>
      </c>
      <c r="ANP97" s="1675" t="s">
        <v>856</v>
      </c>
      <c r="ANQ97" s="1675" t="s">
        <v>856</v>
      </c>
      <c r="ANR97" s="1675" t="s">
        <v>856</v>
      </c>
      <c r="ANS97" s="1675" t="s">
        <v>856</v>
      </c>
      <c r="ANT97" s="1675" t="s">
        <v>856</v>
      </c>
      <c r="ANU97" s="1675" t="s">
        <v>856</v>
      </c>
      <c r="ANV97" s="1675" t="s">
        <v>856</v>
      </c>
      <c r="ANW97" s="1675" t="s">
        <v>856</v>
      </c>
      <c r="ANX97" s="1675" t="s">
        <v>856</v>
      </c>
      <c r="ANY97" s="1675" t="s">
        <v>856</v>
      </c>
      <c r="ANZ97" s="1675" t="s">
        <v>856</v>
      </c>
      <c r="AOA97" s="1675" t="s">
        <v>856</v>
      </c>
      <c r="AOB97" s="1675" t="s">
        <v>856</v>
      </c>
      <c r="AOC97" s="1675" t="s">
        <v>856</v>
      </c>
      <c r="AOD97" s="1675" t="s">
        <v>856</v>
      </c>
      <c r="AOE97" s="1675" t="s">
        <v>856</v>
      </c>
      <c r="AOF97" s="1675" t="s">
        <v>856</v>
      </c>
      <c r="AOG97" s="1675" t="s">
        <v>856</v>
      </c>
      <c r="AOH97" s="1675" t="s">
        <v>856</v>
      </c>
      <c r="AOI97" s="1675" t="s">
        <v>856</v>
      </c>
      <c r="AOJ97" s="1675" t="s">
        <v>856</v>
      </c>
      <c r="AOK97" s="1675" t="s">
        <v>856</v>
      </c>
      <c r="AOL97" s="1675" t="s">
        <v>856</v>
      </c>
      <c r="AOM97" s="1675" t="s">
        <v>856</v>
      </c>
      <c r="AON97" s="1675" t="s">
        <v>856</v>
      </c>
      <c r="AOO97" s="1675" t="s">
        <v>856</v>
      </c>
      <c r="AOP97" s="1675" t="s">
        <v>856</v>
      </c>
      <c r="AOQ97" s="1675" t="s">
        <v>856</v>
      </c>
      <c r="AOR97" s="1675" t="s">
        <v>856</v>
      </c>
      <c r="AOS97" s="1675" t="s">
        <v>856</v>
      </c>
      <c r="AOT97" s="1675" t="s">
        <v>856</v>
      </c>
      <c r="AOU97" s="1675" t="s">
        <v>856</v>
      </c>
      <c r="AOV97" s="1675" t="s">
        <v>856</v>
      </c>
      <c r="AOW97" s="1675" t="s">
        <v>856</v>
      </c>
      <c r="AOX97" s="1675" t="s">
        <v>856</v>
      </c>
      <c r="AOY97" s="1675" t="s">
        <v>856</v>
      </c>
      <c r="AOZ97" s="1675" t="s">
        <v>856</v>
      </c>
      <c r="APA97" s="1675" t="s">
        <v>856</v>
      </c>
      <c r="APB97" s="1675" t="s">
        <v>856</v>
      </c>
      <c r="APC97" s="1675" t="s">
        <v>856</v>
      </c>
      <c r="APD97" s="1675" t="s">
        <v>856</v>
      </c>
      <c r="APE97" s="1675" t="s">
        <v>856</v>
      </c>
      <c r="APF97" s="1675" t="s">
        <v>856</v>
      </c>
      <c r="APG97" s="1675" t="s">
        <v>856</v>
      </c>
      <c r="APH97" s="1675" t="s">
        <v>856</v>
      </c>
      <c r="API97" s="1675" t="s">
        <v>856</v>
      </c>
      <c r="APJ97" s="1675" t="s">
        <v>856</v>
      </c>
      <c r="APK97" s="1675" t="s">
        <v>856</v>
      </c>
      <c r="APL97" s="1675" t="s">
        <v>856</v>
      </c>
      <c r="APM97" s="1675" t="s">
        <v>856</v>
      </c>
      <c r="APN97" s="1675" t="s">
        <v>856</v>
      </c>
      <c r="APO97" s="1675" t="s">
        <v>856</v>
      </c>
      <c r="APP97" s="1675" t="s">
        <v>856</v>
      </c>
      <c r="APQ97" s="1675" t="s">
        <v>856</v>
      </c>
      <c r="APR97" s="1675" t="s">
        <v>856</v>
      </c>
      <c r="APS97" s="1675" t="s">
        <v>856</v>
      </c>
      <c r="APT97" s="1675" t="s">
        <v>856</v>
      </c>
      <c r="APU97" s="1675" t="s">
        <v>856</v>
      </c>
      <c r="APV97" s="1675" t="s">
        <v>856</v>
      </c>
      <c r="APW97" s="1675" t="s">
        <v>856</v>
      </c>
      <c r="APX97" s="1675" t="s">
        <v>856</v>
      </c>
      <c r="APY97" s="1675" t="s">
        <v>856</v>
      </c>
      <c r="APZ97" s="1675" t="s">
        <v>856</v>
      </c>
      <c r="AQA97" s="1675" t="s">
        <v>856</v>
      </c>
      <c r="AQB97" s="1675" t="s">
        <v>856</v>
      </c>
      <c r="AQC97" s="1675" t="s">
        <v>856</v>
      </c>
      <c r="AQD97" s="1675" t="s">
        <v>856</v>
      </c>
      <c r="AQE97" s="1675" t="s">
        <v>856</v>
      </c>
      <c r="AQF97" s="1675" t="s">
        <v>856</v>
      </c>
      <c r="AQG97" s="1675" t="s">
        <v>856</v>
      </c>
      <c r="AQH97" s="1675" t="s">
        <v>856</v>
      </c>
      <c r="AQI97" s="1675" t="s">
        <v>856</v>
      </c>
      <c r="AQJ97" s="1675" t="s">
        <v>856</v>
      </c>
      <c r="AQK97" s="1675" t="s">
        <v>856</v>
      </c>
      <c r="AQL97" s="1675" t="s">
        <v>856</v>
      </c>
      <c r="AQM97" s="1675" t="s">
        <v>856</v>
      </c>
      <c r="AQN97" s="1675" t="s">
        <v>856</v>
      </c>
      <c r="AQO97" s="1675" t="s">
        <v>856</v>
      </c>
      <c r="AQP97" s="1675" t="s">
        <v>856</v>
      </c>
      <c r="AQQ97" s="1675" t="s">
        <v>856</v>
      </c>
      <c r="AQR97" s="1675" t="s">
        <v>856</v>
      </c>
      <c r="AQS97" s="1675" t="s">
        <v>856</v>
      </c>
      <c r="AQT97" s="1675" t="s">
        <v>856</v>
      </c>
      <c r="AQU97" s="1675" t="s">
        <v>856</v>
      </c>
      <c r="AQV97" s="1675" t="s">
        <v>856</v>
      </c>
      <c r="AQW97" s="1675" t="s">
        <v>856</v>
      </c>
      <c r="AQX97" s="1675" t="s">
        <v>856</v>
      </c>
      <c r="AQY97" s="1675" t="s">
        <v>856</v>
      </c>
      <c r="AQZ97" s="1675" t="s">
        <v>856</v>
      </c>
      <c r="ARA97" s="1675" t="s">
        <v>856</v>
      </c>
      <c r="ARB97" s="1675" t="s">
        <v>856</v>
      </c>
      <c r="ARC97" s="1675" t="s">
        <v>856</v>
      </c>
      <c r="ARD97" s="1675" t="s">
        <v>856</v>
      </c>
      <c r="ARE97" s="1675" t="s">
        <v>856</v>
      </c>
      <c r="ARF97" s="1675" t="s">
        <v>856</v>
      </c>
      <c r="ARG97" s="1675" t="s">
        <v>856</v>
      </c>
      <c r="ARH97" s="1675" t="s">
        <v>856</v>
      </c>
      <c r="ARI97" s="1675" t="s">
        <v>856</v>
      </c>
      <c r="ARJ97" s="1675" t="s">
        <v>856</v>
      </c>
      <c r="ARK97" s="1675" t="s">
        <v>856</v>
      </c>
      <c r="ARL97" s="1675" t="s">
        <v>856</v>
      </c>
      <c r="ARM97" s="1675" t="s">
        <v>856</v>
      </c>
      <c r="ARN97" s="1675" t="s">
        <v>856</v>
      </c>
      <c r="ARO97" s="1675" t="s">
        <v>856</v>
      </c>
      <c r="ARP97" s="1675" t="s">
        <v>856</v>
      </c>
      <c r="ARQ97" s="1675" t="s">
        <v>856</v>
      </c>
      <c r="ARR97" s="1675" t="s">
        <v>856</v>
      </c>
      <c r="ARS97" s="1675" t="s">
        <v>856</v>
      </c>
      <c r="ART97" s="1675" t="s">
        <v>856</v>
      </c>
      <c r="ARU97" s="1675" t="s">
        <v>856</v>
      </c>
      <c r="ARV97" s="1675" t="s">
        <v>856</v>
      </c>
      <c r="ARW97" s="1675" t="s">
        <v>856</v>
      </c>
      <c r="ARX97" s="1675" t="s">
        <v>856</v>
      </c>
      <c r="ARY97" s="1675" t="s">
        <v>856</v>
      </c>
      <c r="ARZ97" s="1675" t="s">
        <v>856</v>
      </c>
      <c r="ASA97" s="1675" t="s">
        <v>856</v>
      </c>
      <c r="ASB97" s="1675" t="s">
        <v>856</v>
      </c>
      <c r="ASC97" s="1675" t="s">
        <v>856</v>
      </c>
      <c r="ASD97" s="1675" t="s">
        <v>856</v>
      </c>
      <c r="ASE97" s="1675" t="s">
        <v>856</v>
      </c>
      <c r="ASF97" s="1675" t="s">
        <v>856</v>
      </c>
      <c r="ASG97" s="1675" t="s">
        <v>856</v>
      </c>
      <c r="ASH97" s="1675" t="s">
        <v>856</v>
      </c>
      <c r="ASI97" s="1675" t="s">
        <v>856</v>
      </c>
      <c r="ASJ97" s="1675" t="s">
        <v>856</v>
      </c>
      <c r="ASK97" s="1675" t="s">
        <v>856</v>
      </c>
      <c r="ASL97" s="1675" t="s">
        <v>856</v>
      </c>
      <c r="ASM97" s="1675" t="s">
        <v>856</v>
      </c>
      <c r="ASN97" s="1675" t="s">
        <v>856</v>
      </c>
      <c r="ASO97" s="1675" t="s">
        <v>856</v>
      </c>
      <c r="ASP97" s="1675" t="s">
        <v>856</v>
      </c>
      <c r="ASQ97" s="1675" t="s">
        <v>856</v>
      </c>
      <c r="ASR97" s="1675" t="s">
        <v>856</v>
      </c>
      <c r="ASS97" s="1675" t="s">
        <v>856</v>
      </c>
      <c r="AST97" s="1675" t="s">
        <v>856</v>
      </c>
      <c r="ASU97" s="1675" t="s">
        <v>856</v>
      </c>
      <c r="ASV97" s="1675" t="s">
        <v>856</v>
      </c>
      <c r="ASW97" s="1675" t="s">
        <v>856</v>
      </c>
      <c r="ASX97" s="1675" t="s">
        <v>856</v>
      </c>
      <c r="ASY97" s="1675" t="s">
        <v>856</v>
      </c>
      <c r="ASZ97" s="1675" t="s">
        <v>856</v>
      </c>
      <c r="ATA97" s="1675" t="s">
        <v>856</v>
      </c>
      <c r="ATB97" s="1675" t="s">
        <v>856</v>
      </c>
      <c r="ATC97" s="1675" t="s">
        <v>856</v>
      </c>
      <c r="ATD97" s="1675" t="s">
        <v>856</v>
      </c>
      <c r="ATE97" s="1675" t="s">
        <v>856</v>
      </c>
      <c r="ATF97" s="1675" t="s">
        <v>856</v>
      </c>
      <c r="ATG97" s="1675" t="s">
        <v>856</v>
      </c>
      <c r="ATH97" s="1675" t="s">
        <v>856</v>
      </c>
      <c r="ATI97" s="1675" t="s">
        <v>856</v>
      </c>
      <c r="ATJ97" s="1675" t="s">
        <v>856</v>
      </c>
      <c r="ATK97" s="1675" t="s">
        <v>856</v>
      </c>
      <c r="ATL97" s="1675" t="s">
        <v>856</v>
      </c>
      <c r="ATM97" s="1675" t="s">
        <v>856</v>
      </c>
      <c r="ATN97" s="1675" t="s">
        <v>856</v>
      </c>
      <c r="ATO97" s="1675" t="s">
        <v>856</v>
      </c>
      <c r="ATP97" s="1675" t="s">
        <v>856</v>
      </c>
      <c r="ATQ97" s="1675" t="s">
        <v>856</v>
      </c>
      <c r="ATR97" s="1675" t="s">
        <v>856</v>
      </c>
      <c r="ATS97" s="1675" t="s">
        <v>856</v>
      </c>
      <c r="ATT97" s="1675" t="s">
        <v>856</v>
      </c>
      <c r="ATU97" s="1675" t="s">
        <v>856</v>
      </c>
      <c r="ATV97" s="1675" t="s">
        <v>856</v>
      </c>
      <c r="ATW97" s="1675" t="s">
        <v>856</v>
      </c>
      <c r="ATX97" s="1675" t="s">
        <v>856</v>
      </c>
      <c r="ATY97" s="1675" t="s">
        <v>856</v>
      </c>
      <c r="ATZ97" s="1675" t="s">
        <v>856</v>
      </c>
      <c r="AUA97" s="1675" t="s">
        <v>856</v>
      </c>
      <c r="AUB97" s="1675" t="s">
        <v>856</v>
      </c>
      <c r="AUC97" s="1675" t="s">
        <v>856</v>
      </c>
      <c r="AUD97" s="1675" t="s">
        <v>856</v>
      </c>
      <c r="AUE97" s="1675" t="s">
        <v>856</v>
      </c>
      <c r="AUF97" s="1675" t="s">
        <v>856</v>
      </c>
      <c r="AUG97" s="1675" t="s">
        <v>856</v>
      </c>
      <c r="AUH97" s="1675" t="s">
        <v>856</v>
      </c>
      <c r="AUI97" s="1675" t="s">
        <v>856</v>
      </c>
      <c r="AUJ97" s="1675" t="s">
        <v>856</v>
      </c>
      <c r="AUK97" s="1675" t="s">
        <v>856</v>
      </c>
      <c r="AUL97" s="1675" t="s">
        <v>856</v>
      </c>
      <c r="AUM97" s="1675" t="s">
        <v>856</v>
      </c>
      <c r="AUN97" s="1675" t="s">
        <v>856</v>
      </c>
      <c r="AUO97" s="1675" t="s">
        <v>856</v>
      </c>
      <c r="AUP97" s="1675" t="s">
        <v>856</v>
      </c>
      <c r="AUQ97" s="1675" t="s">
        <v>856</v>
      </c>
      <c r="AUR97" s="1675" t="s">
        <v>856</v>
      </c>
      <c r="AUS97" s="1675" t="s">
        <v>856</v>
      </c>
      <c r="AUT97" s="1675" t="s">
        <v>856</v>
      </c>
      <c r="AUU97" s="1675" t="s">
        <v>856</v>
      </c>
      <c r="AUV97" s="1675" t="s">
        <v>856</v>
      </c>
      <c r="AUW97" s="1675" t="s">
        <v>856</v>
      </c>
      <c r="AUX97" s="1675" t="s">
        <v>856</v>
      </c>
      <c r="AUY97" s="1675" t="s">
        <v>856</v>
      </c>
      <c r="AUZ97" s="1675" t="s">
        <v>856</v>
      </c>
      <c r="AVA97" s="1675" t="s">
        <v>856</v>
      </c>
      <c r="AVB97" s="1675" t="s">
        <v>856</v>
      </c>
      <c r="AVC97" s="1675" t="s">
        <v>856</v>
      </c>
      <c r="AVD97" s="1675" t="s">
        <v>856</v>
      </c>
      <c r="AVE97" s="1675" t="s">
        <v>856</v>
      </c>
      <c r="AVF97" s="1675" t="s">
        <v>856</v>
      </c>
      <c r="AVG97" s="1675" t="s">
        <v>856</v>
      </c>
      <c r="AVH97" s="1675" t="s">
        <v>856</v>
      </c>
      <c r="AVI97" s="1675" t="s">
        <v>856</v>
      </c>
      <c r="AVJ97" s="1675" t="s">
        <v>856</v>
      </c>
      <c r="AVK97" s="1675" t="s">
        <v>856</v>
      </c>
      <c r="AVL97" s="1675" t="s">
        <v>856</v>
      </c>
      <c r="AVM97" s="1675" t="s">
        <v>856</v>
      </c>
      <c r="AVN97" s="1675" t="s">
        <v>856</v>
      </c>
      <c r="AVO97" s="1675" t="s">
        <v>856</v>
      </c>
      <c r="AVP97" s="1675" t="s">
        <v>856</v>
      </c>
      <c r="AVQ97" s="1675" t="s">
        <v>856</v>
      </c>
      <c r="AVR97" s="1675" t="s">
        <v>856</v>
      </c>
      <c r="AVS97" s="1675" t="s">
        <v>856</v>
      </c>
      <c r="AVT97" s="1675" t="s">
        <v>856</v>
      </c>
      <c r="AVU97" s="1675" t="s">
        <v>856</v>
      </c>
      <c r="AVV97" s="1675" t="s">
        <v>856</v>
      </c>
      <c r="AVW97" s="1675" t="s">
        <v>856</v>
      </c>
      <c r="AVX97" s="1675" t="s">
        <v>856</v>
      </c>
      <c r="AVY97" s="1675" t="s">
        <v>856</v>
      </c>
      <c r="AVZ97" s="1675" t="s">
        <v>856</v>
      </c>
      <c r="AWA97" s="1675" t="s">
        <v>856</v>
      </c>
      <c r="AWB97" s="1675" t="s">
        <v>856</v>
      </c>
      <c r="AWC97" s="1675" t="s">
        <v>856</v>
      </c>
      <c r="AWD97" s="1675" t="s">
        <v>856</v>
      </c>
      <c r="AWE97" s="1675" t="s">
        <v>856</v>
      </c>
      <c r="AWF97" s="1675" t="s">
        <v>856</v>
      </c>
      <c r="AWG97" s="1675" t="s">
        <v>856</v>
      </c>
      <c r="AWH97" s="1675" t="s">
        <v>856</v>
      </c>
      <c r="AWI97" s="1675" t="s">
        <v>856</v>
      </c>
      <c r="AWJ97" s="1675" t="s">
        <v>856</v>
      </c>
      <c r="AWK97" s="1675" t="s">
        <v>856</v>
      </c>
      <c r="AWL97" s="1675" t="s">
        <v>856</v>
      </c>
      <c r="AWM97" s="1675" t="s">
        <v>856</v>
      </c>
      <c r="AWN97" s="1675" t="s">
        <v>856</v>
      </c>
      <c r="AWO97" s="1675" t="s">
        <v>856</v>
      </c>
      <c r="AWP97" s="1675" t="s">
        <v>856</v>
      </c>
      <c r="AWQ97" s="1675" t="s">
        <v>856</v>
      </c>
      <c r="AWR97" s="1675" t="s">
        <v>856</v>
      </c>
      <c r="AWS97" s="1675" t="s">
        <v>856</v>
      </c>
      <c r="AWT97" s="1675" t="s">
        <v>856</v>
      </c>
      <c r="AWU97" s="1675" t="s">
        <v>856</v>
      </c>
      <c r="AWV97" s="1675" t="s">
        <v>856</v>
      </c>
      <c r="AWW97" s="1675" t="s">
        <v>856</v>
      </c>
      <c r="AWX97" s="1675" t="s">
        <v>856</v>
      </c>
      <c r="AWY97" s="1675" t="s">
        <v>856</v>
      </c>
      <c r="AWZ97" s="1675" t="s">
        <v>856</v>
      </c>
      <c r="AXA97" s="1675" t="s">
        <v>856</v>
      </c>
      <c r="AXB97" s="1675" t="s">
        <v>856</v>
      </c>
      <c r="AXC97" s="1675" t="s">
        <v>856</v>
      </c>
      <c r="AXD97" s="1675" t="s">
        <v>856</v>
      </c>
      <c r="AXE97" s="1675" t="s">
        <v>856</v>
      </c>
      <c r="AXF97" s="1675" t="s">
        <v>856</v>
      </c>
      <c r="AXG97" s="1675" t="s">
        <v>856</v>
      </c>
      <c r="AXH97" s="1675" t="s">
        <v>856</v>
      </c>
      <c r="AXI97" s="1675" t="s">
        <v>856</v>
      </c>
      <c r="AXJ97" s="1675" t="s">
        <v>856</v>
      </c>
      <c r="AXK97" s="1675" t="s">
        <v>856</v>
      </c>
      <c r="AXL97" s="1675" t="s">
        <v>856</v>
      </c>
      <c r="AXM97" s="1675" t="s">
        <v>856</v>
      </c>
      <c r="AXN97" s="1675" t="s">
        <v>856</v>
      </c>
      <c r="AXO97" s="1675" t="s">
        <v>856</v>
      </c>
      <c r="AXP97" s="1675" t="s">
        <v>856</v>
      </c>
      <c r="AXQ97" s="1675" t="s">
        <v>856</v>
      </c>
      <c r="AXR97" s="1675" t="s">
        <v>856</v>
      </c>
      <c r="AXS97" s="1675" t="s">
        <v>856</v>
      </c>
      <c r="AXT97" s="1675" t="s">
        <v>856</v>
      </c>
      <c r="AXU97" s="1675" t="s">
        <v>856</v>
      </c>
      <c r="AXV97" s="1675" t="s">
        <v>856</v>
      </c>
      <c r="AXW97" s="1675" t="s">
        <v>856</v>
      </c>
      <c r="AXX97" s="1675" t="s">
        <v>856</v>
      </c>
      <c r="AXY97" s="1675" t="s">
        <v>856</v>
      </c>
      <c r="AXZ97" s="1675" t="s">
        <v>856</v>
      </c>
      <c r="AYA97" s="1675" t="s">
        <v>856</v>
      </c>
      <c r="AYB97" s="1675" t="s">
        <v>856</v>
      </c>
      <c r="AYC97" s="1675" t="s">
        <v>856</v>
      </c>
      <c r="AYD97" s="1675" t="s">
        <v>856</v>
      </c>
      <c r="AYE97" s="1675" t="s">
        <v>856</v>
      </c>
      <c r="AYF97" s="1675" t="s">
        <v>856</v>
      </c>
      <c r="AYG97" s="1675" t="s">
        <v>856</v>
      </c>
      <c r="AYH97" s="1675" t="s">
        <v>856</v>
      </c>
      <c r="AYI97" s="1675" t="s">
        <v>856</v>
      </c>
      <c r="AYJ97" s="1675" t="s">
        <v>856</v>
      </c>
      <c r="AYK97" s="1675" t="s">
        <v>856</v>
      </c>
      <c r="AYL97" s="1675" t="s">
        <v>856</v>
      </c>
      <c r="AYM97" s="1675" t="s">
        <v>856</v>
      </c>
      <c r="AYN97" s="1675" t="s">
        <v>856</v>
      </c>
      <c r="AYO97" s="1675" t="s">
        <v>856</v>
      </c>
      <c r="AYP97" s="1675" t="s">
        <v>856</v>
      </c>
      <c r="AYQ97" s="1675" t="s">
        <v>856</v>
      </c>
      <c r="AYR97" s="1675" t="s">
        <v>856</v>
      </c>
      <c r="AYS97" s="1675" t="s">
        <v>856</v>
      </c>
      <c r="AYT97" s="1675" t="s">
        <v>856</v>
      </c>
      <c r="AYU97" s="1675" t="s">
        <v>856</v>
      </c>
      <c r="AYV97" s="1675" t="s">
        <v>856</v>
      </c>
      <c r="AYW97" s="1675" t="s">
        <v>856</v>
      </c>
      <c r="AYX97" s="1675" t="s">
        <v>856</v>
      </c>
      <c r="AYY97" s="1675" t="s">
        <v>856</v>
      </c>
      <c r="AYZ97" s="1675" t="s">
        <v>856</v>
      </c>
      <c r="AZA97" s="1675" t="s">
        <v>856</v>
      </c>
      <c r="AZB97" s="1675" t="s">
        <v>856</v>
      </c>
      <c r="AZC97" s="1675" t="s">
        <v>856</v>
      </c>
      <c r="AZD97" s="1675" t="s">
        <v>856</v>
      </c>
      <c r="AZE97" s="1675" t="s">
        <v>856</v>
      </c>
      <c r="AZF97" s="1675" t="s">
        <v>856</v>
      </c>
      <c r="AZG97" s="1675" t="s">
        <v>856</v>
      </c>
      <c r="AZH97" s="1675" t="s">
        <v>856</v>
      </c>
      <c r="AZI97" s="1675" t="s">
        <v>856</v>
      </c>
      <c r="AZJ97" s="1675" t="s">
        <v>856</v>
      </c>
      <c r="AZK97" s="1675" t="s">
        <v>856</v>
      </c>
      <c r="AZL97" s="1675" t="s">
        <v>856</v>
      </c>
      <c r="AZM97" s="1675" t="s">
        <v>856</v>
      </c>
      <c r="AZN97" s="1675" t="s">
        <v>856</v>
      </c>
      <c r="AZO97" s="1675" t="s">
        <v>856</v>
      </c>
      <c r="AZP97" s="1675" t="s">
        <v>856</v>
      </c>
      <c r="AZQ97" s="1675" t="s">
        <v>856</v>
      </c>
      <c r="AZR97" s="1675" t="s">
        <v>856</v>
      </c>
      <c r="AZS97" s="1675" t="s">
        <v>856</v>
      </c>
      <c r="AZT97" s="1675" t="s">
        <v>856</v>
      </c>
      <c r="AZU97" s="1675" t="s">
        <v>856</v>
      </c>
      <c r="AZV97" s="1675" t="s">
        <v>856</v>
      </c>
      <c r="AZW97" s="1675" t="s">
        <v>856</v>
      </c>
      <c r="AZX97" s="1675" t="s">
        <v>856</v>
      </c>
      <c r="AZY97" s="1675" t="s">
        <v>856</v>
      </c>
      <c r="AZZ97" s="1675" t="s">
        <v>856</v>
      </c>
      <c r="BAA97" s="1675" t="s">
        <v>856</v>
      </c>
      <c r="BAB97" s="1675" t="s">
        <v>856</v>
      </c>
      <c r="BAC97" s="1675" t="s">
        <v>856</v>
      </c>
      <c r="BAD97" s="1675" t="s">
        <v>856</v>
      </c>
      <c r="BAE97" s="1675" t="s">
        <v>856</v>
      </c>
      <c r="BAF97" s="1675" t="s">
        <v>856</v>
      </c>
      <c r="BAG97" s="1675" t="s">
        <v>856</v>
      </c>
      <c r="BAH97" s="1675" t="s">
        <v>856</v>
      </c>
      <c r="BAI97" s="1675" t="s">
        <v>856</v>
      </c>
      <c r="BAJ97" s="1675" t="s">
        <v>856</v>
      </c>
      <c r="BAK97" s="1675" t="s">
        <v>856</v>
      </c>
      <c r="BAL97" s="1675" t="s">
        <v>856</v>
      </c>
      <c r="BAM97" s="1675" t="s">
        <v>856</v>
      </c>
      <c r="BAN97" s="1675" t="s">
        <v>856</v>
      </c>
      <c r="BAO97" s="1675" t="s">
        <v>856</v>
      </c>
      <c r="BAP97" s="1675" t="s">
        <v>856</v>
      </c>
      <c r="BAQ97" s="1675" t="s">
        <v>856</v>
      </c>
      <c r="BAR97" s="1675" t="s">
        <v>856</v>
      </c>
      <c r="BAS97" s="1675" t="s">
        <v>856</v>
      </c>
      <c r="BAT97" s="1675" t="s">
        <v>856</v>
      </c>
      <c r="BAU97" s="1675" t="s">
        <v>856</v>
      </c>
      <c r="BAV97" s="1675" t="s">
        <v>856</v>
      </c>
      <c r="BAW97" s="1675" t="s">
        <v>856</v>
      </c>
      <c r="BAX97" s="1675" t="s">
        <v>856</v>
      </c>
      <c r="BAY97" s="1675" t="s">
        <v>856</v>
      </c>
      <c r="BAZ97" s="1675" t="s">
        <v>856</v>
      </c>
      <c r="BBA97" s="1675" t="s">
        <v>856</v>
      </c>
      <c r="BBB97" s="1675" t="s">
        <v>856</v>
      </c>
      <c r="BBC97" s="1675" t="s">
        <v>856</v>
      </c>
      <c r="BBD97" s="1675" t="s">
        <v>856</v>
      </c>
      <c r="BBE97" s="1675" t="s">
        <v>856</v>
      </c>
      <c r="BBF97" s="1675" t="s">
        <v>856</v>
      </c>
      <c r="BBG97" s="1675" t="s">
        <v>856</v>
      </c>
      <c r="BBH97" s="1675" t="s">
        <v>856</v>
      </c>
      <c r="BBI97" s="1675" t="s">
        <v>856</v>
      </c>
      <c r="BBJ97" s="1675" t="s">
        <v>856</v>
      </c>
      <c r="BBK97" s="1675" t="s">
        <v>856</v>
      </c>
      <c r="BBL97" s="1675" t="s">
        <v>856</v>
      </c>
      <c r="BBM97" s="1675" t="s">
        <v>856</v>
      </c>
      <c r="BBN97" s="1675" t="s">
        <v>856</v>
      </c>
      <c r="BBO97" s="1675" t="s">
        <v>856</v>
      </c>
      <c r="BBP97" s="1675" t="s">
        <v>856</v>
      </c>
      <c r="BBQ97" s="1675" t="s">
        <v>856</v>
      </c>
      <c r="BBR97" s="1675" t="s">
        <v>856</v>
      </c>
      <c r="BBS97" s="1675" t="s">
        <v>856</v>
      </c>
      <c r="BBT97" s="1675" t="s">
        <v>856</v>
      </c>
      <c r="BBU97" s="1675" t="s">
        <v>856</v>
      </c>
      <c r="BBV97" s="1675" t="s">
        <v>856</v>
      </c>
      <c r="BBW97" s="1675" t="s">
        <v>856</v>
      </c>
      <c r="BBX97" s="1675" t="s">
        <v>856</v>
      </c>
      <c r="BBY97" s="1675" t="s">
        <v>856</v>
      </c>
      <c r="BBZ97" s="1675" t="s">
        <v>856</v>
      </c>
      <c r="BCA97" s="1675" t="s">
        <v>856</v>
      </c>
      <c r="BCB97" s="1675" t="s">
        <v>856</v>
      </c>
      <c r="BCC97" s="1675" t="s">
        <v>856</v>
      </c>
      <c r="BCD97" s="1675" t="s">
        <v>856</v>
      </c>
      <c r="BCE97" s="1675" t="s">
        <v>856</v>
      </c>
      <c r="BCF97" s="1675" t="s">
        <v>856</v>
      </c>
      <c r="BCG97" s="1675" t="s">
        <v>856</v>
      </c>
      <c r="BCH97" s="1675" t="s">
        <v>856</v>
      </c>
      <c r="BCI97" s="1675" t="s">
        <v>856</v>
      </c>
      <c r="BCJ97" s="1675" t="s">
        <v>856</v>
      </c>
      <c r="BCK97" s="1675" t="s">
        <v>856</v>
      </c>
      <c r="BCL97" s="1675" t="s">
        <v>856</v>
      </c>
      <c r="BCM97" s="1675" t="s">
        <v>856</v>
      </c>
      <c r="BCN97" s="1675" t="s">
        <v>856</v>
      </c>
      <c r="BCO97" s="1675" t="s">
        <v>856</v>
      </c>
      <c r="BCP97" s="1675" t="s">
        <v>856</v>
      </c>
      <c r="BCQ97" s="1675" t="s">
        <v>856</v>
      </c>
      <c r="BCR97" s="1675" t="s">
        <v>856</v>
      </c>
      <c r="BCS97" s="1675" t="s">
        <v>856</v>
      </c>
      <c r="BCT97" s="1675" t="s">
        <v>856</v>
      </c>
      <c r="BCU97" s="1675" t="s">
        <v>856</v>
      </c>
      <c r="BCV97" s="1675" t="s">
        <v>856</v>
      </c>
      <c r="BCW97" s="1675" t="s">
        <v>856</v>
      </c>
      <c r="BCX97" s="1675" t="s">
        <v>856</v>
      </c>
      <c r="BCY97" s="1675" t="s">
        <v>856</v>
      </c>
      <c r="BCZ97" s="1675" t="s">
        <v>856</v>
      </c>
      <c r="BDA97" s="1675" t="s">
        <v>856</v>
      </c>
      <c r="BDB97" s="1675" t="s">
        <v>856</v>
      </c>
      <c r="BDC97" s="1675" t="s">
        <v>856</v>
      </c>
      <c r="BDD97" s="1675" t="s">
        <v>856</v>
      </c>
      <c r="BDE97" s="1675" t="s">
        <v>856</v>
      </c>
      <c r="BDF97" s="1675" t="s">
        <v>856</v>
      </c>
      <c r="BDG97" s="1675" t="s">
        <v>856</v>
      </c>
      <c r="BDH97" s="1675" t="s">
        <v>856</v>
      </c>
      <c r="BDI97" s="1675" t="s">
        <v>856</v>
      </c>
      <c r="BDJ97" s="1675" t="s">
        <v>856</v>
      </c>
      <c r="BDK97" s="1675" t="s">
        <v>856</v>
      </c>
      <c r="BDL97" s="1675" t="s">
        <v>856</v>
      </c>
      <c r="BDM97" s="1675" t="s">
        <v>856</v>
      </c>
      <c r="BDN97" s="1675" t="s">
        <v>856</v>
      </c>
      <c r="BDO97" s="1675" t="s">
        <v>856</v>
      </c>
      <c r="BDP97" s="1675" t="s">
        <v>856</v>
      </c>
      <c r="BDQ97" s="1675" t="s">
        <v>856</v>
      </c>
      <c r="BDR97" s="1675" t="s">
        <v>856</v>
      </c>
      <c r="BDS97" s="1675" t="s">
        <v>856</v>
      </c>
      <c r="BDT97" s="1675" t="s">
        <v>856</v>
      </c>
      <c r="BDU97" s="1675" t="s">
        <v>856</v>
      </c>
      <c r="BDV97" s="1675" t="s">
        <v>856</v>
      </c>
      <c r="BDW97" s="1675" t="s">
        <v>856</v>
      </c>
      <c r="BDX97" s="1675" t="s">
        <v>856</v>
      </c>
      <c r="BDY97" s="1675" t="s">
        <v>856</v>
      </c>
      <c r="BDZ97" s="1675" t="s">
        <v>856</v>
      </c>
      <c r="BEA97" s="1675" t="s">
        <v>856</v>
      </c>
      <c r="BEB97" s="1675" t="s">
        <v>856</v>
      </c>
      <c r="BEC97" s="1675" t="s">
        <v>856</v>
      </c>
      <c r="BED97" s="1675" t="s">
        <v>856</v>
      </c>
      <c r="BEE97" s="1675" t="s">
        <v>856</v>
      </c>
      <c r="BEF97" s="1675" t="s">
        <v>856</v>
      </c>
      <c r="BEG97" s="1675" t="s">
        <v>856</v>
      </c>
      <c r="BEH97" s="1675" t="s">
        <v>856</v>
      </c>
      <c r="BEI97" s="1675" t="s">
        <v>856</v>
      </c>
      <c r="BEJ97" s="1675" t="s">
        <v>856</v>
      </c>
      <c r="BEK97" s="1675" t="s">
        <v>856</v>
      </c>
      <c r="BEL97" s="1675" t="s">
        <v>856</v>
      </c>
      <c r="BEM97" s="1675" t="s">
        <v>856</v>
      </c>
      <c r="BEN97" s="1675" t="s">
        <v>856</v>
      </c>
      <c r="BEO97" s="1675" t="s">
        <v>856</v>
      </c>
      <c r="BEP97" s="1675" t="s">
        <v>856</v>
      </c>
      <c r="BEQ97" s="1675" t="s">
        <v>856</v>
      </c>
      <c r="BER97" s="1675" t="s">
        <v>856</v>
      </c>
      <c r="BES97" s="1675" t="s">
        <v>856</v>
      </c>
      <c r="BET97" s="1675" t="s">
        <v>856</v>
      </c>
      <c r="BEU97" s="1675" t="s">
        <v>856</v>
      </c>
      <c r="BEV97" s="1675" t="s">
        <v>856</v>
      </c>
      <c r="BEW97" s="1675" t="s">
        <v>856</v>
      </c>
      <c r="BEX97" s="1675" t="s">
        <v>856</v>
      </c>
      <c r="BEY97" s="1675" t="s">
        <v>856</v>
      </c>
      <c r="BEZ97" s="1675" t="s">
        <v>856</v>
      </c>
      <c r="BFA97" s="1675" t="s">
        <v>856</v>
      </c>
      <c r="BFB97" s="1675" t="s">
        <v>856</v>
      </c>
      <c r="BFC97" s="1675" t="s">
        <v>856</v>
      </c>
      <c r="BFD97" s="1675" t="s">
        <v>856</v>
      </c>
      <c r="BFE97" s="1675" t="s">
        <v>856</v>
      </c>
      <c r="BFF97" s="1675" t="s">
        <v>856</v>
      </c>
      <c r="BFG97" s="1675" t="s">
        <v>856</v>
      </c>
      <c r="BFH97" s="1675" t="s">
        <v>856</v>
      </c>
      <c r="BFI97" s="1675" t="s">
        <v>856</v>
      </c>
      <c r="BFJ97" s="1675" t="s">
        <v>856</v>
      </c>
      <c r="BFK97" s="1675" t="s">
        <v>856</v>
      </c>
      <c r="BFL97" s="1675" t="s">
        <v>856</v>
      </c>
      <c r="BFM97" s="1675" t="s">
        <v>856</v>
      </c>
      <c r="BFN97" s="1675" t="s">
        <v>856</v>
      </c>
      <c r="BFO97" s="1675" t="s">
        <v>856</v>
      </c>
      <c r="BFP97" s="1675" t="s">
        <v>856</v>
      </c>
      <c r="BFQ97" s="1675" t="s">
        <v>856</v>
      </c>
      <c r="BFR97" s="1675" t="s">
        <v>856</v>
      </c>
      <c r="BFS97" s="1675" t="s">
        <v>856</v>
      </c>
      <c r="BFT97" s="1675" t="s">
        <v>856</v>
      </c>
      <c r="BFU97" s="1675" t="s">
        <v>856</v>
      </c>
      <c r="BFV97" s="1675" t="s">
        <v>856</v>
      </c>
      <c r="BFW97" s="1675" t="s">
        <v>856</v>
      </c>
      <c r="BFX97" s="1675" t="s">
        <v>856</v>
      </c>
      <c r="BFY97" s="1675" t="s">
        <v>856</v>
      </c>
      <c r="BFZ97" s="1675" t="s">
        <v>856</v>
      </c>
      <c r="BGA97" s="1675" t="s">
        <v>856</v>
      </c>
      <c r="BGB97" s="1675" t="s">
        <v>856</v>
      </c>
      <c r="BGC97" s="1675" t="s">
        <v>856</v>
      </c>
      <c r="BGD97" s="1675" t="s">
        <v>856</v>
      </c>
      <c r="BGE97" s="1675" t="s">
        <v>856</v>
      </c>
      <c r="BGF97" s="1675" t="s">
        <v>856</v>
      </c>
      <c r="BGG97" s="1675" t="s">
        <v>856</v>
      </c>
      <c r="BGH97" s="1675" t="s">
        <v>856</v>
      </c>
      <c r="BGI97" s="1675" t="s">
        <v>856</v>
      </c>
      <c r="BGJ97" s="1675" t="s">
        <v>856</v>
      </c>
      <c r="BGK97" s="1675" t="s">
        <v>856</v>
      </c>
      <c r="BGL97" s="1675" t="s">
        <v>856</v>
      </c>
      <c r="BGM97" s="1675" t="s">
        <v>856</v>
      </c>
      <c r="BGN97" s="1675" t="s">
        <v>856</v>
      </c>
      <c r="BGO97" s="1675" t="s">
        <v>856</v>
      </c>
      <c r="BGP97" s="1675" t="s">
        <v>856</v>
      </c>
      <c r="BGQ97" s="1675" t="s">
        <v>856</v>
      </c>
      <c r="BGR97" s="1675" t="s">
        <v>856</v>
      </c>
      <c r="BGS97" s="1675" t="s">
        <v>856</v>
      </c>
      <c r="BGT97" s="1675" t="s">
        <v>856</v>
      </c>
      <c r="BGU97" s="1675" t="s">
        <v>856</v>
      </c>
      <c r="BGV97" s="1675" t="s">
        <v>856</v>
      </c>
      <c r="BGW97" s="1675" t="s">
        <v>856</v>
      </c>
      <c r="BGX97" s="1675" t="s">
        <v>856</v>
      </c>
      <c r="BGY97" s="1675" t="s">
        <v>856</v>
      </c>
      <c r="BGZ97" s="1675" t="s">
        <v>856</v>
      </c>
      <c r="BHA97" s="1675" t="s">
        <v>856</v>
      </c>
      <c r="BHB97" s="1675" t="s">
        <v>856</v>
      </c>
      <c r="BHC97" s="1675" t="s">
        <v>856</v>
      </c>
      <c r="BHD97" s="1675" t="s">
        <v>856</v>
      </c>
      <c r="BHE97" s="1675" t="s">
        <v>856</v>
      </c>
      <c r="BHF97" s="1675" t="s">
        <v>856</v>
      </c>
      <c r="BHG97" s="1675" t="s">
        <v>856</v>
      </c>
      <c r="BHH97" s="1675" t="s">
        <v>856</v>
      </c>
      <c r="BHI97" s="1675" t="s">
        <v>856</v>
      </c>
      <c r="BHJ97" s="1675" t="s">
        <v>856</v>
      </c>
      <c r="BHK97" s="1675" t="s">
        <v>856</v>
      </c>
      <c r="BHL97" s="1675" t="s">
        <v>856</v>
      </c>
      <c r="BHM97" s="1675" t="s">
        <v>856</v>
      </c>
      <c r="BHN97" s="1675" t="s">
        <v>856</v>
      </c>
      <c r="BHO97" s="1675" t="s">
        <v>856</v>
      </c>
      <c r="BHP97" s="1675" t="s">
        <v>856</v>
      </c>
      <c r="BHQ97" s="1675" t="s">
        <v>856</v>
      </c>
      <c r="BHR97" s="1675" t="s">
        <v>856</v>
      </c>
      <c r="BHS97" s="1675" t="s">
        <v>856</v>
      </c>
      <c r="BHT97" s="1675" t="s">
        <v>856</v>
      </c>
      <c r="BHU97" s="1675" t="s">
        <v>856</v>
      </c>
      <c r="BHV97" s="1675" t="s">
        <v>856</v>
      </c>
      <c r="BHW97" s="1675" t="s">
        <v>856</v>
      </c>
      <c r="BHX97" s="1675" t="s">
        <v>856</v>
      </c>
      <c r="BHY97" s="1675" t="s">
        <v>856</v>
      </c>
      <c r="BHZ97" s="1675" t="s">
        <v>856</v>
      </c>
      <c r="BIA97" s="1675" t="s">
        <v>856</v>
      </c>
      <c r="BIB97" s="1675" t="s">
        <v>856</v>
      </c>
      <c r="BIC97" s="1675" t="s">
        <v>856</v>
      </c>
      <c r="BID97" s="1675" t="s">
        <v>856</v>
      </c>
      <c r="BIE97" s="1675" t="s">
        <v>856</v>
      </c>
      <c r="BIF97" s="1675" t="s">
        <v>856</v>
      </c>
      <c r="BIG97" s="1675" t="s">
        <v>856</v>
      </c>
      <c r="BIH97" s="1675" t="s">
        <v>856</v>
      </c>
      <c r="BII97" s="1675" t="s">
        <v>856</v>
      </c>
      <c r="BIJ97" s="1675" t="s">
        <v>856</v>
      </c>
      <c r="BIK97" s="1675" t="s">
        <v>856</v>
      </c>
      <c r="BIL97" s="1675" t="s">
        <v>856</v>
      </c>
      <c r="BIM97" s="1675" t="s">
        <v>856</v>
      </c>
      <c r="BIN97" s="1675" t="s">
        <v>856</v>
      </c>
      <c r="BIO97" s="1675" t="s">
        <v>856</v>
      </c>
      <c r="BIP97" s="1675" t="s">
        <v>856</v>
      </c>
      <c r="BIQ97" s="1675" t="s">
        <v>856</v>
      </c>
      <c r="BIR97" s="1675" t="s">
        <v>856</v>
      </c>
      <c r="BIS97" s="1675" t="s">
        <v>856</v>
      </c>
      <c r="BIT97" s="1675" t="s">
        <v>856</v>
      </c>
      <c r="BIU97" s="1675" t="s">
        <v>856</v>
      </c>
      <c r="BIV97" s="1675" t="s">
        <v>856</v>
      </c>
      <c r="BIW97" s="1675" t="s">
        <v>856</v>
      </c>
      <c r="BIX97" s="1675" t="s">
        <v>856</v>
      </c>
      <c r="BIY97" s="1675" t="s">
        <v>856</v>
      </c>
      <c r="BIZ97" s="1675" t="s">
        <v>856</v>
      </c>
      <c r="BJA97" s="1675" t="s">
        <v>856</v>
      </c>
      <c r="BJB97" s="1675" t="s">
        <v>856</v>
      </c>
      <c r="BJC97" s="1675" t="s">
        <v>856</v>
      </c>
      <c r="BJD97" s="1675" t="s">
        <v>856</v>
      </c>
      <c r="BJE97" s="1675" t="s">
        <v>856</v>
      </c>
      <c r="BJF97" s="1675" t="s">
        <v>856</v>
      </c>
      <c r="BJG97" s="1675" t="s">
        <v>856</v>
      </c>
      <c r="BJH97" s="1675" t="s">
        <v>856</v>
      </c>
      <c r="BJI97" s="1675" t="s">
        <v>856</v>
      </c>
      <c r="BJJ97" s="1675" t="s">
        <v>856</v>
      </c>
      <c r="BJK97" s="1675" t="s">
        <v>856</v>
      </c>
      <c r="BJL97" s="1675" t="s">
        <v>856</v>
      </c>
      <c r="BJM97" s="1675" t="s">
        <v>856</v>
      </c>
      <c r="BJN97" s="1675" t="s">
        <v>856</v>
      </c>
      <c r="BJO97" s="1675" t="s">
        <v>856</v>
      </c>
      <c r="BJP97" s="1675" t="s">
        <v>856</v>
      </c>
      <c r="BJQ97" s="1675" t="s">
        <v>856</v>
      </c>
      <c r="BJR97" s="1675" t="s">
        <v>856</v>
      </c>
      <c r="BJS97" s="1675" t="s">
        <v>856</v>
      </c>
      <c r="BJT97" s="1675" t="s">
        <v>856</v>
      </c>
      <c r="BJU97" s="1675" t="s">
        <v>856</v>
      </c>
      <c r="BJV97" s="1675" t="s">
        <v>856</v>
      </c>
      <c r="BJW97" s="1675" t="s">
        <v>856</v>
      </c>
      <c r="BJX97" s="1675" t="s">
        <v>856</v>
      </c>
      <c r="BJY97" s="1675" t="s">
        <v>856</v>
      </c>
      <c r="BJZ97" s="1675" t="s">
        <v>856</v>
      </c>
      <c r="BKA97" s="1675" t="s">
        <v>856</v>
      </c>
      <c r="BKB97" s="1675" t="s">
        <v>856</v>
      </c>
      <c r="BKC97" s="1675" t="s">
        <v>856</v>
      </c>
      <c r="BKD97" s="1675" t="s">
        <v>856</v>
      </c>
      <c r="BKE97" s="1675" t="s">
        <v>856</v>
      </c>
      <c r="BKF97" s="1675" t="s">
        <v>856</v>
      </c>
      <c r="BKG97" s="1675" t="s">
        <v>856</v>
      </c>
      <c r="BKH97" s="1675" t="s">
        <v>856</v>
      </c>
      <c r="BKI97" s="1675" t="s">
        <v>856</v>
      </c>
      <c r="BKJ97" s="1675" t="s">
        <v>856</v>
      </c>
      <c r="BKK97" s="1675" t="s">
        <v>856</v>
      </c>
      <c r="BKL97" s="1675" t="s">
        <v>856</v>
      </c>
      <c r="BKM97" s="1675" t="s">
        <v>856</v>
      </c>
      <c r="BKN97" s="1675" t="s">
        <v>856</v>
      </c>
      <c r="BKO97" s="1675" t="s">
        <v>856</v>
      </c>
      <c r="BKP97" s="1675" t="s">
        <v>856</v>
      </c>
      <c r="BKQ97" s="1675" t="s">
        <v>856</v>
      </c>
      <c r="BKR97" s="1675" t="s">
        <v>856</v>
      </c>
      <c r="BKS97" s="1675" t="s">
        <v>856</v>
      </c>
      <c r="BKT97" s="1675" t="s">
        <v>856</v>
      </c>
      <c r="BKU97" s="1675" t="s">
        <v>856</v>
      </c>
      <c r="BKV97" s="1675" t="s">
        <v>856</v>
      </c>
      <c r="BKW97" s="1675" t="s">
        <v>856</v>
      </c>
      <c r="BKX97" s="1675" t="s">
        <v>856</v>
      </c>
      <c r="BKY97" s="1675" t="s">
        <v>856</v>
      </c>
      <c r="BKZ97" s="1675" t="s">
        <v>856</v>
      </c>
      <c r="BLA97" s="1675" t="s">
        <v>856</v>
      </c>
      <c r="BLB97" s="1675" t="s">
        <v>856</v>
      </c>
      <c r="BLC97" s="1675" t="s">
        <v>856</v>
      </c>
      <c r="BLD97" s="1675" t="s">
        <v>856</v>
      </c>
      <c r="BLE97" s="1675" t="s">
        <v>856</v>
      </c>
      <c r="BLF97" s="1675" t="s">
        <v>856</v>
      </c>
      <c r="BLG97" s="1675" t="s">
        <v>856</v>
      </c>
      <c r="BLH97" s="1675" t="s">
        <v>856</v>
      </c>
      <c r="BLI97" s="1675" t="s">
        <v>856</v>
      </c>
      <c r="BLJ97" s="1675" t="s">
        <v>856</v>
      </c>
      <c r="BLK97" s="1675" t="s">
        <v>856</v>
      </c>
      <c r="BLL97" s="1675" t="s">
        <v>856</v>
      </c>
      <c r="BLM97" s="1675" t="s">
        <v>856</v>
      </c>
      <c r="BLN97" s="1675" t="s">
        <v>856</v>
      </c>
      <c r="BLO97" s="1675" t="s">
        <v>856</v>
      </c>
      <c r="BLP97" s="1675" t="s">
        <v>856</v>
      </c>
      <c r="BLQ97" s="1675" t="s">
        <v>856</v>
      </c>
      <c r="BLR97" s="1675" t="s">
        <v>856</v>
      </c>
      <c r="BLS97" s="1675" t="s">
        <v>856</v>
      </c>
      <c r="BLT97" s="1675" t="s">
        <v>856</v>
      </c>
      <c r="BLU97" s="1675" t="s">
        <v>856</v>
      </c>
      <c r="BLV97" s="1675" t="s">
        <v>856</v>
      </c>
      <c r="BLW97" s="1675" t="s">
        <v>856</v>
      </c>
      <c r="BLX97" s="1675" t="s">
        <v>856</v>
      </c>
      <c r="BLY97" s="1675" t="s">
        <v>856</v>
      </c>
      <c r="BLZ97" s="1675" t="s">
        <v>856</v>
      </c>
      <c r="BMA97" s="1675" t="s">
        <v>856</v>
      </c>
      <c r="BMB97" s="1675" t="s">
        <v>856</v>
      </c>
      <c r="BMC97" s="1675" t="s">
        <v>856</v>
      </c>
      <c r="BMD97" s="1675" t="s">
        <v>856</v>
      </c>
      <c r="BME97" s="1675" t="s">
        <v>856</v>
      </c>
      <c r="BMF97" s="1675" t="s">
        <v>856</v>
      </c>
      <c r="BMG97" s="1675" t="s">
        <v>856</v>
      </c>
      <c r="BMH97" s="1675" t="s">
        <v>856</v>
      </c>
      <c r="BMI97" s="1675" t="s">
        <v>856</v>
      </c>
      <c r="BMJ97" s="1675" t="s">
        <v>856</v>
      </c>
      <c r="BMK97" s="1675" t="s">
        <v>856</v>
      </c>
      <c r="BML97" s="1675" t="s">
        <v>856</v>
      </c>
      <c r="BMM97" s="1675" t="s">
        <v>856</v>
      </c>
      <c r="BMN97" s="1675" t="s">
        <v>856</v>
      </c>
      <c r="BMO97" s="1675" t="s">
        <v>856</v>
      </c>
      <c r="BMP97" s="1675" t="s">
        <v>856</v>
      </c>
      <c r="BMQ97" s="1675" t="s">
        <v>856</v>
      </c>
      <c r="BMR97" s="1675" t="s">
        <v>856</v>
      </c>
      <c r="BMS97" s="1675" t="s">
        <v>856</v>
      </c>
      <c r="BMT97" s="1675" t="s">
        <v>856</v>
      </c>
      <c r="BMU97" s="1675" t="s">
        <v>856</v>
      </c>
      <c r="BMV97" s="1675" t="s">
        <v>856</v>
      </c>
      <c r="BMW97" s="1675" t="s">
        <v>856</v>
      </c>
      <c r="BMX97" s="1675" t="s">
        <v>856</v>
      </c>
      <c r="BMY97" s="1675" t="s">
        <v>856</v>
      </c>
      <c r="BMZ97" s="1675" t="s">
        <v>856</v>
      </c>
      <c r="BNA97" s="1675" t="s">
        <v>856</v>
      </c>
      <c r="BNB97" s="1675" t="s">
        <v>856</v>
      </c>
      <c r="BNC97" s="1675" t="s">
        <v>856</v>
      </c>
      <c r="BND97" s="1675" t="s">
        <v>856</v>
      </c>
      <c r="BNE97" s="1675" t="s">
        <v>856</v>
      </c>
      <c r="BNF97" s="1675" t="s">
        <v>856</v>
      </c>
      <c r="BNG97" s="1675" t="s">
        <v>856</v>
      </c>
      <c r="BNH97" s="1675" t="s">
        <v>856</v>
      </c>
      <c r="BNI97" s="1675" t="s">
        <v>856</v>
      </c>
      <c r="BNJ97" s="1675" t="s">
        <v>856</v>
      </c>
      <c r="BNK97" s="1675" t="s">
        <v>856</v>
      </c>
      <c r="BNL97" s="1675" t="s">
        <v>856</v>
      </c>
      <c r="BNM97" s="1675" t="s">
        <v>856</v>
      </c>
      <c r="BNN97" s="1675" t="s">
        <v>856</v>
      </c>
      <c r="BNO97" s="1675" t="s">
        <v>856</v>
      </c>
      <c r="BNP97" s="1675" t="s">
        <v>856</v>
      </c>
      <c r="BNQ97" s="1675" t="s">
        <v>856</v>
      </c>
      <c r="BNR97" s="1675" t="s">
        <v>856</v>
      </c>
      <c r="BNS97" s="1675" t="s">
        <v>856</v>
      </c>
      <c r="BNT97" s="1675" t="s">
        <v>856</v>
      </c>
      <c r="BNU97" s="1675" t="s">
        <v>856</v>
      </c>
      <c r="BNV97" s="1675" t="s">
        <v>856</v>
      </c>
      <c r="BNW97" s="1675" t="s">
        <v>856</v>
      </c>
      <c r="BNX97" s="1675" t="s">
        <v>856</v>
      </c>
      <c r="BNY97" s="1675" t="s">
        <v>856</v>
      </c>
      <c r="BNZ97" s="1675" t="s">
        <v>856</v>
      </c>
      <c r="BOA97" s="1675" t="s">
        <v>856</v>
      </c>
      <c r="BOB97" s="1675" t="s">
        <v>856</v>
      </c>
      <c r="BOC97" s="1675" t="s">
        <v>856</v>
      </c>
      <c r="BOD97" s="1675" t="s">
        <v>856</v>
      </c>
      <c r="BOE97" s="1675" t="s">
        <v>856</v>
      </c>
      <c r="BOF97" s="1675" t="s">
        <v>856</v>
      </c>
      <c r="BOG97" s="1675" t="s">
        <v>856</v>
      </c>
      <c r="BOH97" s="1675" t="s">
        <v>856</v>
      </c>
      <c r="BOI97" s="1675" t="s">
        <v>856</v>
      </c>
      <c r="BOJ97" s="1675" t="s">
        <v>856</v>
      </c>
      <c r="BOK97" s="1675" t="s">
        <v>856</v>
      </c>
      <c r="BOL97" s="1675" t="s">
        <v>856</v>
      </c>
      <c r="BOM97" s="1675" t="s">
        <v>856</v>
      </c>
      <c r="BON97" s="1675" t="s">
        <v>856</v>
      </c>
      <c r="BOO97" s="1675" t="s">
        <v>856</v>
      </c>
      <c r="BOP97" s="1675" t="s">
        <v>856</v>
      </c>
      <c r="BOQ97" s="1675" t="s">
        <v>856</v>
      </c>
      <c r="BOR97" s="1675" t="s">
        <v>856</v>
      </c>
      <c r="BOS97" s="1675" t="s">
        <v>856</v>
      </c>
      <c r="BOT97" s="1675" t="s">
        <v>856</v>
      </c>
      <c r="BOU97" s="1675" t="s">
        <v>856</v>
      </c>
      <c r="BOV97" s="1675" t="s">
        <v>856</v>
      </c>
      <c r="BOW97" s="1675" t="s">
        <v>856</v>
      </c>
      <c r="BOX97" s="1675" t="s">
        <v>856</v>
      </c>
      <c r="BOY97" s="1675" t="s">
        <v>856</v>
      </c>
      <c r="BOZ97" s="1675" t="s">
        <v>856</v>
      </c>
      <c r="BPA97" s="1675" t="s">
        <v>856</v>
      </c>
      <c r="BPB97" s="1675" t="s">
        <v>856</v>
      </c>
      <c r="BPC97" s="1675" t="s">
        <v>856</v>
      </c>
      <c r="BPD97" s="1675" t="s">
        <v>856</v>
      </c>
      <c r="BPE97" s="1675" t="s">
        <v>856</v>
      </c>
      <c r="BPF97" s="1675" t="s">
        <v>856</v>
      </c>
      <c r="BPG97" s="1675" t="s">
        <v>856</v>
      </c>
      <c r="BPH97" s="1675" t="s">
        <v>856</v>
      </c>
      <c r="BPI97" s="1675" t="s">
        <v>856</v>
      </c>
      <c r="BPJ97" s="1675" t="s">
        <v>856</v>
      </c>
      <c r="BPK97" s="1675" t="s">
        <v>856</v>
      </c>
      <c r="BPL97" s="1675" t="s">
        <v>856</v>
      </c>
      <c r="BPM97" s="1675" t="s">
        <v>856</v>
      </c>
      <c r="BPN97" s="1675" t="s">
        <v>856</v>
      </c>
      <c r="BPO97" s="1675" t="s">
        <v>856</v>
      </c>
      <c r="BPP97" s="1675" t="s">
        <v>856</v>
      </c>
      <c r="BPQ97" s="1675" t="s">
        <v>856</v>
      </c>
      <c r="BPR97" s="1675" t="s">
        <v>856</v>
      </c>
      <c r="BPS97" s="1675" t="s">
        <v>856</v>
      </c>
      <c r="BPT97" s="1675" t="s">
        <v>856</v>
      </c>
      <c r="BPU97" s="1675" t="s">
        <v>856</v>
      </c>
      <c r="BPV97" s="1675" t="s">
        <v>856</v>
      </c>
      <c r="BPW97" s="1675" t="s">
        <v>856</v>
      </c>
      <c r="BPX97" s="1675" t="s">
        <v>856</v>
      </c>
      <c r="BPY97" s="1675" t="s">
        <v>856</v>
      </c>
      <c r="BPZ97" s="1675" t="s">
        <v>856</v>
      </c>
      <c r="BQA97" s="1675" t="s">
        <v>856</v>
      </c>
      <c r="BQB97" s="1675" t="s">
        <v>856</v>
      </c>
      <c r="BQC97" s="1675" t="s">
        <v>856</v>
      </c>
      <c r="BQD97" s="1675" t="s">
        <v>856</v>
      </c>
      <c r="BQE97" s="1675" t="s">
        <v>856</v>
      </c>
      <c r="BQF97" s="1675" t="s">
        <v>856</v>
      </c>
      <c r="BQG97" s="1675" t="s">
        <v>856</v>
      </c>
      <c r="BQH97" s="1675" t="s">
        <v>856</v>
      </c>
      <c r="BQI97" s="1675" t="s">
        <v>856</v>
      </c>
      <c r="BQJ97" s="1675" t="s">
        <v>856</v>
      </c>
      <c r="BQK97" s="1675" t="s">
        <v>856</v>
      </c>
      <c r="BQL97" s="1675" t="s">
        <v>856</v>
      </c>
      <c r="BQM97" s="1675" t="s">
        <v>856</v>
      </c>
      <c r="BQN97" s="1675" t="s">
        <v>856</v>
      </c>
      <c r="BQO97" s="1675" t="s">
        <v>856</v>
      </c>
      <c r="BQP97" s="1675" t="s">
        <v>856</v>
      </c>
      <c r="BQQ97" s="1675" t="s">
        <v>856</v>
      </c>
      <c r="BQR97" s="1675" t="s">
        <v>856</v>
      </c>
      <c r="BQS97" s="1675" t="s">
        <v>856</v>
      </c>
      <c r="BQT97" s="1675" t="s">
        <v>856</v>
      </c>
      <c r="BQU97" s="1675" t="s">
        <v>856</v>
      </c>
      <c r="BQV97" s="1675" t="s">
        <v>856</v>
      </c>
      <c r="BQW97" s="1675" t="s">
        <v>856</v>
      </c>
      <c r="BQX97" s="1675" t="s">
        <v>856</v>
      </c>
      <c r="BQY97" s="1675" t="s">
        <v>856</v>
      </c>
      <c r="BQZ97" s="1675" t="s">
        <v>856</v>
      </c>
      <c r="BRA97" s="1675" t="s">
        <v>856</v>
      </c>
      <c r="BRB97" s="1675" t="s">
        <v>856</v>
      </c>
      <c r="BRC97" s="1675" t="s">
        <v>856</v>
      </c>
      <c r="BRD97" s="1675" t="s">
        <v>856</v>
      </c>
      <c r="BRE97" s="1675" t="s">
        <v>856</v>
      </c>
      <c r="BRF97" s="1675" t="s">
        <v>856</v>
      </c>
      <c r="BRG97" s="1675" t="s">
        <v>856</v>
      </c>
      <c r="BRH97" s="1675" t="s">
        <v>856</v>
      </c>
      <c r="BRI97" s="1675" t="s">
        <v>856</v>
      </c>
      <c r="BRJ97" s="1675" t="s">
        <v>856</v>
      </c>
      <c r="BRK97" s="1675" t="s">
        <v>856</v>
      </c>
      <c r="BRL97" s="1675" t="s">
        <v>856</v>
      </c>
      <c r="BRM97" s="1675" t="s">
        <v>856</v>
      </c>
      <c r="BRN97" s="1675" t="s">
        <v>856</v>
      </c>
      <c r="BRO97" s="1675" t="s">
        <v>856</v>
      </c>
      <c r="BRP97" s="1675" t="s">
        <v>856</v>
      </c>
      <c r="BRQ97" s="1675" t="s">
        <v>856</v>
      </c>
      <c r="BRR97" s="1675" t="s">
        <v>856</v>
      </c>
      <c r="BRS97" s="1675" t="s">
        <v>856</v>
      </c>
      <c r="BRT97" s="1675" t="s">
        <v>856</v>
      </c>
      <c r="BRU97" s="1675" t="s">
        <v>856</v>
      </c>
      <c r="BRV97" s="1675" t="s">
        <v>856</v>
      </c>
      <c r="BRW97" s="1675" t="s">
        <v>856</v>
      </c>
      <c r="BRX97" s="1675" t="s">
        <v>856</v>
      </c>
      <c r="BRY97" s="1675" t="s">
        <v>856</v>
      </c>
      <c r="BRZ97" s="1675" t="s">
        <v>856</v>
      </c>
      <c r="BSA97" s="1675" t="s">
        <v>856</v>
      </c>
      <c r="BSB97" s="1675" t="s">
        <v>856</v>
      </c>
      <c r="BSC97" s="1675" t="s">
        <v>856</v>
      </c>
      <c r="BSD97" s="1675" t="s">
        <v>856</v>
      </c>
      <c r="BSE97" s="1675" t="s">
        <v>856</v>
      </c>
      <c r="BSF97" s="1675" t="s">
        <v>856</v>
      </c>
      <c r="BSG97" s="1675" t="s">
        <v>856</v>
      </c>
      <c r="BSH97" s="1675" t="s">
        <v>856</v>
      </c>
      <c r="BSI97" s="1675" t="s">
        <v>856</v>
      </c>
      <c r="BSJ97" s="1675" t="s">
        <v>856</v>
      </c>
      <c r="BSK97" s="1675" t="s">
        <v>856</v>
      </c>
      <c r="BSL97" s="1675" t="s">
        <v>856</v>
      </c>
      <c r="BSM97" s="1675" t="s">
        <v>856</v>
      </c>
      <c r="BSN97" s="1675" t="s">
        <v>856</v>
      </c>
      <c r="BSO97" s="1675" t="s">
        <v>856</v>
      </c>
      <c r="BSP97" s="1675" t="s">
        <v>856</v>
      </c>
      <c r="BSQ97" s="1675" t="s">
        <v>856</v>
      </c>
      <c r="BSR97" s="1675" t="s">
        <v>856</v>
      </c>
      <c r="BSS97" s="1675" t="s">
        <v>856</v>
      </c>
      <c r="BST97" s="1675" t="s">
        <v>856</v>
      </c>
      <c r="BSU97" s="1675" t="s">
        <v>856</v>
      </c>
      <c r="BSV97" s="1675" t="s">
        <v>856</v>
      </c>
      <c r="BSW97" s="1675" t="s">
        <v>856</v>
      </c>
      <c r="BSX97" s="1675" t="s">
        <v>856</v>
      </c>
      <c r="BSY97" s="1675" t="s">
        <v>856</v>
      </c>
      <c r="BSZ97" s="1675" t="s">
        <v>856</v>
      </c>
      <c r="BTA97" s="1675" t="s">
        <v>856</v>
      </c>
      <c r="BTB97" s="1675" t="s">
        <v>856</v>
      </c>
      <c r="BTC97" s="1675" t="s">
        <v>856</v>
      </c>
      <c r="BTD97" s="1675" t="s">
        <v>856</v>
      </c>
      <c r="BTE97" s="1675" t="s">
        <v>856</v>
      </c>
      <c r="BTF97" s="1675" t="s">
        <v>856</v>
      </c>
      <c r="BTG97" s="1675" t="s">
        <v>856</v>
      </c>
      <c r="BTH97" s="1675" t="s">
        <v>856</v>
      </c>
      <c r="BTI97" s="1675" t="s">
        <v>856</v>
      </c>
      <c r="BTJ97" s="1675" t="s">
        <v>856</v>
      </c>
      <c r="BTK97" s="1675" t="s">
        <v>856</v>
      </c>
      <c r="BTL97" s="1675" t="s">
        <v>856</v>
      </c>
      <c r="BTM97" s="1675" t="s">
        <v>856</v>
      </c>
      <c r="BTN97" s="1675" t="s">
        <v>856</v>
      </c>
      <c r="BTO97" s="1675" t="s">
        <v>856</v>
      </c>
      <c r="BTP97" s="1675" t="s">
        <v>856</v>
      </c>
      <c r="BTQ97" s="1675" t="s">
        <v>856</v>
      </c>
      <c r="BTR97" s="1675" t="s">
        <v>856</v>
      </c>
      <c r="BTS97" s="1675" t="s">
        <v>856</v>
      </c>
      <c r="BTT97" s="1675" t="s">
        <v>856</v>
      </c>
      <c r="BTU97" s="1675" t="s">
        <v>856</v>
      </c>
      <c r="BTV97" s="1675" t="s">
        <v>856</v>
      </c>
      <c r="BTW97" s="1675" t="s">
        <v>856</v>
      </c>
      <c r="BTX97" s="1675" t="s">
        <v>856</v>
      </c>
      <c r="BTY97" s="1675" t="s">
        <v>856</v>
      </c>
      <c r="BTZ97" s="1675" t="s">
        <v>856</v>
      </c>
      <c r="BUA97" s="1675" t="s">
        <v>856</v>
      </c>
      <c r="BUB97" s="1675" t="s">
        <v>856</v>
      </c>
      <c r="BUC97" s="1675" t="s">
        <v>856</v>
      </c>
      <c r="BUD97" s="1675" t="s">
        <v>856</v>
      </c>
      <c r="BUE97" s="1675" t="s">
        <v>856</v>
      </c>
      <c r="BUF97" s="1675" t="s">
        <v>856</v>
      </c>
      <c r="BUG97" s="1675" t="s">
        <v>856</v>
      </c>
      <c r="BUH97" s="1675" t="s">
        <v>856</v>
      </c>
      <c r="BUI97" s="1675" t="s">
        <v>856</v>
      </c>
      <c r="BUJ97" s="1675" t="s">
        <v>856</v>
      </c>
      <c r="BUK97" s="1675" t="s">
        <v>856</v>
      </c>
      <c r="BUL97" s="1675" t="s">
        <v>856</v>
      </c>
      <c r="BUM97" s="1675" t="s">
        <v>856</v>
      </c>
      <c r="BUN97" s="1675" t="s">
        <v>856</v>
      </c>
      <c r="BUO97" s="1675" t="s">
        <v>856</v>
      </c>
      <c r="BUP97" s="1675" t="s">
        <v>856</v>
      </c>
      <c r="BUQ97" s="1675" t="s">
        <v>856</v>
      </c>
      <c r="BUR97" s="1675" t="s">
        <v>856</v>
      </c>
      <c r="BUS97" s="1675" t="s">
        <v>856</v>
      </c>
      <c r="BUT97" s="1675" t="s">
        <v>856</v>
      </c>
      <c r="BUU97" s="1675" t="s">
        <v>856</v>
      </c>
      <c r="BUV97" s="1675" t="s">
        <v>856</v>
      </c>
      <c r="BUW97" s="1675" t="s">
        <v>856</v>
      </c>
      <c r="BUX97" s="1675" t="s">
        <v>856</v>
      </c>
      <c r="BUY97" s="1675" t="s">
        <v>856</v>
      </c>
      <c r="BUZ97" s="1675" t="s">
        <v>856</v>
      </c>
      <c r="BVA97" s="1675" t="s">
        <v>856</v>
      </c>
      <c r="BVB97" s="1675" t="s">
        <v>856</v>
      </c>
      <c r="BVC97" s="1675" t="s">
        <v>856</v>
      </c>
      <c r="BVD97" s="1675" t="s">
        <v>856</v>
      </c>
      <c r="BVE97" s="1675" t="s">
        <v>856</v>
      </c>
      <c r="BVF97" s="1675" t="s">
        <v>856</v>
      </c>
      <c r="BVG97" s="1675" t="s">
        <v>856</v>
      </c>
      <c r="BVH97" s="1675" t="s">
        <v>856</v>
      </c>
      <c r="BVI97" s="1675" t="s">
        <v>856</v>
      </c>
      <c r="BVJ97" s="1675" t="s">
        <v>856</v>
      </c>
      <c r="BVK97" s="1675" t="s">
        <v>856</v>
      </c>
      <c r="BVL97" s="1675" t="s">
        <v>856</v>
      </c>
      <c r="BVM97" s="1675" t="s">
        <v>856</v>
      </c>
      <c r="BVN97" s="1675" t="s">
        <v>856</v>
      </c>
      <c r="BVO97" s="1675" t="s">
        <v>856</v>
      </c>
      <c r="BVP97" s="1675" t="s">
        <v>856</v>
      </c>
      <c r="BVQ97" s="1675" t="s">
        <v>856</v>
      </c>
      <c r="BVR97" s="1675" t="s">
        <v>856</v>
      </c>
      <c r="BVS97" s="1675" t="s">
        <v>856</v>
      </c>
      <c r="BVT97" s="1675" t="s">
        <v>856</v>
      </c>
      <c r="BVU97" s="1675" t="s">
        <v>856</v>
      </c>
      <c r="BVV97" s="1675" t="s">
        <v>856</v>
      </c>
      <c r="BVW97" s="1675" t="s">
        <v>856</v>
      </c>
      <c r="BVX97" s="1675" t="s">
        <v>856</v>
      </c>
      <c r="BVY97" s="1675" t="s">
        <v>856</v>
      </c>
      <c r="BVZ97" s="1675" t="s">
        <v>856</v>
      </c>
      <c r="BWA97" s="1675" t="s">
        <v>856</v>
      </c>
      <c r="BWB97" s="1675" t="s">
        <v>856</v>
      </c>
      <c r="BWC97" s="1675" t="s">
        <v>856</v>
      </c>
      <c r="BWD97" s="1675" t="s">
        <v>856</v>
      </c>
      <c r="BWE97" s="1675" t="s">
        <v>856</v>
      </c>
      <c r="BWF97" s="1675" t="s">
        <v>856</v>
      </c>
      <c r="BWG97" s="1675" t="s">
        <v>856</v>
      </c>
      <c r="BWH97" s="1675" t="s">
        <v>856</v>
      </c>
      <c r="BWI97" s="1675" t="s">
        <v>856</v>
      </c>
      <c r="BWJ97" s="1675" t="s">
        <v>856</v>
      </c>
      <c r="BWK97" s="1675" t="s">
        <v>856</v>
      </c>
      <c r="BWL97" s="1675" t="s">
        <v>856</v>
      </c>
      <c r="BWM97" s="1675" t="s">
        <v>856</v>
      </c>
      <c r="BWN97" s="1675" t="s">
        <v>856</v>
      </c>
      <c r="BWO97" s="1675" t="s">
        <v>856</v>
      </c>
      <c r="BWP97" s="1675" t="s">
        <v>856</v>
      </c>
      <c r="BWQ97" s="1675" t="s">
        <v>856</v>
      </c>
      <c r="BWR97" s="1675" t="s">
        <v>856</v>
      </c>
      <c r="BWS97" s="1675" t="s">
        <v>856</v>
      </c>
      <c r="BWT97" s="1675" t="s">
        <v>856</v>
      </c>
      <c r="BWU97" s="1675" t="s">
        <v>856</v>
      </c>
      <c r="BWV97" s="1675" t="s">
        <v>856</v>
      </c>
      <c r="BWW97" s="1675" t="s">
        <v>856</v>
      </c>
      <c r="BWX97" s="1675" t="s">
        <v>856</v>
      </c>
      <c r="BWY97" s="1675" t="s">
        <v>856</v>
      </c>
      <c r="BWZ97" s="1675" t="s">
        <v>856</v>
      </c>
      <c r="BXA97" s="1675" t="s">
        <v>856</v>
      </c>
      <c r="BXB97" s="1675" t="s">
        <v>856</v>
      </c>
      <c r="BXC97" s="1675" t="s">
        <v>856</v>
      </c>
      <c r="BXD97" s="1675" t="s">
        <v>856</v>
      </c>
      <c r="BXE97" s="1675" t="s">
        <v>856</v>
      </c>
      <c r="BXF97" s="1675" t="s">
        <v>856</v>
      </c>
      <c r="BXG97" s="1675" t="s">
        <v>856</v>
      </c>
      <c r="BXH97" s="1675" t="s">
        <v>856</v>
      </c>
      <c r="BXI97" s="1675" t="s">
        <v>856</v>
      </c>
      <c r="BXJ97" s="1675" t="s">
        <v>856</v>
      </c>
      <c r="BXK97" s="1675" t="s">
        <v>856</v>
      </c>
      <c r="BXL97" s="1675" t="s">
        <v>856</v>
      </c>
      <c r="BXM97" s="1675" t="s">
        <v>856</v>
      </c>
      <c r="BXN97" s="1675" t="s">
        <v>856</v>
      </c>
      <c r="BXO97" s="1675" t="s">
        <v>856</v>
      </c>
      <c r="BXP97" s="1675" t="s">
        <v>856</v>
      </c>
      <c r="BXQ97" s="1675" t="s">
        <v>856</v>
      </c>
      <c r="BXR97" s="1675" t="s">
        <v>856</v>
      </c>
      <c r="BXS97" s="1675" t="s">
        <v>856</v>
      </c>
      <c r="BXT97" s="1675" t="s">
        <v>856</v>
      </c>
      <c r="BXU97" s="1675" t="s">
        <v>856</v>
      </c>
      <c r="BXV97" s="1675" t="s">
        <v>856</v>
      </c>
      <c r="BXW97" s="1675" t="s">
        <v>856</v>
      </c>
      <c r="BXX97" s="1675" t="s">
        <v>856</v>
      </c>
      <c r="BXY97" s="1675" t="s">
        <v>856</v>
      </c>
      <c r="BXZ97" s="1675" t="s">
        <v>856</v>
      </c>
      <c r="BYA97" s="1675" t="s">
        <v>856</v>
      </c>
      <c r="BYB97" s="1675" t="s">
        <v>856</v>
      </c>
      <c r="BYC97" s="1675" t="s">
        <v>856</v>
      </c>
      <c r="BYD97" s="1675" t="s">
        <v>856</v>
      </c>
      <c r="BYE97" s="1675" t="s">
        <v>856</v>
      </c>
      <c r="BYF97" s="1675" t="s">
        <v>856</v>
      </c>
      <c r="BYG97" s="1675" t="s">
        <v>856</v>
      </c>
      <c r="BYH97" s="1675" t="s">
        <v>856</v>
      </c>
      <c r="BYI97" s="1675" t="s">
        <v>856</v>
      </c>
      <c r="BYJ97" s="1675" t="s">
        <v>856</v>
      </c>
      <c r="BYK97" s="1675" t="s">
        <v>856</v>
      </c>
      <c r="BYL97" s="1675" t="s">
        <v>856</v>
      </c>
      <c r="BYM97" s="1675" t="s">
        <v>856</v>
      </c>
      <c r="BYN97" s="1675" t="s">
        <v>856</v>
      </c>
      <c r="BYO97" s="1675" t="s">
        <v>856</v>
      </c>
      <c r="BYP97" s="1675" t="s">
        <v>856</v>
      </c>
      <c r="BYQ97" s="1675" t="s">
        <v>856</v>
      </c>
      <c r="BYR97" s="1675" t="s">
        <v>856</v>
      </c>
      <c r="BYS97" s="1675" t="s">
        <v>856</v>
      </c>
      <c r="BYT97" s="1675" t="s">
        <v>856</v>
      </c>
      <c r="BYU97" s="1675" t="s">
        <v>856</v>
      </c>
      <c r="BYV97" s="1675" t="s">
        <v>856</v>
      </c>
      <c r="BYW97" s="1675" t="s">
        <v>856</v>
      </c>
      <c r="BYX97" s="1675" t="s">
        <v>856</v>
      </c>
      <c r="BYY97" s="1675" t="s">
        <v>856</v>
      </c>
      <c r="BYZ97" s="1675" t="s">
        <v>856</v>
      </c>
      <c r="BZA97" s="1675" t="s">
        <v>856</v>
      </c>
      <c r="BZB97" s="1675" t="s">
        <v>856</v>
      </c>
      <c r="BZC97" s="1675" t="s">
        <v>856</v>
      </c>
      <c r="BZD97" s="1675" t="s">
        <v>856</v>
      </c>
      <c r="BZE97" s="1675" t="s">
        <v>856</v>
      </c>
      <c r="BZF97" s="1675" t="s">
        <v>856</v>
      </c>
      <c r="BZG97" s="1675" t="s">
        <v>856</v>
      </c>
      <c r="BZH97" s="1675" t="s">
        <v>856</v>
      </c>
      <c r="BZI97" s="1675" t="s">
        <v>856</v>
      </c>
      <c r="BZJ97" s="1675" t="s">
        <v>856</v>
      </c>
      <c r="BZK97" s="1675" t="s">
        <v>856</v>
      </c>
      <c r="BZL97" s="1675" t="s">
        <v>856</v>
      </c>
      <c r="BZM97" s="1675" t="s">
        <v>856</v>
      </c>
      <c r="BZN97" s="1675" t="s">
        <v>856</v>
      </c>
      <c r="BZO97" s="1675" t="s">
        <v>856</v>
      </c>
      <c r="BZP97" s="1675" t="s">
        <v>856</v>
      </c>
      <c r="BZQ97" s="1675" t="s">
        <v>856</v>
      </c>
      <c r="BZR97" s="1675" t="s">
        <v>856</v>
      </c>
      <c r="BZS97" s="1675" t="s">
        <v>856</v>
      </c>
      <c r="BZT97" s="1675" t="s">
        <v>856</v>
      </c>
      <c r="BZU97" s="1675" t="s">
        <v>856</v>
      </c>
      <c r="BZV97" s="1675" t="s">
        <v>856</v>
      </c>
      <c r="BZW97" s="1675" t="s">
        <v>856</v>
      </c>
      <c r="BZX97" s="1675" t="s">
        <v>856</v>
      </c>
      <c r="BZY97" s="1675" t="s">
        <v>856</v>
      </c>
      <c r="BZZ97" s="1675" t="s">
        <v>856</v>
      </c>
      <c r="CAA97" s="1675" t="s">
        <v>856</v>
      </c>
      <c r="CAB97" s="1675" t="s">
        <v>856</v>
      </c>
      <c r="CAC97" s="1675" t="s">
        <v>856</v>
      </c>
      <c r="CAD97" s="1675" t="s">
        <v>856</v>
      </c>
      <c r="CAE97" s="1675" t="s">
        <v>856</v>
      </c>
      <c r="CAF97" s="1675" t="s">
        <v>856</v>
      </c>
      <c r="CAG97" s="1675" t="s">
        <v>856</v>
      </c>
      <c r="CAH97" s="1675" t="s">
        <v>856</v>
      </c>
      <c r="CAI97" s="1675" t="s">
        <v>856</v>
      </c>
      <c r="CAJ97" s="1675" t="s">
        <v>856</v>
      </c>
      <c r="CAK97" s="1675" t="s">
        <v>856</v>
      </c>
      <c r="CAL97" s="1675" t="s">
        <v>856</v>
      </c>
      <c r="CAM97" s="1675" t="s">
        <v>856</v>
      </c>
      <c r="CAN97" s="1675" t="s">
        <v>856</v>
      </c>
      <c r="CAO97" s="1675" t="s">
        <v>856</v>
      </c>
      <c r="CAP97" s="1675" t="s">
        <v>856</v>
      </c>
      <c r="CAQ97" s="1675" t="s">
        <v>856</v>
      </c>
      <c r="CAR97" s="1675" t="s">
        <v>856</v>
      </c>
      <c r="CAS97" s="1675" t="s">
        <v>856</v>
      </c>
      <c r="CAT97" s="1675" t="s">
        <v>856</v>
      </c>
      <c r="CAU97" s="1675" t="s">
        <v>856</v>
      </c>
      <c r="CAV97" s="1675" t="s">
        <v>856</v>
      </c>
      <c r="CAW97" s="1675" t="s">
        <v>856</v>
      </c>
      <c r="CAX97" s="1675" t="s">
        <v>856</v>
      </c>
      <c r="CAY97" s="1675" t="s">
        <v>856</v>
      </c>
      <c r="CAZ97" s="1675" t="s">
        <v>856</v>
      </c>
      <c r="CBA97" s="1675" t="s">
        <v>856</v>
      </c>
      <c r="CBB97" s="1675" t="s">
        <v>856</v>
      </c>
      <c r="CBC97" s="1675" t="s">
        <v>856</v>
      </c>
      <c r="CBD97" s="1675" t="s">
        <v>856</v>
      </c>
      <c r="CBE97" s="1675" t="s">
        <v>856</v>
      </c>
      <c r="CBF97" s="1675" t="s">
        <v>856</v>
      </c>
      <c r="CBG97" s="1675" t="s">
        <v>856</v>
      </c>
      <c r="CBH97" s="1675" t="s">
        <v>856</v>
      </c>
      <c r="CBI97" s="1675" t="s">
        <v>856</v>
      </c>
      <c r="CBJ97" s="1675" t="s">
        <v>856</v>
      </c>
      <c r="CBK97" s="1675" t="s">
        <v>856</v>
      </c>
      <c r="CBL97" s="1675" t="s">
        <v>856</v>
      </c>
      <c r="CBM97" s="1675" t="s">
        <v>856</v>
      </c>
      <c r="CBN97" s="1675" t="s">
        <v>856</v>
      </c>
      <c r="CBO97" s="1675" t="s">
        <v>856</v>
      </c>
      <c r="CBP97" s="1675" t="s">
        <v>856</v>
      </c>
      <c r="CBQ97" s="1675" t="s">
        <v>856</v>
      </c>
      <c r="CBR97" s="1675" t="s">
        <v>856</v>
      </c>
      <c r="CBS97" s="1675" t="s">
        <v>856</v>
      </c>
      <c r="CBT97" s="1675" t="s">
        <v>856</v>
      </c>
      <c r="CBU97" s="1675" t="s">
        <v>856</v>
      </c>
      <c r="CBV97" s="1675" t="s">
        <v>856</v>
      </c>
      <c r="CBW97" s="1675" t="s">
        <v>856</v>
      </c>
      <c r="CBX97" s="1675" t="s">
        <v>856</v>
      </c>
      <c r="CBY97" s="1675" t="s">
        <v>856</v>
      </c>
      <c r="CBZ97" s="1675" t="s">
        <v>856</v>
      </c>
      <c r="CCA97" s="1675" t="s">
        <v>856</v>
      </c>
      <c r="CCB97" s="1675" t="s">
        <v>856</v>
      </c>
      <c r="CCC97" s="1675" t="s">
        <v>856</v>
      </c>
      <c r="CCD97" s="1675" t="s">
        <v>856</v>
      </c>
      <c r="CCE97" s="1675" t="s">
        <v>856</v>
      </c>
      <c r="CCF97" s="1675" t="s">
        <v>856</v>
      </c>
      <c r="CCG97" s="1675" t="s">
        <v>856</v>
      </c>
      <c r="CCH97" s="1675" t="s">
        <v>856</v>
      </c>
      <c r="CCI97" s="1675" t="s">
        <v>856</v>
      </c>
      <c r="CCJ97" s="1675" t="s">
        <v>856</v>
      </c>
      <c r="CCK97" s="1675" t="s">
        <v>856</v>
      </c>
      <c r="CCL97" s="1675" t="s">
        <v>856</v>
      </c>
      <c r="CCM97" s="1675" t="s">
        <v>856</v>
      </c>
      <c r="CCN97" s="1675" t="s">
        <v>856</v>
      </c>
      <c r="CCO97" s="1675" t="s">
        <v>856</v>
      </c>
      <c r="CCP97" s="1675" t="s">
        <v>856</v>
      </c>
      <c r="CCQ97" s="1675" t="s">
        <v>856</v>
      </c>
      <c r="CCR97" s="1675" t="s">
        <v>856</v>
      </c>
      <c r="CCS97" s="1675" t="s">
        <v>856</v>
      </c>
      <c r="CCT97" s="1675" t="s">
        <v>856</v>
      </c>
      <c r="CCU97" s="1675" t="s">
        <v>856</v>
      </c>
      <c r="CCV97" s="1675" t="s">
        <v>856</v>
      </c>
      <c r="CCW97" s="1675" t="s">
        <v>856</v>
      </c>
      <c r="CCX97" s="1675" t="s">
        <v>856</v>
      </c>
      <c r="CCY97" s="1675" t="s">
        <v>856</v>
      </c>
      <c r="CCZ97" s="1675" t="s">
        <v>856</v>
      </c>
      <c r="CDA97" s="1675" t="s">
        <v>856</v>
      </c>
      <c r="CDB97" s="1675" t="s">
        <v>856</v>
      </c>
      <c r="CDC97" s="1675" t="s">
        <v>856</v>
      </c>
      <c r="CDD97" s="1675" t="s">
        <v>856</v>
      </c>
      <c r="CDE97" s="1675" t="s">
        <v>856</v>
      </c>
      <c r="CDF97" s="1675" t="s">
        <v>856</v>
      </c>
      <c r="CDG97" s="1675" t="s">
        <v>856</v>
      </c>
      <c r="CDH97" s="1675" t="s">
        <v>856</v>
      </c>
      <c r="CDI97" s="1675" t="s">
        <v>856</v>
      </c>
      <c r="CDJ97" s="1675" t="s">
        <v>856</v>
      </c>
      <c r="CDK97" s="1675" t="s">
        <v>856</v>
      </c>
      <c r="CDL97" s="1675" t="s">
        <v>856</v>
      </c>
      <c r="CDM97" s="1675" t="s">
        <v>856</v>
      </c>
      <c r="CDN97" s="1675" t="s">
        <v>856</v>
      </c>
      <c r="CDO97" s="1675" t="s">
        <v>856</v>
      </c>
      <c r="CDP97" s="1675" t="s">
        <v>856</v>
      </c>
      <c r="CDQ97" s="1675" t="s">
        <v>856</v>
      </c>
      <c r="CDR97" s="1675" t="s">
        <v>856</v>
      </c>
      <c r="CDS97" s="1675" t="s">
        <v>856</v>
      </c>
      <c r="CDT97" s="1675" t="s">
        <v>856</v>
      </c>
      <c r="CDU97" s="1675" t="s">
        <v>856</v>
      </c>
      <c r="CDV97" s="1675" t="s">
        <v>856</v>
      </c>
      <c r="CDW97" s="1675" t="s">
        <v>856</v>
      </c>
      <c r="CDX97" s="1675" t="s">
        <v>856</v>
      </c>
      <c r="CDY97" s="1675" t="s">
        <v>856</v>
      </c>
      <c r="CDZ97" s="1675" t="s">
        <v>856</v>
      </c>
      <c r="CEA97" s="1675" t="s">
        <v>856</v>
      </c>
      <c r="CEB97" s="1675" t="s">
        <v>856</v>
      </c>
      <c r="CEC97" s="1675" t="s">
        <v>856</v>
      </c>
      <c r="CED97" s="1675" t="s">
        <v>856</v>
      </c>
      <c r="CEE97" s="1675" t="s">
        <v>856</v>
      </c>
      <c r="CEF97" s="1675" t="s">
        <v>856</v>
      </c>
      <c r="CEG97" s="1675" t="s">
        <v>856</v>
      </c>
      <c r="CEH97" s="1675" t="s">
        <v>856</v>
      </c>
      <c r="CEI97" s="1675" t="s">
        <v>856</v>
      </c>
      <c r="CEJ97" s="1675" t="s">
        <v>856</v>
      </c>
      <c r="CEK97" s="1675" t="s">
        <v>856</v>
      </c>
      <c r="CEL97" s="1675" t="s">
        <v>856</v>
      </c>
      <c r="CEM97" s="1675" t="s">
        <v>856</v>
      </c>
      <c r="CEN97" s="1675" t="s">
        <v>856</v>
      </c>
      <c r="CEO97" s="1675" t="s">
        <v>856</v>
      </c>
      <c r="CEP97" s="1675" t="s">
        <v>856</v>
      </c>
      <c r="CEQ97" s="1675" t="s">
        <v>856</v>
      </c>
      <c r="CER97" s="1675" t="s">
        <v>856</v>
      </c>
      <c r="CES97" s="1675" t="s">
        <v>856</v>
      </c>
      <c r="CET97" s="1675" t="s">
        <v>856</v>
      </c>
      <c r="CEU97" s="1675" t="s">
        <v>856</v>
      </c>
      <c r="CEV97" s="1675" t="s">
        <v>856</v>
      </c>
      <c r="CEW97" s="1675" t="s">
        <v>856</v>
      </c>
      <c r="CEX97" s="1675" t="s">
        <v>856</v>
      </c>
      <c r="CEY97" s="1675" t="s">
        <v>856</v>
      </c>
      <c r="CEZ97" s="1675" t="s">
        <v>856</v>
      </c>
      <c r="CFA97" s="1675" t="s">
        <v>856</v>
      </c>
      <c r="CFB97" s="1675" t="s">
        <v>856</v>
      </c>
      <c r="CFC97" s="1675" t="s">
        <v>856</v>
      </c>
      <c r="CFD97" s="1675" t="s">
        <v>856</v>
      </c>
      <c r="CFE97" s="1675" t="s">
        <v>856</v>
      </c>
      <c r="CFF97" s="1675" t="s">
        <v>856</v>
      </c>
      <c r="CFG97" s="1675" t="s">
        <v>856</v>
      </c>
      <c r="CFH97" s="1675" t="s">
        <v>856</v>
      </c>
      <c r="CFI97" s="1675" t="s">
        <v>856</v>
      </c>
      <c r="CFJ97" s="1675" t="s">
        <v>856</v>
      </c>
      <c r="CFK97" s="1675" t="s">
        <v>856</v>
      </c>
      <c r="CFL97" s="1675" t="s">
        <v>856</v>
      </c>
      <c r="CFM97" s="1675" t="s">
        <v>856</v>
      </c>
      <c r="CFN97" s="1675" t="s">
        <v>856</v>
      </c>
      <c r="CFO97" s="1675" t="s">
        <v>856</v>
      </c>
      <c r="CFP97" s="1675" t="s">
        <v>856</v>
      </c>
      <c r="CFQ97" s="1675" t="s">
        <v>856</v>
      </c>
      <c r="CFR97" s="1675" t="s">
        <v>856</v>
      </c>
      <c r="CFS97" s="1675" t="s">
        <v>856</v>
      </c>
      <c r="CFT97" s="1675" t="s">
        <v>856</v>
      </c>
      <c r="CFU97" s="1675" t="s">
        <v>856</v>
      </c>
      <c r="CFV97" s="1675" t="s">
        <v>856</v>
      </c>
      <c r="CFW97" s="1675" t="s">
        <v>856</v>
      </c>
      <c r="CFX97" s="1675" t="s">
        <v>856</v>
      </c>
      <c r="CFY97" s="1675" t="s">
        <v>856</v>
      </c>
      <c r="CFZ97" s="1675" t="s">
        <v>856</v>
      </c>
      <c r="CGA97" s="1675" t="s">
        <v>856</v>
      </c>
      <c r="CGB97" s="1675" t="s">
        <v>856</v>
      </c>
      <c r="CGC97" s="1675" t="s">
        <v>856</v>
      </c>
      <c r="CGD97" s="1675" t="s">
        <v>856</v>
      </c>
      <c r="CGE97" s="1675" t="s">
        <v>856</v>
      </c>
      <c r="CGF97" s="1675" t="s">
        <v>856</v>
      </c>
      <c r="CGG97" s="1675" t="s">
        <v>856</v>
      </c>
      <c r="CGH97" s="1675" t="s">
        <v>856</v>
      </c>
      <c r="CGI97" s="1675" t="s">
        <v>856</v>
      </c>
      <c r="CGJ97" s="1675" t="s">
        <v>856</v>
      </c>
      <c r="CGK97" s="1675" t="s">
        <v>856</v>
      </c>
      <c r="CGL97" s="1675" t="s">
        <v>856</v>
      </c>
      <c r="CGM97" s="1675" t="s">
        <v>856</v>
      </c>
      <c r="CGN97" s="1675" t="s">
        <v>856</v>
      </c>
      <c r="CGO97" s="1675" t="s">
        <v>856</v>
      </c>
      <c r="CGP97" s="1675" t="s">
        <v>856</v>
      </c>
      <c r="CGQ97" s="1675" t="s">
        <v>856</v>
      </c>
      <c r="CGR97" s="1675" t="s">
        <v>856</v>
      </c>
      <c r="CGS97" s="1675" t="s">
        <v>856</v>
      </c>
      <c r="CGT97" s="1675" t="s">
        <v>856</v>
      </c>
      <c r="CGU97" s="1675" t="s">
        <v>856</v>
      </c>
      <c r="CGV97" s="1675" t="s">
        <v>856</v>
      </c>
      <c r="CGW97" s="1675" t="s">
        <v>856</v>
      </c>
      <c r="CGX97" s="1675" t="s">
        <v>856</v>
      </c>
      <c r="CGY97" s="1675" t="s">
        <v>856</v>
      </c>
      <c r="CGZ97" s="1675" t="s">
        <v>856</v>
      </c>
      <c r="CHA97" s="1675" t="s">
        <v>856</v>
      </c>
      <c r="CHB97" s="1675" t="s">
        <v>856</v>
      </c>
      <c r="CHC97" s="1675" t="s">
        <v>856</v>
      </c>
      <c r="CHD97" s="1675" t="s">
        <v>856</v>
      </c>
      <c r="CHE97" s="1675" t="s">
        <v>856</v>
      </c>
      <c r="CHF97" s="1675" t="s">
        <v>856</v>
      </c>
      <c r="CHG97" s="1675" t="s">
        <v>856</v>
      </c>
      <c r="CHH97" s="1675" t="s">
        <v>856</v>
      </c>
      <c r="CHI97" s="1675" t="s">
        <v>856</v>
      </c>
      <c r="CHJ97" s="1675" t="s">
        <v>856</v>
      </c>
      <c r="CHK97" s="1675" t="s">
        <v>856</v>
      </c>
      <c r="CHL97" s="1675" t="s">
        <v>856</v>
      </c>
      <c r="CHM97" s="1675" t="s">
        <v>856</v>
      </c>
      <c r="CHN97" s="1675" t="s">
        <v>856</v>
      </c>
      <c r="CHO97" s="1675" t="s">
        <v>856</v>
      </c>
      <c r="CHP97" s="1675" t="s">
        <v>856</v>
      </c>
      <c r="CHQ97" s="1675" t="s">
        <v>856</v>
      </c>
      <c r="CHR97" s="1675" t="s">
        <v>856</v>
      </c>
      <c r="CHS97" s="1675" t="s">
        <v>856</v>
      </c>
      <c r="CHT97" s="1675" t="s">
        <v>856</v>
      </c>
      <c r="CHU97" s="1675" t="s">
        <v>856</v>
      </c>
      <c r="CHV97" s="1675" t="s">
        <v>856</v>
      </c>
      <c r="CHW97" s="1675" t="s">
        <v>856</v>
      </c>
      <c r="CHX97" s="1675" t="s">
        <v>856</v>
      </c>
      <c r="CHY97" s="1675" t="s">
        <v>856</v>
      </c>
      <c r="CHZ97" s="1675" t="s">
        <v>856</v>
      </c>
      <c r="CIA97" s="1675" t="s">
        <v>856</v>
      </c>
      <c r="CIB97" s="1675" t="s">
        <v>856</v>
      </c>
      <c r="CIC97" s="1675" t="s">
        <v>856</v>
      </c>
      <c r="CID97" s="1675" t="s">
        <v>856</v>
      </c>
      <c r="CIE97" s="1675" t="s">
        <v>856</v>
      </c>
      <c r="CIF97" s="1675" t="s">
        <v>856</v>
      </c>
      <c r="CIG97" s="1675" t="s">
        <v>856</v>
      </c>
      <c r="CIH97" s="1675" t="s">
        <v>856</v>
      </c>
      <c r="CII97" s="1675" t="s">
        <v>856</v>
      </c>
      <c r="CIJ97" s="1675" t="s">
        <v>856</v>
      </c>
      <c r="CIK97" s="1675" t="s">
        <v>856</v>
      </c>
      <c r="CIL97" s="1675" t="s">
        <v>856</v>
      </c>
      <c r="CIM97" s="1675" t="s">
        <v>856</v>
      </c>
      <c r="CIN97" s="1675" t="s">
        <v>856</v>
      </c>
      <c r="CIO97" s="1675" t="s">
        <v>856</v>
      </c>
      <c r="CIP97" s="1675" t="s">
        <v>856</v>
      </c>
      <c r="CIQ97" s="1675" t="s">
        <v>856</v>
      </c>
      <c r="CIR97" s="1675" t="s">
        <v>856</v>
      </c>
      <c r="CIS97" s="1675" t="s">
        <v>856</v>
      </c>
      <c r="CIT97" s="1675" t="s">
        <v>856</v>
      </c>
      <c r="CIU97" s="1675" t="s">
        <v>856</v>
      </c>
      <c r="CIV97" s="1675" t="s">
        <v>856</v>
      </c>
      <c r="CIW97" s="1675" t="s">
        <v>856</v>
      </c>
      <c r="CIX97" s="1675" t="s">
        <v>856</v>
      </c>
      <c r="CIY97" s="1675" t="s">
        <v>856</v>
      </c>
      <c r="CIZ97" s="1675" t="s">
        <v>856</v>
      </c>
      <c r="CJA97" s="1675" t="s">
        <v>856</v>
      </c>
      <c r="CJB97" s="1675" t="s">
        <v>856</v>
      </c>
      <c r="CJC97" s="1675" t="s">
        <v>856</v>
      </c>
      <c r="CJD97" s="1675" t="s">
        <v>856</v>
      </c>
      <c r="CJE97" s="1675" t="s">
        <v>856</v>
      </c>
      <c r="CJF97" s="1675" t="s">
        <v>856</v>
      </c>
      <c r="CJG97" s="1675" t="s">
        <v>856</v>
      </c>
      <c r="CJH97" s="1675" t="s">
        <v>856</v>
      </c>
      <c r="CJI97" s="1675" t="s">
        <v>856</v>
      </c>
      <c r="CJJ97" s="1675" t="s">
        <v>856</v>
      </c>
      <c r="CJK97" s="1675" t="s">
        <v>856</v>
      </c>
      <c r="CJL97" s="1675" t="s">
        <v>856</v>
      </c>
      <c r="CJM97" s="1675" t="s">
        <v>856</v>
      </c>
      <c r="CJN97" s="1675" t="s">
        <v>856</v>
      </c>
      <c r="CJO97" s="1675" t="s">
        <v>856</v>
      </c>
      <c r="CJP97" s="1675" t="s">
        <v>856</v>
      </c>
      <c r="CJQ97" s="1675" t="s">
        <v>856</v>
      </c>
      <c r="CJR97" s="1675" t="s">
        <v>856</v>
      </c>
      <c r="CJS97" s="1675" t="s">
        <v>856</v>
      </c>
      <c r="CJT97" s="1675" t="s">
        <v>856</v>
      </c>
      <c r="CJU97" s="1675" t="s">
        <v>856</v>
      </c>
      <c r="CJV97" s="1675" t="s">
        <v>856</v>
      </c>
      <c r="CJW97" s="1675" t="s">
        <v>856</v>
      </c>
      <c r="CJX97" s="1675" t="s">
        <v>856</v>
      </c>
      <c r="CJY97" s="1675" t="s">
        <v>856</v>
      </c>
      <c r="CJZ97" s="1675" t="s">
        <v>856</v>
      </c>
      <c r="CKA97" s="1675" t="s">
        <v>856</v>
      </c>
      <c r="CKB97" s="1675" t="s">
        <v>856</v>
      </c>
      <c r="CKC97" s="1675" t="s">
        <v>856</v>
      </c>
      <c r="CKD97" s="1675" t="s">
        <v>856</v>
      </c>
      <c r="CKE97" s="1675" t="s">
        <v>856</v>
      </c>
      <c r="CKF97" s="1675" t="s">
        <v>856</v>
      </c>
      <c r="CKG97" s="1675" t="s">
        <v>856</v>
      </c>
      <c r="CKH97" s="1675" t="s">
        <v>856</v>
      </c>
      <c r="CKI97" s="1675" t="s">
        <v>856</v>
      </c>
      <c r="CKJ97" s="1675" t="s">
        <v>856</v>
      </c>
      <c r="CKK97" s="1675" t="s">
        <v>856</v>
      </c>
      <c r="CKL97" s="1675" t="s">
        <v>856</v>
      </c>
      <c r="CKM97" s="1675" t="s">
        <v>856</v>
      </c>
      <c r="CKN97" s="1675" t="s">
        <v>856</v>
      </c>
      <c r="CKO97" s="1675" t="s">
        <v>856</v>
      </c>
      <c r="CKP97" s="1675" t="s">
        <v>856</v>
      </c>
      <c r="CKQ97" s="1675" t="s">
        <v>856</v>
      </c>
      <c r="CKR97" s="1675" t="s">
        <v>856</v>
      </c>
      <c r="CKS97" s="1675" t="s">
        <v>856</v>
      </c>
      <c r="CKT97" s="1675" t="s">
        <v>856</v>
      </c>
      <c r="CKU97" s="1675" t="s">
        <v>856</v>
      </c>
      <c r="CKV97" s="1675" t="s">
        <v>856</v>
      </c>
      <c r="CKW97" s="1675" t="s">
        <v>856</v>
      </c>
      <c r="CKX97" s="1675" t="s">
        <v>856</v>
      </c>
      <c r="CKY97" s="1675" t="s">
        <v>856</v>
      </c>
      <c r="CKZ97" s="1675" t="s">
        <v>856</v>
      </c>
      <c r="CLA97" s="1675" t="s">
        <v>856</v>
      </c>
      <c r="CLB97" s="1675" t="s">
        <v>856</v>
      </c>
      <c r="CLC97" s="1675" t="s">
        <v>856</v>
      </c>
      <c r="CLD97" s="1675" t="s">
        <v>856</v>
      </c>
      <c r="CLE97" s="1675" t="s">
        <v>856</v>
      </c>
      <c r="CLF97" s="1675" t="s">
        <v>856</v>
      </c>
      <c r="CLG97" s="1675" t="s">
        <v>856</v>
      </c>
      <c r="CLH97" s="1675" t="s">
        <v>856</v>
      </c>
      <c r="CLI97" s="1675" t="s">
        <v>856</v>
      </c>
      <c r="CLJ97" s="1675" t="s">
        <v>856</v>
      </c>
      <c r="CLK97" s="1675" t="s">
        <v>856</v>
      </c>
      <c r="CLL97" s="1675" t="s">
        <v>856</v>
      </c>
      <c r="CLM97" s="1675" t="s">
        <v>856</v>
      </c>
      <c r="CLN97" s="1675" t="s">
        <v>856</v>
      </c>
      <c r="CLO97" s="1675" t="s">
        <v>856</v>
      </c>
      <c r="CLP97" s="1675" t="s">
        <v>856</v>
      </c>
      <c r="CLQ97" s="1675" t="s">
        <v>856</v>
      </c>
      <c r="CLR97" s="1675" t="s">
        <v>856</v>
      </c>
      <c r="CLS97" s="1675" t="s">
        <v>856</v>
      </c>
      <c r="CLT97" s="1675" t="s">
        <v>856</v>
      </c>
      <c r="CLU97" s="1675" t="s">
        <v>856</v>
      </c>
      <c r="CLV97" s="1675" t="s">
        <v>856</v>
      </c>
      <c r="CLW97" s="1675" t="s">
        <v>856</v>
      </c>
      <c r="CLX97" s="1675" t="s">
        <v>856</v>
      </c>
      <c r="CLY97" s="1675" t="s">
        <v>856</v>
      </c>
      <c r="CLZ97" s="1675" t="s">
        <v>856</v>
      </c>
      <c r="CMA97" s="1675" t="s">
        <v>856</v>
      </c>
      <c r="CMB97" s="1675" t="s">
        <v>856</v>
      </c>
      <c r="CMC97" s="1675" t="s">
        <v>856</v>
      </c>
      <c r="CMD97" s="1675" t="s">
        <v>856</v>
      </c>
      <c r="CME97" s="1675" t="s">
        <v>856</v>
      </c>
      <c r="CMF97" s="1675" t="s">
        <v>856</v>
      </c>
      <c r="CMG97" s="1675" t="s">
        <v>856</v>
      </c>
      <c r="CMH97" s="1675" t="s">
        <v>856</v>
      </c>
      <c r="CMI97" s="1675" t="s">
        <v>856</v>
      </c>
      <c r="CMJ97" s="1675" t="s">
        <v>856</v>
      </c>
      <c r="CMK97" s="1675" t="s">
        <v>856</v>
      </c>
      <c r="CML97" s="1675" t="s">
        <v>856</v>
      </c>
      <c r="CMM97" s="1675" t="s">
        <v>856</v>
      </c>
      <c r="CMN97" s="1675" t="s">
        <v>856</v>
      </c>
      <c r="CMO97" s="1675" t="s">
        <v>856</v>
      </c>
      <c r="CMP97" s="1675" t="s">
        <v>856</v>
      </c>
      <c r="CMQ97" s="1675" t="s">
        <v>856</v>
      </c>
      <c r="CMR97" s="1675" t="s">
        <v>856</v>
      </c>
      <c r="CMS97" s="1675" t="s">
        <v>856</v>
      </c>
      <c r="CMT97" s="1675" t="s">
        <v>856</v>
      </c>
      <c r="CMU97" s="1675" t="s">
        <v>856</v>
      </c>
      <c r="CMV97" s="1675" t="s">
        <v>856</v>
      </c>
      <c r="CMW97" s="1675" t="s">
        <v>856</v>
      </c>
      <c r="CMX97" s="1675" t="s">
        <v>856</v>
      </c>
      <c r="CMY97" s="1675" t="s">
        <v>856</v>
      </c>
      <c r="CMZ97" s="1675" t="s">
        <v>856</v>
      </c>
      <c r="CNA97" s="1675" t="s">
        <v>856</v>
      </c>
      <c r="CNB97" s="1675" t="s">
        <v>856</v>
      </c>
      <c r="CNC97" s="1675" t="s">
        <v>856</v>
      </c>
      <c r="CND97" s="1675" t="s">
        <v>856</v>
      </c>
      <c r="CNE97" s="1675" t="s">
        <v>856</v>
      </c>
      <c r="CNF97" s="1675" t="s">
        <v>856</v>
      </c>
      <c r="CNG97" s="1675" t="s">
        <v>856</v>
      </c>
      <c r="CNH97" s="1675" t="s">
        <v>856</v>
      </c>
      <c r="CNI97" s="1675" t="s">
        <v>856</v>
      </c>
      <c r="CNJ97" s="1675" t="s">
        <v>856</v>
      </c>
      <c r="CNK97" s="1675" t="s">
        <v>856</v>
      </c>
      <c r="CNL97" s="1675" t="s">
        <v>856</v>
      </c>
      <c r="CNM97" s="1675" t="s">
        <v>856</v>
      </c>
      <c r="CNN97" s="1675" t="s">
        <v>856</v>
      </c>
      <c r="CNO97" s="1675" t="s">
        <v>856</v>
      </c>
      <c r="CNP97" s="1675" t="s">
        <v>856</v>
      </c>
      <c r="CNQ97" s="1675" t="s">
        <v>856</v>
      </c>
      <c r="CNR97" s="1675" t="s">
        <v>856</v>
      </c>
      <c r="CNS97" s="1675" t="s">
        <v>856</v>
      </c>
      <c r="CNT97" s="1675" t="s">
        <v>856</v>
      </c>
      <c r="CNU97" s="1675" t="s">
        <v>856</v>
      </c>
      <c r="CNV97" s="1675" t="s">
        <v>856</v>
      </c>
      <c r="CNW97" s="1675" t="s">
        <v>856</v>
      </c>
      <c r="CNX97" s="1675" t="s">
        <v>856</v>
      </c>
      <c r="CNY97" s="1675" t="s">
        <v>856</v>
      </c>
      <c r="CNZ97" s="1675" t="s">
        <v>856</v>
      </c>
      <c r="COA97" s="1675" t="s">
        <v>856</v>
      </c>
      <c r="COB97" s="1675" t="s">
        <v>856</v>
      </c>
      <c r="COC97" s="1675" t="s">
        <v>856</v>
      </c>
      <c r="COD97" s="1675" t="s">
        <v>856</v>
      </c>
      <c r="COE97" s="1675" t="s">
        <v>856</v>
      </c>
      <c r="COF97" s="1675" t="s">
        <v>856</v>
      </c>
      <c r="COG97" s="1675" t="s">
        <v>856</v>
      </c>
      <c r="COH97" s="1675" t="s">
        <v>856</v>
      </c>
      <c r="COI97" s="1675" t="s">
        <v>856</v>
      </c>
      <c r="COJ97" s="1675" t="s">
        <v>856</v>
      </c>
      <c r="COK97" s="1675" t="s">
        <v>856</v>
      </c>
      <c r="COL97" s="1675" t="s">
        <v>856</v>
      </c>
      <c r="COM97" s="1675" t="s">
        <v>856</v>
      </c>
      <c r="CON97" s="1675" t="s">
        <v>856</v>
      </c>
      <c r="COO97" s="1675" t="s">
        <v>856</v>
      </c>
      <c r="COP97" s="1675" t="s">
        <v>856</v>
      </c>
      <c r="COQ97" s="1675" t="s">
        <v>856</v>
      </c>
      <c r="COR97" s="1675" t="s">
        <v>856</v>
      </c>
      <c r="COS97" s="1675" t="s">
        <v>856</v>
      </c>
      <c r="COT97" s="1675" t="s">
        <v>856</v>
      </c>
      <c r="COU97" s="1675" t="s">
        <v>856</v>
      </c>
      <c r="COV97" s="1675" t="s">
        <v>856</v>
      </c>
      <c r="COW97" s="1675" t="s">
        <v>856</v>
      </c>
      <c r="COX97" s="1675" t="s">
        <v>856</v>
      </c>
      <c r="COY97" s="1675" t="s">
        <v>856</v>
      </c>
      <c r="COZ97" s="1675" t="s">
        <v>856</v>
      </c>
      <c r="CPA97" s="1675" t="s">
        <v>856</v>
      </c>
      <c r="CPB97" s="1675" t="s">
        <v>856</v>
      </c>
      <c r="CPC97" s="1675" t="s">
        <v>856</v>
      </c>
      <c r="CPD97" s="1675" t="s">
        <v>856</v>
      </c>
      <c r="CPE97" s="1675" t="s">
        <v>856</v>
      </c>
      <c r="CPF97" s="1675" t="s">
        <v>856</v>
      </c>
      <c r="CPG97" s="1675" t="s">
        <v>856</v>
      </c>
      <c r="CPH97" s="1675" t="s">
        <v>856</v>
      </c>
      <c r="CPI97" s="1675" t="s">
        <v>856</v>
      </c>
      <c r="CPJ97" s="1675" t="s">
        <v>856</v>
      </c>
      <c r="CPK97" s="1675" t="s">
        <v>856</v>
      </c>
      <c r="CPL97" s="1675" t="s">
        <v>856</v>
      </c>
      <c r="CPM97" s="1675" t="s">
        <v>856</v>
      </c>
      <c r="CPN97" s="1675" t="s">
        <v>856</v>
      </c>
      <c r="CPO97" s="1675" t="s">
        <v>856</v>
      </c>
      <c r="CPP97" s="1675" t="s">
        <v>856</v>
      </c>
      <c r="CPQ97" s="1675" t="s">
        <v>856</v>
      </c>
      <c r="CPR97" s="1675" t="s">
        <v>856</v>
      </c>
      <c r="CPS97" s="1675" t="s">
        <v>856</v>
      </c>
      <c r="CPT97" s="1675" t="s">
        <v>856</v>
      </c>
      <c r="CPU97" s="1675" t="s">
        <v>856</v>
      </c>
      <c r="CPV97" s="1675" t="s">
        <v>856</v>
      </c>
      <c r="CPW97" s="1675" t="s">
        <v>856</v>
      </c>
      <c r="CPX97" s="1675" t="s">
        <v>856</v>
      </c>
      <c r="CPY97" s="1675" t="s">
        <v>856</v>
      </c>
      <c r="CPZ97" s="1675" t="s">
        <v>856</v>
      </c>
      <c r="CQA97" s="1675" t="s">
        <v>856</v>
      </c>
      <c r="CQB97" s="1675" t="s">
        <v>856</v>
      </c>
      <c r="CQC97" s="1675" t="s">
        <v>856</v>
      </c>
      <c r="CQD97" s="1675" t="s">
        <v>856</v>
      </c>
      <c r="CQE97" s="1675" t="s">
        <v>856</v>
      </c>
      <c r="CQF97" s="1675" t="s">
        <v>856</v>
      </c>
      <c r="CQG97" s="1675" t="s">
        <v>856</v>
      </c>
      <c r="CQH97" s="1675" t="s">
        <v>856</v>
      </c>
      <c r="CQI97" s="1675" t="s">
        <v>856</v>
      </c>
      <c r="CQJ97" s="1675" t="s">
        <v>856</v>
      </c>
      <c r="CQK97" s="1675" t="s">
        <v>856</v>
      </c>
      <c r="CQL97" s="1675" t="s">
        <v>856</v>
      </c>
      <c r="CQM97" s="1675" t="s">
        <v>856</v>
      </c>
      <c r="CQN97" s="1675" t="s">
        <v>856</v>
      </c>
      <c r="CQO97" s="1675" t="s">
        <v>856</v>
      </c>
      <c r="CQP97" s="1675" t="s">
        <v>856</v>
      </c>
      <c r="CQQ97" s="1675" t="s">
        <v>856</v>
      </c>
      <c r="CQR97" s="1675" t="s">
        <v>856</v>
      </c>
      <c r="CQS97" s="1675" t="s">
        <v>856</v>
      </c>
      <c r="CQT97" s="1675" t="s">
        <v>856</v>
      </c>
      <c r="CQU97" s="1675" t="s">
        <v>856</v>
      </c>
      <c r="CQV97" s="1675" t="s">
        <v>856</v>
      </c>
      <c r="CQW97" s="1675" t="s">
        <v>856</v>
      </c>
      <c r="CQX97" s="1675" t="s">
        <v>856</v>
      </c>
      <c r="CQY97" s="1675" t="s">
        <v>856</v>
      </c>
      <c r="CQZ97" s="1675" t="s">
        <v>856</v>
      </c>
      <c r="CRA97" s="1675" t="s">
        <v>856</v>
      </c>
      <c r="CRB97" s="1675" t="s">
        <v>856</v>
      </c>
      <c r="CRC97" s="1675" t="s">
        <v>856</v>
      </c>
      <c r="CRD97" s="1675" t="s">
        <v>856</v>
      </c>
      <c r="CRE97" s="1675" t="s">
        <v>856</v>
      </c>
      <c r="CRF97" s="1675" t="s">
        <v>856</v>
      </c>
      <c r="CRG97" s="1675" t="s">
        <v>856</v>
      </c>
      <c r="CRH97" s="1675" t="s">
        <v>856</v>
      </c>
      <c r="CRI97" s="1675" t="s">
        <v>856</v>
      </c>
      <c r="CRJ97" s="1675" t="s">
        <v>856</v>
      </c>
      <c r="CRK97" s="1675" t="s">
        <v>856</v>
      </c>
      <c r="CRL97" s="1675" t="s">
        <v>856</v>
      </c>
      <c r="CRM97" s="1675" t="s">
        <v>856</v>
      </c>
      <c r="CRN97" s="1675" t="s">
        <v>856</v>
      </c>
      <c r="CRO97" s="1675" t="s">
        <v>856</v>
      </c>
      <c r="CRP97" s="1675" t="s">
        <v>856</v>
      </c>
      <c r="CRQ97" s="1675" t="s">
        <v>856</v>
      </c>
      <c r="CRR97" s="1675" t="s">
        <v>856</v>
      </c>
      <c r="CRS97" s="1675" t="s">
        <v>856</v>
      </c>
      <c r="CRT97" s="1675" t="s">
        <v>856</v>
      </c>
      <c r="CRU97" s="1675" t="s">
        <v>856</v>
      </c>
      <c r="CRV97" s="1675" t="s">
        <v>856</v>
      </c>
      <c r="CRW97" s="1675" t="s">
        <v>856</v>
      </c>
      <c r="CRX97" s="1675" t="s">
        <v>856</v>
      </c>
      <c r="CRY97" s="1675" t="s">
        <v>856</v>
      </c>
      <c r="CRZ97" s="1675" t="s">
        <v>856</v>
      </c>
      <c r="CSA97" s="1675" t="s">
        <v>856</v>
      </c>
      <c r="CSB97" s="1675" t="s">
        <v>856</v>
      </c>
      <c r="CSC97" s="1675" t="s">
        <v>856</v>
      </c>
      <c r="CSD97" s="1675" t="s">
        <v>856</v>
      </c>
      <c r="CSE97" s="1675" t="s">
        <v>856</v>
      </c>
      <c r="CSF97" s="1675" t="s">
        <v>856</v>
      </c>
      <c r="CSG97" s="1675" t="s">
        <v>856</v>
      </c>
      <c r="CSH97" s="1675" t="s">
        <v>856</v>
      </c>
      <c r="CSI97" s="1675" t="s">
        <v>856</v>
      </c>
      <c r="CSJ97" s="1675" t="s">
        <v>856</v>
      </c>
      <c r="CSK97" s="1675" t="s">
        <v>856</v>
      </c>
      <c r="CSL97" s="1675" t="s">
        <v>856</v>
      </c>
      <c r="CSM97" s="1675" t="s">
        <v>856</v>
      </c>
      <c r="CSN97" s="1675" t="s">
        <v>856</v>
      </c>
      <c r="CSO97" s="1675" t="s">
        <v>856</v>
      </c>
      <c r="CSP97" s="1675" t="s">
        <v>856</v>
      </c>
      <c r="CSQ97" s="1675" t="s">
        <v>856</v>
      </c>
      <c r="CSR97" s="1675" t="s">
        <v>856</v>
      </c>
      <c r="CSS97" s="1675" t="s">
        <v>856</v>
      </c>
      <c r="CST97" s="1675" t="s">
        <v>856</v>
      </c>
      <c r="CSU97" s="1675" t="s">
        <v>856</v>
      </c>
      <c r="CSV97" s="1675" t="s">
        <v>856</v>
      </c>
      <c r="CSW97" s="1675" t="s">
        <v>856</v>
      </c>
      <c r="CSX97" s="1675" t="s">
        <v>856</v>
      </c>
      <c r="CSY97" s="1675" t="s">
        <v>856</v>
      </c>
      <c r="CSZ97" s="1675" t="s">
        <v>856</v>
      </c>
      <c r="CTA97" s="1675" t="s">
        <v>856</v>
      </c>
      <c r="CTB97" s="1675" t="s">
        <v>856</v>
      </c>
      <c r="CTC97" s="1675" t="s">
        <v>856</v>
      </c>
      <c r="CTD97" s="1675" t="s">
        <v>856</v>
      </c>
      <c r="CTE97" s="1675" t="s">
        <v>856</v>
      </c>
      <c r="CTF97" s="1675" t="s">
        <v>856</v>
      </c>
      <c r="CTG97" s="1675" t="s">
        <v>856</v>
      </c>
      <c r="CTH97" s="1675" t="s">
        <v>856</v>
      </c>
      <c r="CTI97" s="1675" t="s">
        <v>856</v>
      </c>
      <c r="CTJ97" s="1675" t="s">
        <v>856</v>
      </c>
      <c r="CTK97" s="1675" t="s">
        <v>856</v>
      </c>
      <c r="CTL97" s="1675" t="s">
        <v>856</v>
      </c>
      <c r="CTM97" s="1675" t="s">
        <v>856</v>
      </c>
      <c r="CTN97" s="1675" t="s">
        <v>856</v>
      </c>
      <c r="CTO97" s="1675" t="s">
        <v>856</v>
      </c>
      <c r="CTP97" s="1675" t="s">
        <v>856</v>
      </c>
      <c r="CTQ97" s="1675" t="s">
        <v>856</v>
      </c>
      <c r="CTR97" s="1675" t="s">
        <v>856</v>
      </c>
      <c r="CTS97" s="1675" t="s">
        <v>856</v>
      </c>
      <c r="CTT97" s="1675" t="s">
        <v>856</v>
      </c>
      <c r="CTU97" s="1675" t="s">
        <v>856</v>
      </c>
      <c r="CTV97" s="1675" t="s">
        <v>856</v>
      </c>
      <c r="CTW97" s="1675" t="s">
        <v>856</v>
      </c>
      <c r="CTX97" s="1675" t="s">
        <v>856</v>
      </c>
      <c r="CTY97" s="1675" t="s">
        <v>856</v>
      </c>
      <c r="CTZ97" s="1675" t="s">
        <v>856</v>
      </c>
      <c r="CUA97" s="1675" t="s">
        <v>856</v>
      </c>
      <c r="CUB97" s="1675" t="s">
        <v>856</v>
      </c>
      <c r="CUC97" s="1675" t="s">
        <v>856</v>
      </c>
      <c r="CUD97" s="1675" t="s">
        <v>856</v>
      </c>
      <c r="CUE97" s="1675" t="s">
        <v>856</v>
      </c>
      <c r="CUF97" s="1675" t="s">
        <v>856</v>
      </c>
      <c r="CUG97" s="1675" t="s">
        <v>856</v>
      </c>
      <c r="CUH97" s="1675" t="s">
        <v>856</v>
      </c>
      <c r="CUI97" s="1675" t="s">
        <v>856</v>
      </c>
      <c r="CUJ97" s="1675" t="s">
        <v>856</v>
      </c>
      <c r="CUK97" s="1675" t="s">
        <v>856</v>
      </c>
      <c r="CUL97" s="1675" t="s">
        <v>856</v>
      </c>
      <c r="CUM97" s="1675" t="s">
        <v>856</v>
      </c>
      <c r="CUN97" s="1675" t="s">
        <v>856</v>
      </c>
      <c r="CUO97" s="1675" t="s">
        <v>856</v>
      </c>
      <c r="CUP97" s="1675" t="s">
        <v>856</v>
      </c>
      <c r="CUQ97" s="1675" t="s">
        <v>856</v>
      </c>
      <c r="CUR97" s="1675" t="s">
        <v>856</v>
      </c>
      <c r="CUS97" s="1675" t="s">
        <v>856</v>
      </c>
      <c r="CUT97" s="1675" t="s">
        <v>856</v>
      </c>
      <c r="CUU97" s="1675" t="s">
        <v>856</v>
      </c>
      <c r="CUV97" s="1675" t="s">
        <v>856</v>
      </c>
      <c r="CUW97" s="1675" t="s">
        <v>856</v>
      </c>
      <c r="CUX97" s="1675" t="s">
        <v>856</v>
      </c>
      <c r="CUY97" s="1675" t="s">
        <v>856</v>
      </c>
      <c r="CUZ97" s="1675" t="s">
        <v>856</v>
      </c>
      <c r="CVA97" s="1675" t="s">
        <v>856</v>
      </c>
      <c r="CVB97" s="1675" t="s">
        <v>856</v>
      </c>
      <c r="CVC97" s="1675" t="s">
        <v>856</v>
      </c>
      <c r="CVD97" s="1675" t="s">
        <v>856</v>
      </c>
      <c r="CVE97" s="1675" t="s">
        <v>856</v>
      </c>
      <c r="CVF97" s="1675" t="s">
        <v>856</v>
      </c>
      <c r="CVG97" s="1675" t="s">
        <v>856</v>
      </c>
      <c r="CVH97" s="1675" t="s">
        <v>856</v>
      </c>
      <c r="CVI97" s="1675" t="s">
        <v>856</v>
      </c>
      <c r="CVJ97" s="1675" t="s">
        <v>856</v>
      </c>
      <c r="CVK97" s="1675" t="s">
        <v>856</v>
      </c>
      <c r="CVL97" s="1675" t="s">
        <v>856</v>
      </c>
      <c r="CVM97" s="1675" t="s">
        <v>856</v>
      </c>
      <c r="CVN97" s="1675" t="s">
        <v>856</v>
      </c>
      <c r="CVO97" s="1675" t="s">
        <v>856</v>
      </c>
      <c r="CVP97" s="1675" t="s">
        <v>856</v>
      </c>
      <c r="CVQ97" s="1675" t="s">
        <v>856</v>
      </c>
      <c r="CVR97" s="1675" t="s">
        <v>856</v>
      </c>
      <c r="CVS97" s="1675" t="s">
        <v>856</v>
      </c>
      <c r="CVT97" s="1675" t="s">
        <v>856</v>
      </c>
      <c r="CVU97" s="1675" t="s">
        <v>856</v>
      </c>
      <c r="CVV97" s="1675" t="s">
        <v>856</v>
      </c>
      <c r="CVW97" s="1675" t="s">
        <v>856</v>
      </c>
      <c r="CVX97" s="1675" t="s">
        <v>856</v>
      </c>
      <c r="CVY97" s="1675" t="s">
        <v>856</v>
      </c>
      <c r="CVZ97" s="1675" t="s">
        <v>856</v>
      </c>
      <c r="CWA97" s="1675" t="s">
        <v>856</v>
      </c>
      <c r="CWB97" s="1675" t="s">
        <v>856</v>
      </c>
      <c r="CWC97" s="1675" t="s">
        <v>856</v>
      </c>
      <c r="CWD97" s="1675" t="s">
        <v>856</v>
      </c>
      <c r="CWE97" s="1675" t="s">
        <v>856</v>
      </c>
      <c r="CWF97" s="1675" t="s">
        <v>856</v>
      </c>
      <c r="CWG97" s="1675" t="s">
        <v>856</v>
      </c>
      <c r="CWH97" s="1675" t="s">
        <v>856</v>
      </c>
      <c r="CWI97" s="1675" t="s">
        <v>856</v>
      </c>
      <c r="CWJ97" s="1675" t="s">
        <v>856</v>
      </c>
      <c r="CWK97" s="1675" t="s">
        <v>856</v>
      </c>
      <c r="CWL97" s="1675" t="s">
        <v>856</v>
      </c>
      <c r="CWM97" s="1675" t="s">
        <v>856</v>
      </c>
      <c r="CWN97" s="1675" t="s">
        <v>856</v>
      </c>
      <c r="CWO97" s="1675" t="s">
        <v>856</v>
      </c>
      <c r="CWP97" s="1675" t="s">
        <v>856</v>
      </c>
      <c r="CWQ97" s="1675" t="s">
        <v>856</v>
      </c>
      <c r="CWR97" s="1675" t="s">
        <v>856</v>
      </c>
      <c r="CWS97" s="1675" t="s">
        <v>856</v>
      </c>
      <c r="CWT97" s="1675" t="s">
        <v>856</v>
      </c>
      <c r="CWU97" s="1675" t="s">
        <v>856</v>
      </c>
      <c r="CWV97" s="1675" t="s">
        <v>856</v>
      </c>
      <c r="CWW97" s="1675" t="s">
        <v>856</v>
      </c>
      <c r="CWX97" s="1675" t="s">
        <v>856</v>
      </c>
      <c r="CWY97" s="1675" t="s">
        <v>856</v>
      </c>
      <c r="CWZ97" s="1675" t="s">
        <v>856</v>
      </c>
      <c r="CXA97" s="1675" t="s">
        <v>856</v>
      </c>
      <c r="CXB97" s="1675" t="s">
        <v>856</v>
      </c>
      <c r="CXC97" s="1675" t="s">
        <v>856</v>
      </c>
      <c r="CXD97" s="1675" t="s">
        <v>856</v>
      </c>
      <c r="CXE97" s="1675" t="s">
        <v>856</v>
      </c>
      <c r="CXF97" s="1675" t="s">
        <v>856</v>
      </c>
      <c r="CXG97" s="1675" t="s">
        <v>856</v>
      </c>
      <c r="CXH97" s="1675" t="s">
        <v>856</v>
      </c>
      <c r="CXI97" s="1675" t="s">
        <v>856</v>
      </c>
      <c r="CXJ97" s="1675" t="s">
        <v>856</v>
      </c>
      <c r="CXK97" s="1675" t="s">
        <v>856</v>
      </c>
      <c r="CXL97" s="1675" t="s">
        <v>856</v>
      </c>
      <c r="CXM97" s="1675" t="s">
        <v>856</v>
      </c>
      <c r="CXN97" s="1675" t="s">
        <v>856</v>
      </c>
      <c r="CXO97" s="1675" t="s">
        <v>856</v>
      </c>
      <c r="CXP97" s="1675" t="s">
        <v>856</v>
      </c>
      <c r="CXQ97" s="1675" t="s">
        <v>856</v>
      </c>
      <c r="CXR97" s="1675" t="s">
        <v>856</v>
      </c>
      <c r="CXS97" s="1675" t="s">
        <v>856</v>
      </c>
      <c r="CXT97" s="1675" t="s">
        <v>856</v>
      </c>
      <c r="CXU97" s="1675" t="s">
        <v>856</v>
      </c>
      <c r="CXV97" s="1675" t="s">
        <v>856</v>
      </c>
      <c r="CXW97" s="1675" t="s">
        <v>856</v>
      </c>
      <c r="CXX97" s="1675" t="s">
        <v>856</v>
      </c>
      <c r="CXY97" s="1675" t="s">
        <v>856</v>
      </c>
      <c r="CXZ97" s="1675" t="s">
        <v>856</v>
      </c>
      <c r="CYA97" s="1675" t="s">
        <v>856</v>
      </c>
      <c r="CYB97" s="1675" t="s">
        <v>856</v>
      </c>
      <c r="CYC97" s="1675" t="s">
        <v>856</v>
      </c>
      <c r="CYD97" s="1675" t="s">
        <v>856</v>
      </c>
      <c r="CYE97" s="1675" t="s">
        <v>856</v>
      </c>
      <c r="CYF97" s="1675" t="s">
        <v>856</v>
      </c>
      <c r="CYG97" s="1675" t="s">
        <v>856</v>
      </c>
      <c r="CYH97" s="1675" t="s">
        <v>856</v>
      </c>
      <c r="CYI97" s="1675" t="s">
        <v>856</v>
      </c>
      <c r="CYJ97" s="1675" t="s">
        <v>856</v>
      </c>
      <c r="CYK97" s="1675" t="s">
        <v>856</v>
      </c>
      <c r="CYL97" s="1675" t="s">
        <v>856</v>
      </c>
      <c r="CYM97" s="1675" t="s">
        <v>856</v>
      </c>
      <c r="CYN97" s="1675" t="s">
        <v>856</v>
      </c>
      <c r="CYO97" s="1675" t="s">
        <v>856</v>
      </c>
      <c r="CYP97" s="1675" t="s">
        <v>856</v>
      </c>
      <c r="CYQ97" s="1675" t="s">
        <v>856</v>
      </c>
      <c r="CYR97" s="1675" t="s">
        <v>856</v>
      </c>
      <c r="CYS97" s="1675" t="s">
        <v>856</v>
      </c>
      <c r="CYT97" s="1675" t="s">
        <v>856</v>
      </c>
      <c r="CYU97" s="1675" t="s">
        <v>856</v>
      </c>
      <c r="CYV97" s="1675" t="s">
        <v>856</v>
      </c>
      <c r="CYW97" s="1675" t="s">
        <v>856</v>
      </c>
      <c r="CYX97" s="1675" t="s">
        <v>856</v>
      </c>
      <c r="CYY97" s="1675" t="s">
        <v>856</v>
      </c>
      <c r="CYZ97" s="1675" t="s">
        <v>856</v>
      </c>
      <c r="CZA97" s="1675" t="s">
        <v>856</v>
      </c>
      <c r="CZB97" s="1675" t="s">
        <v>856</v>
      </c>
      <c r="CZC97" s="1675" t="s">
        <v>856</v>
      </c>
      <c r="CZD97" s="1675" t="s">
        <v>856</v>
      </c>
      <c r="CZE97" s="1675" t="s">
        <v>856</v>
      </c>
      <c r="CZF97" s="1675" t="s">
        <v>856</v>
      </c>
      <c r="CZG97" s="1675" t="s">
        <v>856</v>
      </c>
      <c r="CZH97" s="1675" t="s">
        <v>856</v>
      </c>
      <c r="CZI97" s="1675" t="s">
        <v>856</v>
      </c>
      <c r="CZJ97" s="1675" t="s">
        <v>856</v>
      </c>
      <c r="CZK97" s="1675" t="s">
        <v>856</v>
      </c>
      <c r="CZL97" s="1675" t="s">
        <v>856</v>
      </c>
      <c r="CZM97" s="1675" t="s">
        <v>856</v>
      </c>
      <c r="CZN97" s="1675" t="s">
        <v>856</v>
      </c>
      <c r="CZO97" s="1675" t="s">
        <v>856</v>
      </c>
      <c r="CZP97" s="1675" t="s">
        <v>856</v>
      </c>
      <c r="CZQ97" s="1675" t="s">
        <v>856</v>
      </c>
      <c r="CZR97" s="1675" t="s">
        <v>856</v>
      </c>
      <c r="CZS97" s="1675" t="s">
        <v>856</v>
      </c>
      <c r="CZT97" s="1675" t="s">
        <v>856</v>
      </c>
      <c r="CZU97" s="1675" t="s">
        <v>856</v>
      </c>
      <c r="CZV97" s="1675" t="s">
        <v>856</v>
      </c>
      <c r="CZW97" s="1675" t="s">
        <v>856</v>
      </c>
      <c r="CZX97" s="1675" t="s">
        <v>856</v>
      </c>
      <c r="CZY97" s="1675" t="s">
        <v>856</v>
      </c>
      <c r="CZZ97" s="1675" t="s">
        <v>856</v>
      </c>
      <c r="DAA97" s="1675" t="s">
        <v>856</v>
      </c>
      <c r="DAB97" s="1675" t="s">
        <v>856</v>
      </c>
      <c r="DAC97" s="1675" t="s">
        <v>856</v>
      </c>
      <c r="DAD97" s="1675" t="s">
        <v>856</v>
      </c>
      <c r="DAE97" s="1675" t="s">
        <v>856</v>
      </c>
      <c r="DAF97" s="1675" t="s">
        <v>856</v>
      </c>
      <c r="DAG97" s="1675" t="s">
        <v>856</v>
      </c>
      <c r="DAH97" s="1675" t="s">
        <v>856</v>
      </c>
      <c r="DAI97" s="1675" t="s">
        <v>856</v>
      </c>
      <c r="DAJ97" s="1675" t="s">
        <v>856</v>
      </c>
      <c r="DAK97" s="1675" t="s">
        <v>856</v>
      </c>
      <c r="DAL97" s="1675" t="s">
        <v>856</v>
      </c>
      <c r="DAM97" s="1675" t="s">
        <v>856</v>
      </c>
      <c r="DAN97" s="1675" t="s">
        <v>856</v>
      </c>
      <c r="DAO97" s="1675" t="s">
        <v>856</v>
      </c>
      <c r="DAP97" s="1675" t="s">
        <v>856</v>
      </c>
      <c r="DAQ97" s="1675" t="s">
        <v>856</v>
      </c>
      <c r="DAR97" s="1675" t="s">
        <v>856</v>
      </c>
      <c r="DAS97" s="1675" t="s">
        <v>856</v>
      </c>
      <c r="DAT97" s="1675" t="s">
        <v>856</v>
      </c>
      <c r="DAU97" s="1675" t="s">
        <v>856</v>
      </c>
      <c r="DAV97" s="1675" t="s">
        <v>856</v>
      </c>
      <c r="DAW97" s="1675" t="s">
        <v>856</v>
      </c>
      <c r="DAX97" s="1675" t="s">
        <v>856</v>
      </c>
      <c r="DAY97" s="1675" t="s">
        <v>856</v>
      </c>
      <c r="DAZ97" s="1675" t="s">
        <v>856</v>
      </c>
      <c r="DBA97" s="1675" t="s">
        <v>856</v>
      </c>
      <c r="DBB97" s="1675" t="s">
        <v>856</v>
      </c>
      <c r="DBC97" s="1675" t="s">
        <v>856</v>
      </c>
      <c r="DBD97" s="1675" t="s">
        <v>856</v>
      </c>
      <c r="DBE97" s="1675" t="s">
        <v>856</v>
      </c>
      <c r="DBF97" s="1675" t="s">
        <v>856</v>
      </c>
      <c r="DBG97" s="1675" t="s">
        <v>856</v>
      </c>
      <c r="DBH97" s="1675" t="s">
        <v>856</v>
      </c>
      <c r="DBI97" s="1675" t="s">
        <v>856</v>
      </c>
      <c r="DBJ97" s="1675" t="s">
        <v>856</v>
      </c>
      <c r="DBK97" s="1675" t="s">
        <v>856</v>
      </c>
      <c r="DBL97" s="1675" t="s">
        <v>856</v>
      </c>
      <c r="DBM97" s="1675" t="s">
        <v>856</v>
      </c>
      <c r="DBN97" s="1675" t="s">
        <v>856</v>
      </c>
      <c r="DBO97" s="1675" t="s">
        <v>856</v>
      </c>
      <c r="DBP97" s="1675" t="s">
        <v>856</v>
      </c>
      <c r="DBQ97" s="1675" t="s">
        <v>856</v>
      </c>
      <c r="DBR97" s="1675" t="s">
        <v>856</v>
      </c>
      <c r="DBS97" s="1675" t="s">
        <v>856</v>
      </c>
      <c r="DBT97" s="1675" t="s">
        <v>856</v>
      </c>
      <c r="DBU97" s="1675" t="s">
        <v>856</v>
      </c>
      <c r="DBV97" s="1675" t="s">
        <v>856</v>
      </c>
      <c r="DBW97" s="1675" t="s">
        <v>856</v>
      </c>
      <c r="DBX97" s="1675" t="s">
        <v>856</v>
      </c>
      <c r="DBY97" s="1675" t="s">
        <v>856</v>
      </c>
      <c r="DBZ97" s="1675" t="s">
        <v>856</v>
      </c>
      <c r="DCA97" s="1675" t="s">
        <v>856</v>
      </c>
      <c r="DCB97" s="1675" t="s">
        <v>856</v>
      </c>
      <c r="DCC97" s="1675" t="s">
        <v>856</v>
      </c>
      <c r="DCD97" s="1675" t="s">
        <v>856</v>
      </c>
      <c r="DCE97" s="1675" t="s">
        <v>856</v>
      </c>
      <c r="DCF97" s="1675" t="s">
        <v>856</v>
      </c>
      <c r="DCG97" s="1675" t="s">
        <v>856</v>
      </c>
      <c r="DCH97" s="1675" t="s">
        <v>856</v>
      </c>
      <c r="DCI97" s="1675" t="s">
        <v>856</v>
      </c>
      <c r="DCJ97" s="1675" t="s">
        <v>856</v>
      </c>
      <c r="DCK97" s="1675" t="s">
        <v>856</v>
      </c>
      <c r="DCL97" s="1675" t="s">
        <v>856</v>
      </c>
      <c r="DCM97" s="1675" t="s">
        <v>856</v>
      </c>
      <c r="DCN97" s="1675" t="s">
        <v>856</v>
      </c>
      <c r="DCO97" s="1675" t="s">
        <v>856</v>
      </c>
      <c r="DCP97" s="1675" t="s">
        <v>856</v>
      </c>
      <c r="DCQ97" s="1675" t="s">
        <v>856</v>
      </c>
      <c r="DCR97" s="1675" t="s">
        <v>856</v>
      </c>
      <c r="DCS97" s="1675" t="s">
        <v>856</v>
      </c>
      <c r="DCT97" s="1675" t="s">
        <v>856</v>
      </c>
      <c r="DCU97" s="1675" t="s">
        <v>856</v>
      </c>
      <c r="DCV97" s="1675" t="s">
        <v>856</v>
      </c>
      <c r="DCW97" s="1675" t="s">
        <v>856</v>
      </c>
      <c r="DCX97" s="1675" t="s">
        <v>856</v>
      </c>
      <c r="DCY97" s="1675" t="s">
        <v>856</v>
      </c>
      <c r="DCZ97" s="1675" t="s">
        <v>856</v>
      </c>
      <c r="DDA97" s="1675" t="s">
        <v>856</v>
      </c>
      <c r="DDB97" s="1675" t="s">
        <v>856</v>
      </c>
      <c r="DDC97" s="1675" t="s">
        <v>856</v>
      </c>
      <c r="DDD97" s="1675" t="s">
        <v>856</v>
      </c>
      <c r="DDE97" s="1675" t="s">
        <v>856</v>
      </c>
      <c r="DDF97" s="1675" t="s">
        <v>856</v>
      </c>
      <c r="DDG97" s="1675" t="s">
        <v>856</v>
      </c>
      <c r="DDH97" s="1675" t="s">
        <v>856</v>
      </c>
      <c r="DDI97" s="1675" t="s">
        <v>856</v>
      </c>
      <c r="DDJ97" s="1675" t="s">
        <v>856</v>
      </c>
      <c r="DDK97" s="1675" t="s">
        <v>856</v>
      </c>
      <c r="DDL97" s="1675" t="s">
        <v>856</v>
      </c>
      <c r="DDM97" s="1675" t="s">
        <v>856</v>
      </c>
      <c r="DDN97" s="1675" t="s">
        <v>856</v>
      </c>
      <c r="DDO97" s="1675" t="s">
        <v>856</v>
      </c>
      <c r="DDP97" s="1675" t="s">
        <v>856</v>
      </c>
      <c r="DDQ97" s="1675" t="s">
        <v>856</v>
      </c>
      <c r="DDR97" s="1675" t="s">
        <v>856</v>
      </c>
      <c r="DDS97" s="1675" t="s">
        <v>856</v>
      </c>
      <c r="DDT97" s="1675" t="s">
        <v>856</v>
      </c>
      <c r="DDU97" s="1675" t="s">
        <v>856</v>
      </c>
      <c r="DDV97" s="1675" t="s">
        <v>856</v>
      </c>
      <c r="DDW97" s="1675" t="s">
        <v>856</v>
      </c>
      <c r="DDX97" s="1675" t="s">
        <v>856</v>
      </c>
      <c r="DDY97" s="1675" t="s">
        <v>856</v>
      </c>
      <c r="DDZ97" s="1675" t="s">
        <v>856</v>
      </c>
      <c r="DEA97" s="1675" t="s">
        <v>856</v>
      </c>
      <c r="DEB97" s="1675" t="s">
        <v>856</v>
      </c>
      <c r="DEC97" s="1675" t="s">
        <v>856</v>
      </c>
      <c r="DED97" s="1675" t="s">
        <v>856</v>
      </c>
      <c r="DEE97" s="1675" t="s">
        <v>856</v>
      </c>
      <c r="DEF97" s="1675" t="s">
        <v>856</v>
      </c>
      <c r="DEG97" s="1675" t="s">
        <v>856</v>
      </c>
      <c r="DEH97" s="1675" t="s">
        <v>856</v>
      </c>
      <c r="DEI97" s="1675" t="s">
        <v>856</v>
      </c>
      <c r="DEJ97" s="1675" t="s">
        <v>856</v>
      </c>
      <c r="DEK97" s="1675" t="s">
        <v>856</v>
      </c>
      <c r="DEL97" s="1675" t="s">
        <v>856</v>
      </c>
      <c r="DEM97" s="1675" t="s">
        <v>856</v>
      </c>
      <c r="DEN97" s="1675" t="s">
        <v>856</v>
      </c>
      <c r="DEO97" s="1675" t="s">
        <v>856</v>
      </c>
      <c r="DEP97" s="1675" t="s">
        <v>856</v>
      </c>
      <c r="DEQ97" s="1675" t="s">
        <v>856</v>
      </c>
      <c r="DER97" s="1675" t="s">
        <v>856</v>
      </c>
      <c r="DES97" s="1675" t="s">
        <v>856</v>
      </c>
      <c r="DET97" s="1675" t="s">
        <v>856</v>
      </c>
      <c r="DEU97" s="1675" t="s">
        <v>856</v>
      </c>
      <c r="DEV97" s="1675" t="s">
        <v>856</v>
      </c>
      <c r="DEW97" s="1675" t="s">
        <v>856</v>
      </c>
      <c r="DEX97" s="1675" t="s">
        <v>856</v>
      </c>
      <c r="DEY97" s="1675" t="s">
        <v>856</v>
      </c>
      <c r="DEZ97" s="1675" t="s">
        <v>856</v>
      </c>
      <c r="DFA97" s="1675" t="s">
        <v>856</v>
      </c>
      <c r="DFB97" s="1675" t="s">
        <v>856</v>
      </c>
      <c r="DFC97" s="1675" t="s">
        <v>856</v>
      </c>
      <c r="DFD97" s="1675" t="s">
        <v>856</v>
      </c>
      <c r="DFE97" s="1675" t="s">
        <v>856</v>
      </c>
      <c r="DFF97" s="1675" t="s">
        <v>856</v>
      </c>
      <c r="DFG97" s="1675" t="s">
        <v>856</v>
      </c>
      <c r="DFH97" s="1675" t="s">
        <v>856</v>
      </c>
      <c r="DFI97" s="1675" t="s">
        <v>856</v>
      </c>
      <c r="DFJ97" s="1675" t="s">
        <v>856</v>
      </c>
      <c r="DFK97" s="1675" t="s">
        <v>856</v>
      </c>
      <c r="DFL97" s="1675" t="s">
        <v>856</v>
      </c>
      <c r="DFM97" s="1675" t="s">
        <v>856</v>
      </c>
      <c r="DFN97" s="1675" t="s">
        <v>856</v>
      </c>
      <c r="DFO97" s="1675" t="s">
        <v>856</v>
      </c>
      <c r="DFP97" s="1675" t="s">
        <v>856</v>
      </c>
      <c r="DFQ97" s="1675" t="s">
        <v>856</v>
      </c>
      <c r="DFR97" s="1675" t="s">
        <v>856</v>
      </c>
      <c r="DFS97" s="1675" t="s">
        <v>856</v>
      </c>
      <c r="DFT97" s="1675" t="s">
        <v>856</v>
      </c>
      <c r="DFU97" s="1675" t="s">
        <v>856</v>
      </c>
      <c r="DFV97" s="1675" t="s">
        <v>856</v>
      </c>
      <c r="DFW97" s="1675" t="s">
        <v>856</v>
      </c>
      <c r="DFX97" s="1675" t="s">
        <v>856</v>
      </c>
      <c r="DFY97" s="1675" t="s">
        <v>856</v>
      </c>
      <c r="DFZ97" s="1675" t="s">
        <v>856</v>
      </c>
      <c r="DGA97" s="1675" t="s">
        <v>856</v>
      </c>
      <c r="DGB97" s="1675" t="s">
        <v>856</v>
      </c>
      <c r="DGC97" s="1675" t="s">
        <v>856</v>
      </c>
      <c r="DGD97" s="1675" t="s">
        <v>856</v>
      </c>
      <c r="DGE97" s="1675" t="s">
        <v>856</v>
      </c>
      <c r="DGF97" s="1675" t="s">
        <v>856</v>
      </c>
      <c r="DGG97" s="1675" t="s">
        <v>856</v>
      </c>
      <c r="DGH97" s="1675" t="s">
        <v>856</v>
      </c>
      <c r="DGI97" s="1675" t="s">
        <v>856</v>
      </c>
      <c r="DGJ97" s="1675" t="s">
        <v>856</v>
      </c>
      <c r="DGK97" s="1675" t="s">
        <v>856</v>
      </c>
      <c r="DGL97" s="1675" t="s">
        <v>856</v>
      </c>
      <c r="DGM97" s="1675" t="s">
        <v>856</v>
      </c>
      <c r="DGN97" s="1675" t="s">
        <v>856</v>
      </c>
      <c r="DGO97" s="1675" t="s">
        <v>856</v>
      </c>
      <c r="DGP97" s="1675" t="s">
        <v>856</v>
      </c>
      <c r="DGQ97" s="1675" t="s">
        <v>856</v>
      </c>
      <c r="DGR97" s="1675" t="s">
        <v>856</v>
      </c>
      <c r="DGS97" s="1675" t="s">
        <v>856</v>
      </c>
      <c r="DGT97" s="1675" t="s">
        <v>856</v>
      </c>
      <c r="DGU97" s="1675" t="s">
        <v>856</v>
      </c>
      <c r="DGV97" s="1675" t="s">
        <v>856</v>
      </c>
      <c r="DGW97" s="1675" t="s">
        <v>856</v>
      </c>
      <c r="DGX97" s="1675" t="s">
        <v>856</v>
      </c>
      <c r="DGY97" s="1675" t="s">
        <v>856</v>
      </c>
      <c r="DGZ97" s="1675" t="s">
        <v>856</v>
      </c>
      <c r="DHA97" s="1675" t="s">
        <v>856</v>
      </c>
      <c r="DHB97" s="1675" t="s">
        <v>856</v>
      </c>
      <c r="DHC97" s="1675" t="s">
        <v>856</v>
      </c>
      <c r="DHD97" s="1675" t="s">
        <v>856</v>
      </c>
      <c r="DHE97" s="1675" t="s">
        <v>856</v>
      </c>
      <c r="DHF97" s="1675" t="s">
        <v>856</v>
      </c>
      <c r="DHG97" s="1675" t="s">
        <v>856</v>
      </c>
      <c r="DHH97" s="1675" t="s">
        <v>856</v>
      </c>
      <c r="DHI97" s="1675" t="s">
        <v>856</v>
      </c>
      <c r="DHJ97" s="1675" t="s">
        <v>856</v>
      </c>
      <c r="DHK97" s="1675" t="s">
        <v>856</v>
      </c>
      <c r="DHL97" s="1675" t="s">
        <v>856</v>
      </c>
      <c r="DHM97" s="1675" t="s">
        <v>856</v>
      </c>
      <c r="DHN97" s="1675" t="s">
        <v>856</v>
      </c>
      <c r="DHO97" s="1675" t="s">
        <v>856</v>
      </c>
      <c r="DHP97" s="1675" t="s">
        <v>856</v>
      </c>
      <c r="DHQ97" s="1675" t="s">
        <v>856</v>
      </c>
      <c r="DHR97" s="1675" t="s">
        <v>856</v>
      </c>
      <c r="DHS97" s="1675" t="s">
        <v>856</v>
      </c>
      <c r="DHT97" s="1675" t="s">
        <v>856</v>
      </c>
      <c r="DHU97" s="1675" t="s">
        <v>856</v>
      </c>
      <c r="DHV97" s="1675" t="s">
        <v>856</v>
      </c>
      <c r="DHW97" s="1675" t="s">
        <v>856</v>
      </c>
      <c r="DHX97" s="1675" t="s">
        <v>856</v>
      </c>
      <c r="DHY97" s="1675" t="s">
        <v>856</v>
      </c>
      <c r="DHZ97" s="1675" t="s">
        <v>856</v>
      </c>
      <c r="DIA97" s="1675" t="s">
        <v>856</v>
      </c>
      <c r="DIB97" s="1675" t="s">
        <v>856</v>
      </c>
      <c r="DIC97" s="1675" t="s">
        <v>856</v>
      </c>
      <c r="DID97" s="1675" t="s">
        <v>856</v>
      </c>
      <c r="DIE97" s="1675" t="s">
        <v>856</v>
      </c>
      <c r="DIF97" s="1675" t="s">
        <v>856</v>
      </c>
      <c r="DIG97" s="1675" t="s">
        <v>856</v>
      </c>
      <c r="DIH97" s="1675" t="s">
        <v>856</v>
      </c>
      <c r="DII97" s="1675" t="s">
        <v>856</v>
      </c>
      <c r="DIJ97" s="1675" t="s">
        <v>856</v>
      </c>
      <c r="DIK97" s="1675" t="s">
        <v>856</v>
      </c>
      <c r="DIL97" s="1675" t="s">
        <v>856</v>
      </c>
      <c r="DIM97" s="1675" t="s">
        <v>856</v>
      </c>
      <c r="DIN97" s="1675" t="s">
        <v>856</v>
      </c>
      <c r="DIO97" s="1675" t="s">
        <v>856</v>
      </c>
      <c r="DIP97" s="1675" t="s">
        <v>856</v>
      </c>
      <c r="DIQ97" s="1675" t="s">
        <v>856</v>
      </c>
      <c r="DIR97" s="1675" t="s">
        <v>856</v>
      </c>
      <c r="DIS97" s="1675" t="s">
        <v>856</v>
      </c>
      <c r="DIT97" s="1675" t="s">
        <v>856</v>
      </c>
      <c r="DIU97" s="1675" t="s">
        <v>856</v>
      </c>
      <c r="DIV97" s="1675" t="s">
        <v>856</v>
      </c>
      <c r="DIW97" s="1675" t="s">
        <v>856</v>
      </c>
      <c r="DIX97" s="1675" t="s">
        <v>856</v>
      </c>
      <c r="DIY97" s="1675" t="s">
        <v>856</v>
      </c>
      <c r="DIZ97" s="1675" t="s">
        <v>856</v>
      </c>
      <c r="DJA97" s="1675" t="s">
        <v>856</v>
      </c>
      <c r="DJB97" s="1675" t="s">
        <v>856</v>
      </c>
      <c r="DJC97" s="1675" t="s">
        <v>856</v>
      </c>
      <c r="DJD97" s="1675" t="s">
        <v>856</v>
      </c>
      <c r="DJE97" s="1675" t="s">
        <v>856</v>
      </c>
      <c r="DJF97" s="1675" t="s">
        <v>856</v>
      </c>
      <c r="DJG97" s="1675" t="s">
        <v>856</v>
      </c>
      <c r="DJH97" s="1675" t="s">
        <v>856</v>
      </c>
      <c r="DJI97" s="1675" t="s">
        <v>856</v>
      </c>
      <c r="DJJ97" s="1675" t="s">
        <v>856</v>
      </c>
      <c r="DJK97" s="1675" t="s">
        <v>856</v>
      </c>
      <c r="DJL97" s="1675" t="s">
        <v>856</v>
      </c>
      <c r="DJM97" s="1675" t="s">
        <v>856</v>
      </c>
      <c r="DJN97" s="1675" t="s">
        <v>856</v>
      </c>
      <c r="DJO97" s="1675" t="s">
        <v>856</v>
      </c>
      <c r="DJP97" s="1675" t="s">
        <v>856</v>
      </c>
      <c r="DJQ97" s="1675" t="s">
        <v>856</v>
      </c>
      <c r="DJR97" s="1675" t="s">
        <v>856</v>
      </c>
      <c r="DJS97" s="1675" t="s">
        <v>856</v>
      </c>
      <c r="DJT97" s="1675" t="s">
        <v>856</v>
      </c>
      <c r="DJU97" s="1675" t="s">
        <v>856</v>
      </c>
      <c r="DJV97" s="1675" t="s">
        <v>856</v>
      </c>
      <c r="DJW97" s="1675" t="s">
        <v>856</v>
      </c>
      <c r="DJX97" s="1675" t="s">
        <v>856</v>
      </c>
      <c r="DJY97" s="1675" t="s">
        <v>856</v>
      </c>
      <c r="DJZ97" s="1675" t="s">
        <v>856</v>
      </c>
      <c r="DKA97" s="1675" t="s">
        <v>856</v>
      </c>
      <c r="DKB97" s="1675" t="s">
        <v>856</v>
      </c>
      <c r="DKC97" s="1675" t="s">
        <v>856</v>
      </c>
      <c r="DKD97" s="1675" t="s">
        <v>856</v>
      </c>
      <c r="DKE97" s="1675" t="s">
        <v>856</v>
      </c>
      <c r="DKF97" s="1675" t="s">
        <v>856</v>
      </c>
      <c r="DKG97" s="1675" t="s">
        <v>856</v>
      </c>
      <c r="DKH97" s="1675" t="s">
        <v>856</v>
      </c>
      <c r="DKI97" s="1675" t="s">
        <v>856</v>
      </c>
      <c r="DKJ97" s="1675" t="s">
        <v>856</v>
      </c>
      <c r="DKK97" s="1675" t="s">
        <v>856</v>
      </c>
      <c r="DKL97" s="1675" t="s">
        <v>856</v>
      </c>
      <c r="DKM97" s="1675" t="s">
        <v>856</v>
      </c>
      <c r="DKN97" s="1675" t="s">
        <v>856</v>
      </c>
      <c r="DKO97" s="1675" t="s">
        <v>856</v>
      </c>
      <c r="DKP97" s="1675" t="s">
        <v>856</v>
      </c>
      <c r="DKQ97" s="1675" t="s">
        <v>856</v>
      </c>
      <c r="DKR97" s="1675" t="s">
        <v>856</v>
      </c>
      <c r="DKS97" s="1675" t="s">
        <v>856</v>
      </c>
      <c r="DKT97" s="1675" t="s">
        <v>856</v>
      </c>
      <c r="DKU97" s="1675" t="s">
        <v>856</v>
      </c>
      <c r="DKV97" s="1675" t="s">
        <v>856</v>
      </c>
      <c r="DKW97" s="1675" t="s">
        <v>856</v>
      </c>
      <c r="DKX97" s="1675" t="s">
        <v>856</v>
      </c>
      <c r="DKY97" s="1675" t="s">
        <v>856</v>
      </c>
      <c r="DKZ97" s="1675" t="s">
        <v>856</v>
      </c>
      <c r="DLA97" s="1675" t="s">
        <v>856</v>
      </c>
      <c r="DLB97" s="1675" t="s">
        <v>856</v>
      </c>
      <c r="DLC97" s="1675" t="s">
        <v>856</v>
      </c>
      <c r="DLD97" s="1675" t="s">
        <v>856</v>
      </c>
      <c r="DLE97" s="1675" t="s">
        <v>856</v>
      </c>
      <c r="DLF97" s="1675" t="s">
        <v>856</v>
      </c>
      <c r="DLG97" s="1675" t="s">
        <v>856</v>
      </c>
      <c r="DLH97" s="1675" t="s">
        <v>856</v>
      </c>
      <c r="DLI97" s="1675" t="s">
        <v>856</v>
      </c>
      <c r="DLJ97" s="1675" t="s">
        <v>856</v>
      </c>
      <c r="DLK97" s="1675" t="s">
        <v>856</v>
      </c>
      <c r="DLL97" s="1675" t="s">
        <v>856</v>
      </c>
      <c r="DLM97" s="1675" t="s">
        <v>856</v>
      </c>
      <c r="DLN97" s="1675" t="s">
        <v>856</v>
      </c>
      <c r="DLO97" s="1675" t="s">
        <v>856</v>
      </c>
      <c r="DLP97" s="1675" t="s">
        <v>856</v>
      </c>
      <c r="DLQ97" s="1675" t="s">
        <v>856</v>
      </c>
      <c r="DLR97" s="1675" t="s">
        <v>856</v>
      </c>
      <c r="DLS97" s="1675" t="s">
        <v>856</v>
      </c>
      <c r="DLT97" s="1675" t="s">
        <v>856</v>
      </c>
      <c r="DLU97" s="1675" t="s">
        <v>856</v>
      </c>
      <c r="DLV97" s="1675" t="s">
        <v>856</v>
      </c>
      <c r="DLW97" s="1675" t="s">
        <v>856</v>
      </c>
      <c r="DLX97" s="1675" t="s">
        <v>856</v>
      </c>
      <c r="DLY97" s="1675" t="s">
        <v>856</v>
      </c>
      <c r="DLZ97" s="1675" t="s">
        <v>856</v>
      </c>
      <c r="DMA97" s="1675" t="s">
        <v>856</v>
      </c>
      <c r="DMB97" s="1675" t="s">
        <v>856</v>
      </c>
      <c r="DMC97" s="1675" t="s">
        <v>856</v>
      </c>
      <c r="DMD97" s="1675" t="s">
        <v>856</v>
      </c>
      <c r="DME97" s="1675" t="s">
        <v>856</v>
      </c>
      <c r="DMF97" s="1675" t="s">
        <v>856</v>
      </c>
      <c r="DMG97" s="1675" t="s">
        <v>856</v>
      </c>
      <c r="DMH97" s="1675" t="s">
        <v>856</v>
      </c>
      <c r="DMI97" s="1675" t="s">
        <v>856</v>
      </c>
      <c r="DMJ97" s="1675" t="s">
        <v>856</v>
      </c>
      <c r="DMK97" s="1675" t="s">
        <v>856</v>
      </c>
      <c r="DML97" s="1675" t="s">
        <v>856</v>
      </c>
      <c r="DMM97" s="1675" t="s">
        <v>856</v>
      </c>
      <c r="DMN97" s="1675" t="s">
        <v>856</v>
      </c>
      <c r="DMO97" s="1675" t="s">
        <v>856</v>
      </c>
      <c r="DMP97" s="1675" t="s">
        <v>856</v>
      </c>
      <c r="DMQ97" s="1675" t="s">
        <v>856</v>
      </c>
      <c r="DMR97" s="1675" t="s">
        <v>856</v>
      </c>
      <c r="DMS97" s="1675" t="s">
        <v>856</v>
      </c>
      <c r="DMT97" s="1675" t="s">
        <v>856</v>
      </c>
      <c r="DMU97" s="1675" t="s">
        <v>856</v>
      </c>
      <c r="DMV97" s="1675" t="s">
        <v>856</v>
      </c>
      <c r="DMW97" s="1675" t="s">
        <v>856</v>
      </c>
      <c r="DMX97" s="1675" t="s">
        <v>856</v>
      </c>
      <c r="DMY97" s="1675" t="s">
        <v>856</v>
      </c>
      <c r="DMZ97" s="1675" t="s">
        <v>856</v>
      </c>
      <c r="DNA97" s="1675" t="s">
        <v>856</v>
      </c>
      <c r="DNB97" s="1675" t="s">
        <v>856</v>
      </c>
      <c r="DNC97" s="1675" t="s">
        <v>856</v>
      </c>
      <c r="DND97" s="1675" t="s">
        <v>856</v>
      </c>
      <c r="DNE97" s="1675" t="s">
        <v>856</v>
      </c>
      <c r="DNF97" s="1675" t="s">
        <v>856</v>
      </c>
      <c r="DNG97" s="1675" t="s">
        <v>856</v>
      </c>
      <c r="DNH97" s="1675" t="s">
        <v>856</v>
      </c>
      <c r="DNI97" s="1675" t="s">
        <v>856</v>
      </c>
      <c r="DNJ97" s="1675" t="s">
        <v>856</v>
      </c>
      <c r="DNK97" s="1675" t="s">
        <v>856</v>
      </c>
      <c r="DNL97" s="1675" t="s">
        <v>856</v>
      </c>
      <c r="DNM97" s="1675" t="s">
        <v>856</v>
      </c>
      <c r="DNN97" s="1675" t="s">
        <v>856</v>
      </c>
      <c r="DNO97" s="1675" t="s">
        <v>856</v>
      </c>
      <c r="DNP97" s="1675" t="s">
        <v>856</v>
      </c>
      <c r="DNQ97" s="1675" t="s">
        <v>856</v>
      </c>
      <c r="DNR97" s="1675" t="s">
        <v>856</v>
      </c>
      <c r="DNS97" s="1675" t="s">
        <v>856</v>
      </c>
      <c r="DNT97" s="1675" t="s">
        <v>856</v>
      </c>
      <c r="DNU97" s="1675" t="s">
        <v>856</v>
      </c>
      <c r="DNV97" s="1675" t="s">
        <v>856</v>
      </c>
      <c r="DNW97" s="1675" t="s">
        <v>856</v>
      </c>
      <c r="DNX97" s="1675" t="s">
        <v>856</v>
      </c>
      <c r="DNY97" s="1675" t="s">
        <v>856</v>
      </c>
      <c r="DNZ97" s="1675" t="s">
        <v>856</v>
      </c>
      <c r="DOA97" s="1675" t="s">
        <v>856</v>
      </c>
      <c r="DOB97" s="1675" t="s">
        <v>856</v>
      </c>
      <c r="DOC97" s="1675" t="s">
        <v>856</v>
      </c>
      <c r="DOD97" s="1675" t="s">
        <v>856</v>
      </c>
      <c r="DOE97" s="1675" t="s">
        <v>856</v>
      </c>
      <c r="DOF97" s="1675" t="s">
        <v>856</v>
      </c>
      <c r="DOG97" s="1675" t="s">
        <v>856</v>
      </c>
      <c r="DOH97" s="1675" t="s">
        <v>856</v>
      </c>
      <c r="DOI97" s="1675" t="s">
        <v>856</v>
      </c>
      <c r="DOJ97" s="1675" t="s">
        <v>856</v>
      </c>
      <c r="DOK97" s="1675" t="s">
        <v>856</v>
      </c>
      <c r="DOL97" s="1675" t="s">
        <v>856</v>
      </c>
      <c r="DOM97" s="1675" t="s">
        <v>856</v>
      </c>
      <c r="DON97" s="1675" t="s">
        <v>856</v>
      </c>
      <c r="DOO97" s="1675" t="s">
        <v>856</v>
      </c>
      <c r="DOP97" s="1675" t="s">
        <v>856</v>
      </c>
      <c r="DOQ97" s="1675" t="s">
        <v>856</v>
      </c>
      <c r="DOR97" s="1675" t="s">
        <v>856</v>
      </c>
      <c r="DOS97" s="1675" t="s">
        <v>856</v>
      </c>
      <c r="DOT97" s="1675" t="s">
        <v>856</v>
      </c>
      <c r="DOU97" s="1675" t="s">
        <v>856</v>
      </c>
      <c r="DOV97" s="1675" t="s">
        <v>856</v>
      </c>
      <c r="DOW97" s="1675" t="s">
        <v>856</v>
      </c>
      <c r="DOX97" s="1675" t="s">
        <v>856</v>
      </c>
      <c r="DOY97" s="1675" t="s">
        <v>856</v>
      </c>
      <c r="DOZ97" s="1675" t="s">
        <v>856</v>
      </c>
      <c r="DPA97" s="1675" t="s">
        <v>856</v>
      </c>
      <c r="DPB97" s="1675" t="s">
        <v>856</v>
      </c>
      <c r="DPC97" s="1675" t="s">
        <v>856</v>
      </c>
      <c r="DPD97" s="1675" t="s">
        <v>856</v>
      </c>
      <c r="DPE97" s="1675" t="s">
        <v>856</v>
      </c>
      <c r="DPF97" s="1675" t="s">
        <v>856</v>
      </c>
      <c r="DPG97" s="1675" t="s">
        <v>856</v>
      </c>
      <c r="DPH97" s="1675" t="s">
        <v>856</v>
      </c>
      <c r="DPI97" s="1675" t="s">
        <v>856</v>
      </c>
      <c r="DPJ97" s="1675" t="s">
        <v>856</v>
      </c>
      <c r="DPK97" s="1675" t="s">
        <v>856</v>
      </c>
      <c r="DPL97" s="1675" t="s">
        <v>856</v>
      </c>
      <c r="DPM97" s="1675" t="s">
        <v>856</v>
      </c>
      <c r="DPN97" s="1675" t="s">
        <v>856</v>
      </c>
      <c r="DPO97" s="1675" t="s">
        <v>856</v>
      </c>
      <c r="DPP97" s="1675" t="s">
        <v>856</v>
      </c>
      <c r="DPQ97" s="1675" t="s">
        <v>856</v>
      </c>
      <c r="DPR97" s="1675" t="s">
        <v>856</v>
      </c>
      <c r="DPS97" s="1675" t="s">
        <v>856</v>
      </c>
      <c r="DPT97" s="1675" t="s">
        <v>856</v>
      </c>
      <c r="DPU97" s="1675" t="s">
        <v>856</v>
      </c>
      <c r="DPV97" s="1675" t="s">
        <v>856</v>
      </c>
      <c r="DPW97" s="1675" t="s">
        <v>856</v>
      </c>
      <c r="DPX97" s="1675" t="s">
        <v>856</v>
      </c>
      <c r="DPY97" s="1675" t="s">
        <v>856</v>
      </c>
      <c r="DPZ97" s="1675" t="s">
        <v>856</v>
      </c>
      <c r="DQA97" s="1675" t="s">
        <v>856</v>
      </c>
      <c r="DQB97" s="1675" t="s">
        <v>856</v>
      </c>
      <c r="DQC97" s="1675" t="s">
        <v>856</v>
      </c>
      <c r="DQD97" s="1675" t="s">
        <v>856</v>
      </c>
      <c r="DQE97" s="1675" t="s">
        <v>856</v>
      </c>
      <c r="DQF97" s="1675" t="s">
        <v>856</v>
      </c>
      <c r="DQG97" s="1675" t="s">
        <v>856</v>
      </c>
      <c r="DQH97" s="1675" t="s">
        <v>856</v>
      </c>
      <c r="DQI97" s="1675" t="s">
        <v>856</v>
      </c>
      <c r="DQJ97" s="1675" t="s">
        <v>856</v>
      </c>
      <c r="DQK97" s="1675" t="s">
        <v>856</v>
      </c>
      <c r="DQL97" s="1675" t="s">
        <v>856</v>
      </c>
      <c r="DQM97" s="1675" t="s">
        <v>856</v>
      </c>
      <c r="DQN97" s="1675" t="s">
        <v>856</v>
      </c>
      <c r="DQO97" s="1675" t="s">
        <v>856</v>
      </c>
      <c r="DQP97" s="1675" t="s">
        <v>856</v>
      </c>
      <c r="DQQ97" s="1675" t="s">
        <v>856</v>
      </c>
      <c r="DQR97" s="1675" t="s">
        <v>856</v>
      </c>
      <c r="DQS97" s="1675" t="s">
        <v>856</v>
      </c>
      <c r="DQT97" s="1675" t="s">
        <v>856</v>
      </c>
      <c r="DQU97" s="1675" t="s">
        <v>856</v>
      </c>
      <c r="DQV97" s="1675" t="s">
        <v>856</v>
      </c>
      <c r="DQW97" s="1675" t="s">
        <v>856</v>
      </c>
      <c r="DQX97" s="1675" t="s">
        <v>856</v>
      </c>
      <c r="DQY97" s="1675" t="s">
        <v>856</v>
      </c>
      <c r="DQZ97" s="1675" t="s">
        <v>856</v>
      </c>
      <c r="DRA97" s="1675" t="s">
        <v>856</v>
      </c>
      <c r="DRB97" s="1675" t="s">
        <v>856</v>
      </c>
      <c r="DRC97" s="1675" t="s">
        <v>856</v>
      </c>
      <c r="DRD97" s="1675" t="s">
        <v>856</v>
      </c>
      <c r="DRE97" s="1675" t="s">
        <v>856</v>
      </c>
      <c r="DRF97" s="1675" t="s">
        <v>856</v>
      </c>
      <c r="DRG97" s="1675" t="s">
        <v>856</v>
      </c>
      <c r="DRH97" s="1675" t="s">
        <v>856</v>
      </c>
      <c r="DRI97" s="1675" t="s">
        <v>856</v>
      </c>
      <c r="DRJ97" s="1675" t="s">
        <v>856</v>
      </c>
      <c r="DRK97" s="1675" t="s">
        <v>856</v>
      </c>
      <c r="DRL97" s="1675" t="s">
        <v>856</v>
      </c>
      <c r="DRM97" s="1675" t="s">
        <v>856</v>
      </c>
      <c r="DRN97" s="1675" t="s">
        <v>856</v>
      </c>
      <c r="DRO97" s="1675" t="s">
        <v>856</v>
      </c>
      <c r="DRP97" s="1675" t="s">
        <v>856</v>
      </c>
      <c r="DRQ97" s="1675" t="s">
        <v>856</v>
      </c>
      <c r="DRR97" s="1675" t="s">
        <v>856</v>
      </c>
      <c r="DRS97" s="1675" t="s">
        <v>856</v>
      </c>
      <c r="DRT97" s="1675" t="s">
        <v>856</v>
      </c>
      <c r="DRU97" s="1675" t="s">
        <v>856</v>
      </c>
      <c r="DRV97" s="1675" t="s">
        <v>856</v>
      </c>
      <c r="DRW97" s="1675" t="s">
        <v>856</v>
      </c>
      <c r="DRX97" s="1675" t="s">
        <v>856</v>
      </c>
      <c r="DRY97" s="1675" t="s">
        <v>856</v>
      </c>
      <c r="DRZ97" s="1675" t="s">
        <v>856</v>
      </c>
      <c r="DSA97" s="1675" t="s">
        <v>856</v>
      </c>
      <c r="DSB97" s="1675" t="s">
        <v>856</v>
      </c>
      <c r="DSC97" s="1675" t="s">
        <v>856</v>
      </c>
      <c r="DSD97" s="1675" t="s">
        <v>856</v>
      </c>
      <c r="DSE97" s="1675" t="s">
        <v>856</v>
      </c>
      <c r="DSF97" s="1675" t="s">
        <v>856</v>
      </c>
      <c r="DSG97" s="1675" t="s">
        <v>856</v>
      </c>
      <c r="DSH97" s="1675" t="s">
        <v>856</v>
      </c>
      <c r="DSI97" s="1675" t="s">
        <v>856</v>
      </c>
      <c r="DSJ97" s="1675" t="s">
        <v>856</v>
      </c>
      <c r="DSK97" s="1675" t="s">
        <v>856</v>
      </c>
      <c r="DSL97" s="1675" t="s">
        <v>856</v>
      </c>
      <c r="DSM97" s="1675" t="s">
        <v>856</v>
      </c>
      <c r="DSN97" s="1675" t="s">
        <v>856</v>
      </c>
      <c r="DSO97" s="1675" t="s">
        <v>856</v>
      </c>
      <c r="DSP97" s="1675" t="s">
        <v>856</v>
      </c>
      <c r="DSQ97" s="1675" t="s">
        <v>856</v>
      </c>
      <c r="DSR97" s="1675" t="s">
        <v>856</v>
      </c>
      <c r="DSS97" s="1675" t="s">
        <v>856</v>
      </c>
      <c r="DST97" s="1675" t="s">
        <v>856</v>
      </c>
      <c r="DSU97" s="1675" t="s">
        <v>856</v>
      </c>
      <c r="DSV97" s="1675" t="s">
        <v>856</v>
      </c>
      <c r="DSW97" s="1675" t="s">
        <v>856</v>
      </c>
      <c r="DSX97" s="1675" t="s">
        <v>856</v>
      </c>
      <c r="DSY97" s="1675" t="s">
        <v>856</v>
      </c>
      <c r="DSZ97" s="1675" t="s">
        <v>856</v>
      </c>
      <c r="DTA97" s="1675" t="s">
        <v>856</v>
      </c>
      <c r="DTB97" s="1675" t="s">
        <v>856</v>
      </c>
      <c r="DTC97" s="1675" t="s">
        <v>856</v>
      </c>
      <c r="DTD97" s="1675" t="s">
        <v>856</v>
      </c>
      <c r="DTE97" s="1675" t="s">
        <v>856</v>
      </c>
      <c r="DTF97" s="1675" t="s">
        <v>856</v>
      </c>
      <c r="DTG97" s="1675" t="s">
        <v>856</v>
      </c>
      <c r="DTH97" s="1675" t="s">
        <v>856</v>
      </c>
      <c r="DTI97" s="1675" t="s">
        <v>856</v>
      </c>
      <c r="DTJ97" s="1675" t="s">
        <v>856</v>
      </c>
      <c r="DTK97" s="1675" t="s">
        <v>856</v>
      </c>
      <c r="DTL97" s="1675" t="s">
        <v>856</v>
      </c>
      <c r="DTM97" s="1675" t="s">
        <v>856</v>
      </c>
      <c r="DTN97" s="1675" t="s">
        <v>856</v>
      </c>
      <c r="DTO97" s="1675" t="s">
        <v>856</v>
      </c>
      <c r="DTP97" s="1675" t="s">
        <v>856</v>
      </c>
      <c r="DTQ97" s="1675" t="s">
        <v>856</v>
      </c>
      <c r="DTR97" s="1675" t="s">
        <v>856</v>
      </c>
      <c r="DTS97" s="1675" t="s">
        <v>856</v>
      </c>
      <c r="DTT97" s="1675" t="s">
        <v>856</v>
      </c>
      <c r="DTU97" s="1675" t="s">
        <v>856</v>
      </c>
      <c r="DTV97" s="1675" t="s">
        <v>856</v>
      </c>
      <c r="DTW97" s="1675" t="s">
        <v>856</v>
      </c>
      <c r="DTX97" s="1675" t="s">
        <v>856</v>
      </c>
      <c r="DTY97" s="1675" t="s">
        <v>856</v>
      </c>
      <c r="DTZ97" s="1675" t="s">
        <v>856</v>
      </c>
      <c r="DUA97" s="1675" t="s">
        <v>856</v>
      </c>
      <c r="DUB97" s="1675" t="s">
        <v>856</v>
      </c>
      <c r="DUC97" s="1675" t="s">
        <v>856</v>
      </c>
      <c r="DUD97" s="1675" t="s">
        <v>856</v>
      </c>
      <c r="DUE97" s="1675" t="s">
        <v>856</v>
      </c>
      <c r="DUF97" s="1675" t="s">
        <v>856</v>
      </c>
      <c r="DUG97" s="1675" t="s">
        <v>856</v>
      </c>
      <c r="DUH97" s="1675" t="s">
        <v>856</v>
      </c>
      <c r="DUI97" s="1675" t="s">
        <v>856</v>
      </c>
      <c r="DUJ97" s="1675" t="s">
        <v>856</v>
      </c>
      <c r="DUK97" s="1675" t="s">
        <v>856</v>
      </c>
      <c r="DUL97" s="1675" t="s">
        <v>856</v>
      </c>
      <c r="DUM97" s="1675" t="s">
        <v>856</v>
      </c>
      <c r="DUN97" s="1675" t="s">
        <v>856</v>
      </c>
      <c r="DUO97" s="1675" t="s">
        <v>856</v>
      </c>
      <c r="DUP97" s="1675" t="s">
        <v>856</v>
      </c>
      <c r="DUQ97" s="1675" t="s">
        <v>856</v>
      </c>
      <c r="DUR97" s="1675" t="s">
        <v>856</v>
      </c>
      <c r="DUS97" s="1675" t="s">
        <v>856</v>
      </c>
      <c r="DUT97" s="1675" t="s">
        <v>856</v>
      </c>
      <c r="DUU97" s="1675" t="s">
        <v>856</v>
      </c>
      <c r="DUV97" s="1675" t="s">
        <v>856</v>
      </c>
      <c r="DUW97" s="1675" t="s">
        <v>856</v>
      </c>
      <c r="DUX97" s="1675" t="s">
        <v>856</v>
      </c>
      <c r="DUY97" s="1675" t="s">
        <v>856</v>
      </c>
      <c r="DUZ97" s="1675" t="s">
        <v>856</v>
      </c>
      <c r="DVA97" s="1675" t="s">
        <v>856</v>
      </c>
      <c r="DVB97" s="1675" t="s">
        <v>856</v>
      </c>
      <c r="DVC97" s="1675" t="s">
        <v>856</v>
      </c>
      <c r="DVD97" s="1675" t="s">
        <v>856</v>
      </c>
      <c r="DVE97" s="1675" t="s">
        <v>856</v>
      </c>
      <c r="DVF97" s="1675" t="s">
        <v>856</v>
      </c>
      <c r="DVG97" s="1675" t="s">
        <v>856</v>
      </c>
      <c r="DVH97" s="1675" t="s">
        <v>856</v>
      </c>
      <c r="DVI97" s="1675" t="s">
        <v>856</v>
      </c>
      <c r="DVJ97" s="1675" t="s">
        <v>856</v>
      </c>
      <c r="DVK97" s="1675" t="s">
        <v>856</v>
      </c>
      <c r="DVL97" s="1675" t="s">
        <v>856</v>
      </c>
      <c r="DVM97" s="1675" t="s">
        <v>856</v>
      </c>
      <c r="DVN97" s="1675" t="s">
        <v>856</v>
      </c>
      <c r="DVO97" s="1675" t="s">
        <v>856</v>
      </c>
      <c r="DVP97" s="1675" t="s">
        <v>856</v>
      </c>
      <c r="DVQ97" s="1675" t="s">
        <v>856</v>
      </c>
      <c r="DVR97" s="1675" t="s">
        <v>856</v>
      </c>
      <c r="DVS97" s="1675" t="s">
        <v>856</v>
      </c>
      <c r="DVT97" s="1675" t="s">
        <v>856</v>
      </c>
      <c r="DVU97" s="1675" t="s">
        <v>856</v>
      </c>
      <c r="DVV97" s="1675" t="s">
        <v>856</v>
      </c>
      <c r="DVW97" s="1675" t="s">
        <v>856</v>
      </c>
      <c r="DVX97" s="1675" t="s">
        <v>856</v>
      </c>
      <c r="DVY97" s="1675" t="s">
        <v>856</v>
      </c>
      <c r="DVZ97" s="1675" t="s">
        <v>856</v>
      </c>
      <c r="DWA97" s="1675" t="s">
        <v>856</v>
      </c>
      <c r="DWB97" s="1675" t="s">
        <v>856</v>
      </c>
      <c r="DWC97" s="1675" t="s">
        <v>856</v>
      </c>
      <c r="DWD97" s="1675" t="s">
        <v>856</v>
      </c>
      <c r="DWE97" s="1675" t="s">
        <v>856</v>
      </c>
      <c r="DWF97" s="1675" t="s">
        <v>856</v>
      </c>
      <c r="DWG97" s="1675" t="s">
        <v>856</v>
      </c>
      <c r="DWH97" s="1675" t="s">
        <v>856</v>
      </c>
      <c r="DWI97" s="1675" t="s">
        <v>856</v>
      </c>
      <c r="DWJ97" s="1675" t="s">
        <v>856</v>
      </c>
      <c r="DWK97" s="1675" t="s">
        <v>856</v>
      </c>
      <c r="DWL97" s="1675" t="s">
        <v>856</v>
      </c>
      <c r="DWM97" s="1675" t="s">
        <v>856</v>
      </c>
      <c r="DWN97" s="1675" t="s">
        <v>856</v>
      </c>
      <c r="DWO97" s="1675" t="s">
        <v>856</v>
      </c>
      <c r="DWP97" s="1675" t="s">
        <v>856</v>
      </c>
      <c r="DWQ97" s="1675" t="s">
        <v>856</v>
      </c>
      <c r="DWR97" s="1675" t="s">
        <v>856</v>
      </c>
      <c r="DWS97" s="1675" t="s">
        <v>856</v>
      </c>
      <c r="DWT97" s="1675" t="s">
        <v>856</v>
      </c>
      <c r="DWU97" s="1675" t="s">
        <v>856</v>
      </c>
      <c r="DWV97" s="1675" t="s">
        <v>856</v>
      </c>
      <c r="DWW97" s="1675" t="s">
        <v>856</v>
      </c>
      <c r="DWX97" s="1675" t="s">
        <v>856</v>
      </c>
      <c r="DWY97" s="1675" t="s">
        <v>856</v>
      </c>
      <c r="DWZ97" s="1675" t="s">
        <v>856</v>
      </c>
      <c r="DXA97" s="1675" t="s">
        <v>856</v>
      </c>
      <c r="DXB97" s="1675" t="s">
        <v>856</v>
      </c>
      <c r="DXC97" s="1675" t="s">
        <v>856</v>
      </c>
      <c r="DXD97" s="1675" t="s">
        <v>856</v>
      </c>
      <c r="DXE97" s="1675" t="s">
        <v>856</v>
      </c>
      <c r="DXF97" s="1675" t="s">
        <v>856</v>
      </c>
      <c r="DXG97" s="1675" t="s">
        <v>856</v>
      </c>
      <c r="DXH97" s="1675" t="s">
        <v>856</v>
      </c>
      <c r="DXI97" s="1675" t="s">
        <v>856</v>
      </c>
      <c r="DXJ97" s="1675" t="s">
        <v>856</v>
      </c>
      <c r="DXK97" s="1675" t="s">
        <v>856</v>
      </c>
      <c r="DXL97" s="1675" t="s">
        <v>856</v>
      </c>
      <c r="DXM97" s="1675" t="s">
        <v>856</v>
      </c>
      <c r="DXN97" s="1675" t="s">
        <v>856</v>
      </c>
      <c r="DXO97" s="1675" t="s">
        <v>856</v>
      </c>
      <c r="DXP97" s="1675" t="s">
        <v>856</v>
      </c>
      <c r="DXQ97" s="1675" t="s">
        <v>856</v>
      </c>
      <c r="DXR97" s="1675" t="s">
        <v>856</v>
      </c>
      <c r="DXS97" s="1675" t="s">
        <v>856</v>
      </c>
      <c r="DXT97" s="1675" t="s">
        <v>856</v>
      </c>
      <c r="DXU97" s="1675" t="s">
        <v>856</v>
      </c>
      <c r="DXV97" s="1675" t="s">
        <v>856</v>
      </c>
      <c r="DXW97" s="1675" t="s">
        <v>856</v>
      </c>
      <c r="DXX97" s="1675" t="s">
        <v>856</v>
      </c>
      <c r="DXY97" s="1675" t="s">
        <v>856</v>
      </c>
      <c r="DXZ97" s="1675" t="s">
        <v>856</v>
      </c>
      <c r="DYA97" s="1675" t="s">
        <v>856</v>
      </c>
      <c r="DYB97" s="1675" t="s">
        <v>856</v>
      </c>
      <c r="DYC97" s="1675" t="s">
        <v>856</v>
      </c>
      <c r="DYD97" s="1675" t="s">
        <v>856</v>
      </c>
      <c r="DYE97" s="1675" t="s">
        <v>856</v>
      </c>
      <c r="DYF97" s="1675" t="s">
        <v>856</v>
      </c>
      <c r="DYG97" s="1675" t="s">
        <v>856</v>
      </c>
      <c r="DYH97" s="1675" t="s">
        <v>856</v>
      </c>
      <c r="DYI97" s="1675" t="s">
        <v>856</v>
      </c>
      <c r="DYJ97" s="1675" t="s">
        <v>856</v>
      </c>
      <c r="DYK97" s="1675" t="s">
        <v>856</v>
      </c>
      <c r="DYL97" s="1675" t="s">
        <v>856</v>
      </c>
      <c r="DYM97" s="1675" t="s">
        <v>856</v>
      </c>
      <c r="DYN97" s="1675" t="s">
        <v>856</v>
      </c>
      <c r="DYO97" s="1675" t="s">
        <v>856</v>
      </c>
      <c r="DYP97" s="1675" t="s">
        <v>856</v>
      </c>
      <c r="DYQ97" s="1675" t="s">
        <v>856</v>
      </c>
      <c r="DYR97" s="1675" t="s">
        <v>856</v>
      </c>
      <c r="DYS97" s="1675" t="s">
        <v>856</v>
      </c>
      <c r="DYT97" s="1675" t="s">
        <v>856</v>
      </c>
      <c r="DYU97" s="1675" t="s">
        <v>856</v>
      </c>
      <c r="DYV97" s="1675" t="s">
        <v>856</v>
      </c>
      <c r="DYW97" s="1675" t="s">
        <v>856</v>
      </c>
      <c r="DYX97" s="1675" t="s">
        <v>856</v>
      </c>
      <c r="DYY97" s="1675" t="s">
        <v>856</v>
      </c>
      <c r="DYZ97" s="1675" t="s">
        <v>856</v>
      </c>
      <c r="DZA97" s="1675" t="s">
        <v>856</v>
      </c>
      <c r="DZB97" s="1675" t="s">
        <v>856</v>
      </c>
      <c r="DZC97" s="1675" t="s">
        <v>856</v>
      </c>
      <c r="DZD97" s="1675" t="s">
        <v>856</v>
      </c>
      <c r="DZE97" s="1675" t="s">
        <v>856</v>
      </c>
      <c r="DZF97" s="1675" t="s">
        <v>856</v>
      </c>
      <c r="DZG97" s="1675" t="s">
        <v>856</v>
      </c>
      <c r="DZH97" s="1675" t="s">
        <v>856</v>
      </c>
      <c r="DZI97" s="1675" t="s">
        <v>856</v>
      </c>
      <c r="DZJ97" s="1675" t="s">
        <v>856</v>
      </c>
      <c r="DZK97" s="1675" t="s">
        <v>856</v>
      </c>
      <c r="DZL97" s="1675" t="s">
        <v>856</v>
      </c>
      <c r="DZM97" s="1675" t="s">
        <v>856</v>
      </c>
      <c r="DZN97" s="1675" t="s">
        <v>856</v>
      </c>
      <c r="DZO97" s="1675" t="s">
        <v>856</v>
      </c>
      <c r="DZP97" s="1675" t="s">
        <v>856</v>
      </c>
      <c r="DZQ97" s="1675" t="s">
        <v>856</v>
      </c>
      <c r="DZR97" s="1675" t="s">
        <v>856</v>
      </c>
      <c r="DZS97" s="1675" t="s">
        <v>856</v>
      </c>
      <c r="DZT97" s="1675" t="s">
        <v>856</v>
      </c>
      <c r="DZU97" s="1675" t="s">
        <v>856</v>
      </c>
      <c r="DZV97" s="1675" t="s">
        <v>856</v>
      </c>
      <c r="DZW97" s="1675" t="s">
        <v>856</v>
      </c>
      <c r="DZX97" s="1675" t="s">
        <v>856</v>
      </c>
      <c r="DZY97" s="1675" t="s">
        <v>856</v>
      </c>
      <c r="DZZ97" s="1675" t="s">
        <v>856</v>
      </c>
      <c r="EAA97" s="1675" t="s">
        <v>856</v>
      </c>
      <c r="EAB97" s="1675" t="s">
        <v>856</v>
      </c>
      <c r="EAC97" s="1675" t="s">
        <v>856</v>
      </c>
      <c r="EAD97" s="1675" t="s">
        <v>856</v>
      </c>
      <c r="EAE97" s="1675" t="s">
        <v>856</v>
      </c>
      <c r="EAF97" s="1675" t="s">
        <v>856</v>
      </c>
      <c r="EAG97" s="1675" t="s">
        <v>856</v>
      </c>
      <c r="EAH97" s="1675" t="s">
        <v>856</v>
      </c>
      <c r="EAI97" s="1675" t="s">
        <v>856</v>
      </c>
      <c r="EAJ97" s="1675" t="s">
        <v>856</v>
      </c>
      <c r="EAK97" s="1675" t="s">
        <v>856</v>
      </c>
      <c r="EAL97" s="1675" t="s">
        <v>856</v>
      </c>
      <c r="EAM97" s="1675" t="s">
        <v>856</v>
      </c>
      <c r="EAN97" s="1675" t="s">
        <v>856</v>
      </c>
      <c r="EAO97" s="1675" t="s">
        <v>856</v>
      </c>
      <c r="EAP97" s="1675" t="s">
        <v>856</v>
      </c>
      <c r="EAQ97" s="1675" t="s">
        <v>856</v>
      </c>
      <c r="EAR97" s="1675" t="s">
        <v>856</v>
      </c>
      <c r="EAS97" s="1675" t="s">
        <v>856</v>
      </c>
      <c r="EAT97" s="1675" t="s">
        <v>856</v>
      </c>
      <c r="EAU97" s="1675" t="s">
        <v>856</v>
      </c>
      <c r="EAV97" s="1675" t="s">
        <v>856</v>
      </c>
      <c r="EAW97" s="1675" t="s">
        <v>856</v>
      </c>
      <c r="EAX97" s="1675" t="s">
        <v>856</v>
      </c>
      <c r="EAY97" s="1675" t="s">
        <v>856</v>
      </c>
      <c r="EAZ97" s="1675" t="s">
        <v>856</v>
      </c>
      <c r="EBA97" s="1675" t="s">
        <v>856</v>
      </c>
      <c r="EBB97" s="1675" t="s">
        <v>856</v>
      </c>
      <c r="EBC97" s="1675" t="s">
        <v>856</v>
      </c>
      <c r="EBD97" s="1675" t="s">
        <v>856</v>
      </c>
      <c r="EBE97" s="1675" t="s">
        <v>856</v>
      </c>
      <c r="EBF97" s="1675" t="s">
        <v>856</v>
      </c>
      <c r="EBG97" s="1675" t="s">
        <v>856</v>
      </c>
      <c r="EBH97" s="1675" t="s">
        <v>856</v>
      </c>
      <c r="EBI97" s="1675" t="s">
        <v>856</v>
      </c>
      <c r="EBJ97" s="1675" t="s">
        <v>856</v>
      </c>
      <c r="EBK97" s="1675" t="s">
        <v>856</v>
      </c>
      <c r="EBL97" s="1675" t="s">
        <v>856</v>
      </c>
      <c r="EBM97" s="1675" t="s">
        <v>856</v>
      </c>
      <c r="EBN97" s="1675" t="s">
        <v>856</v>
      </c>
      <c r="EBO97" s="1675" t="s">
        <v>856</v>
      </c>
      <c r="EBP97" s="1675" t="s">
        <v>856</v>
      </c>
      <c r="EBQ97" s="1675" t="s">
        <v>856</v>
      </c>
      <c r="EBR97" s="1675" t="s">
        <v>856</v>
      </c>
      <c r="EBS97" s="1675" t="s">
        <v>856</v>
      </c>
      <c r="EBT97" s="1675" t="s">
        <v>856</v>
      </c>
      <c r="EBU97" s="1675" t="s">
        <v>856</v>
      </c>
      <c r="EBV97" s="1675" t="s">
        <v>856</v>
      </c>
      <c r="EBW97" s="1675" t="s">
        <v>856</v>
      </c>
      <c r="EBX97" s="1675" t="s">
        <v>856</v>
      </c>
      <c r="EBY97" s="1675" t="s">
        <v>856</v>
      </c>
      <c r="EBZ97" s="1675" t="s">
        <v>856</v>
      </c>
      <c r="ECA97" s="1675" t="s">
        <v>856</v>
      </c>
      <c r="ECB97" s="1675" t="s">
        <v>856</v>
      </c>
      <c r="ECC97" s="1675" t="s">
        <v>856</v>
      </c>
      <c r="ECD97" s="1675" t="s">
        <v>856</v>
      </c>
      <c r="ECE97" s="1675" t="s">
        <v>856</v>
      </c>
      <c r="ECF97" s="1675" t="s">
        <v>856</v>
      </c>
      <c r="ECG97" s="1675" t="s">
        <v>856</v>
      </c>
      <c r="ECH97" s="1675" t="s">
        <v>856</v>
      </c>
      <c r="ECI97" s="1675" t="s">
        <v>856</v>
      </c>
      <c r="ECJ97" s="1675" t="s">
        <v>856</v>
      </c>
      <c r="ECK97" s="1675" t="s">
        <v>856</v>
      </c>
      <c r="ECL97" s="1675" t="s">
        <v>856</v>
      </c>
      <c r="ECM97" s="1675" t="s">
        <v>856</v>
      </c>
      <c r="ECN97" s="1675" t="s">
        <v>856</v>
      </c>
      <c r="ECO97" s="1675" t="s">
        <v>856</v>
      </c>
      <c r="ECP97" s="1675" t="s">
        <v>856</v>
      </c>
      <c r="ECQ97" s="1675" t="s">
        <v>856</v>
      </c>
      <c r="ECR97" s="1675" t="s">
        <v>856</v>
      </c>
      <c r="ECS97" s="1675" t="s">
        <v>856</v>
      </c>
      <c r="ECT97" s="1675" t="s">
        <v>856</v>
      </c>
      <c r="ECU97" s="1675" t="s">
        <v>856</v>
      </c>
      <c r="ECV97" s="1675" t="s">
        <v>856</v>
      </c>
      <c r="ECW97" s="1675" t="s">
        <v>856</v>
      </c>
      <c r="ECX97" s="1675" t="s">
        <v>856</v>
      </c>
      <c r="ECY97" s="1675" t="s">
        <v>856</v>
      </c>
      <c r="ECZ97" s="1675" t="s">
        <v>856</v>
      </c>
      <c r="EDA97" s="1675" t="s">
        <v>856</v>
      </c>
      <c r="EDB97" s="1675" t="s">
        <v>856</v>
      </c>
      <c r="EDC97" s="1675" t="s">
        <v>856</v>
      </c>
      <c r="EDD97" s="1675" t="s">
        <v>856</v>
      </c>
      <c r="EDE97" s="1675" t="s">
        <v>856</v>
      </c>
      <c r="EDF97" s="1675" t="s">
        <v>856</v>
      </c>
      <c r="EDG97" s="1675" t="s">
        <v>856</v>
      </c>
      <c r="EDH97" s="1675" t="s">
        <v>856</v>
      </c>
      <c r="EDI97" s="1675" t="s">
        <v>856</v>
      </c>
      <c r="EDJ97" s="1675" t="s">
        <v>856</v>
      </c>
      <c r="EDK97" s="1675" t="s">
        <v>856</v>
      </c>
      <c r="EDL97" s="1675" t="s">
        <v>856</v>
      </c>
      <c r="EDM97" s="1675" t="s">
        <v>856</v>
      </c>
      <c r="EDN97" s="1675" t="s">
        <v>856</v>
      </c>
      <c r="EDO97" s="1675" t="s">
        <v>856</v>
      </c>
      <c r="EDP97" s="1675" t="s">
        <v>856</v>
      </c>
      <c r="EDQ97" s="1675" t="s">
        <v>856</v>
      </c>
      <c r="EDR97" s="1675" t="s">
        <v>856</v>
      </c>
      <c r="EDS97" s="1675" t="s">
        <v>856</v>
      </c>
      <c r="EDT97" s="1675" t="s">
        <v>856</v>
      </c>
      <c r="EDU97" s="1675" t="s">
        <v>856</v>
      </c>
      <c r="EDV97" s="1675" t="s">
        <v>856</v>
      </c>
      <c r="EDW97" s="1675" t="s">
        <v>856</v>
      </c>
      <c r="EDX97" s="1675" t="s">
        <v>856</v>
      </c>
      <c r="EDY97" s="1675" t="s">
        <v>856</v>
      </c>
      <c r="EDZ97" s="1675" t="s">
        <v>856</v>
      </c>
      <c r="EEA97" s="1675" t="s">
        <v>856</v>
      </c>
      <c r="EEB97" s="1675" t="s">
        <v>856</v>
      </c>
      <c r="EEC97" s="1675" t="s">
        <v>856</v>
      </c>
      <c r="EED97" s="1675" t="s">
        <v>856</v>
      </c>
      <c r="EEE97" s="1675" t="s">
        <v>856</v>
      </c>
      <c r="EEF97" s="1675" t="s">
        <v>856</v>
      </c>
      <c r="EEG97" s="1675" t="s">
        <v>856</v>
      </c>
      <c r="EEH97" s="1675" t="s">
        <v>856</v>
      </c>
      <c r="EEI97" s="1675" t="s">
        <v>856</v>
      </c>
      <c r="EEJ97" s="1675" t="s">
        <v>856</v>
      </c>
      <c r="EEK97" s="1675" t="s">
        <v>856</v>
      </c>
      <c r="EEL97" s="1675" t="s">
        <v>856</v>
      </c>
      <c r="EEM97" s="1675" t="s">
        <v>856</v>
      </c>
      <c r="EEN97" s="1675" t="s">
        <v>856</v>
      </c>
      <c r="EEO97" s="1675" t="s">
        <v>856</v>
      </c>
      <c r="EEP97" s="1675" t="s">
        <v>856</v>
      </c>
      <c r="EEQ97" s="1675" t="s">
        <v>856</v>
      </c>
      <c r="EER97" s="1675" t="s">
        <v>856</v>
      </c>
      <c r="EES97" s="1675" t="s">
        <v>856</v>
      </c>
      <c r="EET97" s="1675" t="s">
        <v>856</v>
      </c>
      <c r="EEU97" s="1675" t="s">
        <v>856</v>
      </c>
      <c r="EEV97" s="1675" t="s">
        <v>856</v>
      </c>
      <c r="EEW97" s="1675" t="s">
        <v>856</v>
      </c>
      <c r="EEX97" s="1675" t="s">
        <v>856</v>
      </c>
      <c r="EEY97" s="1675" t="s">
        <v>856</v>
      </c>
      <c r="EEZ97" s="1675" t="s">
        <v>856</v>
      </c>
      <c r="EFA97" s="1675" t="s">
        <v>856</v>
      </c>
      <c r="EFB97" s="1675" t="s">
        <v>856</v>
      </c>
      <c r="EFC97" s="1675" t="s">
        <v>856</v>
      </c>
      <c r="EFD97" s="1675" t="s">
        <v>856</v>
      </c>
      <c r="EFE97" s="1675" t="s">
        <v>856</v>
      </c>
      <c r="EFF97" s="1675" t="s">
        <v>856</v>
      </c>
      <c r="EFG97" s="1675" t="s">
        <v>856</v>
      </c>
      <c r="EFH97" s="1675" t="s">
        <v>856</v>
      </c>
      <c r="EFI97" s="1675" t="s">
        <v>856</v>
      </c>
      <c r="EFJ97" s="1675" t="s">
        <v>856</v>
      </c>
      <c r="EFK97" s="1675" t="s">
        <v>856</v>
      </c>
      <c r="EFL97" s="1675" t="s">
        <v>856</v>
      </c>
      <c r="EFM97" s="1675" t="s">
        <v>856</v>
      </c>
      <c r="EFN97" s="1675" t="s">
        <v>856</v>
      </c>
      <c r="EFO97" s="1675" t="s">
        <v>856</v>
      </c>
      <c r="EFP97" s="1675" t="s">
        <v>856</v>
      </c>
      <c r="EFQ97" s="1675" t="s">
        <v>856</v>
      </c>
      <c r="EFR97" s="1675" t="s">
        <v>856</v>
      </c>
      <c r="EFS97" s="1675" t="s">
        <v>856</v>
      </c>
      <c r="EFT97" s="1675" t="s">
        <v>856</v>
      </c>
      <c r="EFU97" s="1675" t="s">
        <v>856</v>
      </c>
      <c r="EFV97" s="1675" t="s">
        <v>856</v>
      </c>
      <c r="EFW97" s="1675" t="s">
        <v>856</v>
      </c>
      <c r="EFX97" s="1675" t="s">
        <v>856</v>
      </c>
      <c r="EFY97" s="1675" t="s">
        <v>856</v>
      </c>
      <c r="EFZ97" s="1675" t="s">
        <v>856</v>
      </c>
      <c r="EGA97" s="1675" t="s">
        <v>856</v>
      </c>
      <c r="EGB97" s="1675" t="s">
        <v>856</v>
      </c>
      <c r="EGC97" s="1675" t="s">
        <v>856</v>
      </c>
      <c r="EGD97" s="1675" t="s">
        <v>856</v>
      </c>
      <c r="EGE97" s="1675" t="s">
        <v>856</v>
      </c>
      <c r="EGF97" s="1675" t="s">
        <v>856</v>
      </c>
      <c r="EGG97" s="1675" t="s">
        <v>856</v>
      </c>
      <c r="EGH97" s="1675" t="s">
        <v>856</v>
      </c>
      <c r="EGI97" s="1675" t="s">
        <v>856</v>
      </c>
      <c r="EGJ97" s="1675" t="s">
        <v>856</v>
      </c>
      <c r="EGK97" s="1675" t="s">
        <v>856</v>
      </c>
      <c r="EGL97" s="1675" t="s">
        <v>856</v>
      </c>
      <c r="EGM97" s="1675" t="s">
        <v>856</v>
      </c>
      <c r="EGN97" s="1675" t="s">
        <v>856</v>
      </c>
      <c r="EGO97" s="1675" t="s">
        <v>856</v>
      </c>
      <c r="EGP97" s="1675" t="s">
        <v>856</v>
      </c>
      <c r="EGQ97" s="1675" t="s">
        <v>856</v>
      </c>
      <c r="EGR97" s="1675" t="s">
        <v>856</v>
      </c>
      <c r="EGS97" s="1675" t="s">
        <v>856</v>
      </c>
      <c r="EGT97" s="1675" t="s">
        <v>856</v>
      </c>
      <c r="EGU97" s="1675" t="s">
        <v>856</v>
      </c>
      <c r="EGV97" s="1675" t="s">
        <v>856</v>
      </c>
      <c r="EGW97" s="1675" t="s">
        <v>856</v>
      </c>
      <c r="EGX97" s="1675" t="s">
        <v>856</v>
      </c>
      <c r="EGY97" s="1675" t="s">
        <v>856</v>
      </c>
      <c r="EGZ97" s="1675" t="s">
        <v>856</v>
      </c>
      <c r="EHA97" s="1675" t="s">
        <v>856</v>
      </c>
      <c r="EHB97" s="1675" t="s">
        <v>856</v>
      </c>
      <c r="EHC97" s="1675" t="s">
        <v>856</v>
      </c>
      <c r="EHD97" s="1675" t="s">
        <v>856</v>
      </c>
      <c r="EHE97" s="1675" t="s">
        <v>856</v>
      </c>
      <c r="EHF97" s="1675" t="s">
        <v>856</v>
      </c>
      <c r="EHG97" s="1675" t="s">
        <v>856</v>
      </c>
      <c r="EHH97" s="1675" t="s">
        <v>856</v>
      </c>
      <c r="EHI97" s="1675" t="s">
        <v>856</v>
      </c>
      <c r="EHJ97" s="1675" t="s">
        <v>856</v>
      </c>
      <c r="EHK97" s="1675" t="s">
        <v>856</v>
      </c>
      <c r="EHL97" s="1675" t="s">
        <v>856</v>
      </c>
      <c r="EHM97" s="1675" t="s">
        <v>856</v>
      </c>
      <c r="EHN97" s="1675" t="s">
        <v>856</v>
      </c>
      <c r="EHO97" s="1675" t="s">
        <v>856</v>
      </c>
      <c r="EHP97" s="1675" t="s">
        <v>856</v>
      </c>
      <c r="EHQ97" s="1675" t="s">
        <v>856</v>
      </c>
      <c r="EHR97" s="1675" t="s">
        <v>856</v>
      </c>
      <c r="EHS97" s="1675" t="s">
        <v>856</v>
      </c>
      <c r="EHT97" s="1675" t="s">
        <v>856</v>
      </c>
      <c r="EHU97" s="1675" t="s">
        <v>856</v>
      </c>
      <c r="EHV97" s="1675" t="s">
        <v>856</v>
      </c>
      <c r="EHW97" s="1675" t="s">
        <v>856</v>
      </c>
      <c r="EHX97" s="1675" t="s">
        <v>856</v>
      </c>
      <c r="EHY97" s="1675" t="s">
        <v>856</v>
      </c>
      <c r="EHZ97" s="1675" t="s">
        <v>856</v>
      </c>
      <c r="EIA97" s="1675" t="s">
        <v>856</v>
      </c>
      <c r="EIB97" s="1675" t="s">
        <v>856</v>
      </c>
      <c r="EIC97" s="1675" t="s">
        <v>856</v>
      </c>
      <c r="EID97" s="1675" t="s">
        <v>856</v>
      </c>
      <c r="EIE97" s="1675" t="s">
        <v>856</v>
      </c>
      <c r="EIF97" s="1675" t="s">
        <v>856</v>
      </c>
      <c r="EIG97" s="1675" t="s">
        <v>856</v>
      </c>
      <c r="EIH97" s="1675" t="s">
        <v>856</v>
      </c>
      <c r="EII97" s="1675" t="s">
        <v>856</v>
      </c>
      <c r="EIJ97" s="1675" t="s">
        <v>856</v>
      </c>
      <c r="EIK97" s="1675" t="s">
        <v>856</v>
      </c>
      <c r="EIL97" s="1675" t="s">
        <v>856</v>
      </c>
      <c r="EIM97" s="1675" t="s">
        <v>856</v>
      </c>
      <c r="EIN97" s="1675" t="s">
        <v>856</v>
      </c>
      <c r="EIO97" s="1675" t="s">
        <v>856</v>
      </c>
      <c r="EIP97" s="1675" t="s">
        <v>856</v>
      </c>
      <c r="EIQ97" s="1675" t="s">
        <v>856</v>
      </c>
      <c r="EIR97" s="1675" t="s">
        <v>856</v>
      </c>
      <c r="EIS97" s="1675" t="s">
        <v>856</v>
      </c>
      <c r="EIT97" s="1675" t="s">
        <v>856</v>
      </c>
      <c r="EIU97" s="1675" t="s">
        <v>856</v>
      </c>
      <c r="EIV97" s="1675" t="s">
        <v>856</v>
      </c>
      <c r="EIW97" s="1675" t="s">
        <v>856</v>
      </c>
      <c r="EIX97" s="1675" t="s">
        <v>856</v>
      </c>
      <c r="EIY97" s="1675" t="s">
        <v>856</v>
      </c>
      <c r="EIZ97" s="1675" t="s">
        <v>856</v>
      </c>
      <c r="EJA97" s="1675" t="s">
        <v>856</v>
      </c>
      <c r="EJB97" s="1675" t="s">
        <v>856</v>
      </c>
      <c r="EJC97" s="1675" t="s">
        <v>856</v>
      </c>
      <c r="EJD97" s="1675" t="s">
        <v>856</v>
      </c>
      <c r="EJE97" s="1675" t="s">
        <v>856</v>
      </c>
      <c r="EJF97" s="1675" t="s">
        <v>856</v>
      </c>
      <c r="EJG97" s="1675" t="s">
        <v>856</v>
      </c>
      <c r="EJH97" s="1675" t="s">
        <v>856</v>
      </c>
      <c r="EJI97" s="1675" t="s">
        <v>856</v>
      </c>
      <c r="EJJ97" s="1675" t="s">
        <v>856</v>
      </c>
      <c r="EJK97" s="1675" t="s">
        <v>856</v>
      </c>
      <c r="EJL97" s="1675" t="s">
        <v>856</v>
      </c>
      <c r="EJM97" s="1675" t="s">
        <v>856</v>
      </c>
      <c r="EJN97" s="1675" t="s">
        <v>856</v>
      </c>
      <c r="EJO97" s="1675" t="s">
        <v>856</v>
      </c>
      <c r="EJP97" s="1675" t="s">
        <v>856</v>
      </c>
      <c r="EJQ97" s="1675" t="s">
        <v>856</v>
      </c>
      <c r="EJR97" s="1675" t="s">
        <v>856</v>
      </c>
      <c r="EJS97" s="1675" t="s">
        <v>856</v>
      </c>
      <c r="EJT97" s="1675" t="s">
        <v>856</v>
      </c>
      <c r="EJU97" s="1675" t="s">
        <v>856</v>
      </c>
      <c r="EJV97" s="1675" t="s">
        <v>856</v>
      </c>
      <c r="EJW97" s="1675" t="s">
        <v>856</v>
      </c>
      <c r="EJX97" s="1675" t="s">
        <v>856</v>
      </c>
      <c r="EJY97" s="1675" t="s">
        <v>856</v>
      </c>
      <c r="EJZ97" s="1675" t="s">
        <v>856</v>
      </c>
      <c r="EKA97" s="1675" t="s">
        <v>856</v>
      </c>
      <c r="EKB97" s="1675" t="s">
        <v>856</v>
      </c>
      <c r="EKC97" s="1675" t="s">
        <v>856</v>
      </c>
      <c r="EKD97" s="1675" t="s">
        <v>856</v>
      </c>
      <c r="EKE97" s="1675" t="s">
        <v>856</v>
      </c>
      <c r="EKF97" s="1675" t="s">
        <v>856</v>
      </c>
      <c r="EKG97" s="1675" t="s">
        <v>856</v>
      </c>
      <c r="EKH97" s="1675" t="s">
        <v>856</v>
      </c>
      <c r="EKI97" s="1675" t="s">
        <v>856</v>
      </c>
      <c r="EKJ97" s="1675" t="s">
        <v>856</v>
      </c>
      <c r="EKK97" s="1675" t="s">
        <v>856</v>
      </c>
      <c r="EKL97" s="1675" t="s">
        <v>856</v>
      </c>
      <c r="EKM97" s="1675" t="s">
        <v>856</v>
      </c>
      <c r="EKN97" s="1675" t="s">
        <v>856</v>
      </c>
      <c r="EKO97" s="1675" t="s">
        <v>856</v>
      </c>
      <c r="EKP97" s="1675" t="s">
        <v>856</v>
      </c>
      <c r="EKQ97" s="1675" t="s">
        <v>856</v>
      </c>
      <c r="EKR97" s="1675" t="s">
        <v>856</v>
      </c>
      <c r="EKS97" s="1675" t="s">
        <v>856</v>
      </c>
      <c r="EKT97" s="1675" t="s">
        <v>856</v>
      </c>
      <c r="EKU97" s="1675" t="s">
        <v>856</v>
      </c>
      <c r="EKV97" s="1675" t="s">
        <v>856</v>
      </c>
      <c r="EKW97" s="1675" t="s">
        <v>856</v>
      </c>
      <c r="EKX97" s="1675" t="s">
        <v>856</v>
      </c>
      <c r="EKY97" s="1675" t="s">
        <v>856</v>
      </c>
      <c r="EKZ97" s="1675" t="s">
        <v>856</v>
      </c>
      <c r="ELA97" s="1675" t="s">
        <v>856</v>
      </c>
      <c r="ELB97" s="1675" t="s">
        <v>856</v>
      </c>
      <c r="ELC97" s="1675" t="s">
        <v>856</v>
      </c>
      <c r="ELD97" s="1675" t="s">
        <v>856</v>
      </c>
      <c r="ELE97" s="1675" t="s">
        <v>856</v>
      </c>
      <c r="ELF97" s="1675" t="s">
        <v>856</v>
      </c>
      <c r="ELG97" s="1675" t="s">
        <v>856</v>
      </c>
      <c r="ELH97" s="1675" t="s">
        <v>856</v>
      </c>
      <c r="ELI97" s="1675" t="s">
        <v>856</v>
      </c>
      <c r="ELJ97" s="1675" t="s">
        <v>856</v>
      </c>
      <c r="ELK97" s="1675" t="s">
        <v>856</v>
      </c>
      <c r="ELL97" s="1675" t="s">
        <v>856</v>
      </c>
      <c r="ELM97" s="1675" t="s">
        <v>856</v>
      </c>
      <c r="ELN97" s="1675" t="s">
        <v>856</v>
      </c>
      <c r="ELO97" s="1675" t="s">
        <v>856</v>
      </c>
      <c r="ELP97" s="1675" t="s">
        <v>856</v>
      </c>
      <c r="ELQ97" s="1675" t="s">
        <v>856</v>
      </c>
      <c r="ELR97" s="1675" t="s">
        <v>856</v>
      </c>
      <c r="ELS97" s="1675" t="s">
        <v>856</v>
      </c>
      <c r="ELT97" s="1675" t="s">
        <v>856</v>
      </c>
      <c r="ELU97" s="1675" t="s">
        <v>856</v>
      </c>
      <c r="ELV97" s="1675" t="s">
        <v>856</v>
      </c>
      <c r="ELW97" s="1675" t="s">
        <v>856</v>
      </c>
      <c r="ELX97" s="1675" t="s">
        <v>856</v>
      </c>
      <c r="ELY97" s="1675" t="s">
        <v>856</v>
      </c>
      <c r="ELZ97" s="1675" t="s">
        <v>856</v>
      </c>
      <c r="EMA97" s="1675" t="s">
        <v>856</v>
      </c>
      <c r="EMB97" s="1675" t="s">
        <v>856</v>
      </c>
      <c r="EMC97" s="1675" t="s">
        <v>856</v>
      </c>
      <c r="EMD97" s="1675" t="s">
        <v>856</v>
      </c>
      <c r="EME97" s="1675" t="s">
        <v>856</v>
      </c>
      <c r="EMF97" s="1675" t="s">
        <v>856</v>
      </c>
      <c r="EMG97" s="1675" t="s">
        <v>856</v>
      </c>
      <c r="EMH97" s="1675" t="s">
        <v>856</v>
      </c>
      <c r="EMI97" s="1675" t="s">
        <v>856</v>
      </c>
      <c r="EMJ97" s="1675" t="s">
        <v>856</v>
      </c>
      <c r="EMK97" s="1675" t="s">
        <v>856</v>
      </c>
      <c r="EML97" s="1675" t="s">
        <v>856</v>
      </c>
      <c r="EMM97" s="1675" t="s">
        <v>856</v>
      </c>
      <c r="EMN97" s="1675" t="s">
        <v>856</v>
      </c>
      <c r="EMO97" s="1675" t="s">
        <v>856</v>
      </c>
      <c r="EMP97" s="1675" t="s">
        <v>856</v>
      </c>
      <c r="EMQ97" s="1675" t="s">
        <v>856</v>
      </c>
      <c r="EMR97" s="1675" t="s">
        <v>856</v>
      </c>
      <c r="EMS97" s="1675" t="s">
        <v>856</v>
      </c>
      <c r="EMT97" s="1675" t="s">
        <v>856</v>
      </c>
      <c r="EMU97" s="1675" t="s">
        <v>856</v>
      </c>
      <c r="EMV97" s="1675" t="s">
        <v>856</v>
      </c>
      <c r="EMW97" s="1675" t="s">
        <v>856</v>
      </c>
      <c r="EMX97" s="1675" t="s">
        <v>856</v>
      </c>
      <c r="EMY97" s="1675" t="s">
        <v>856</v>
      </c>
      <c r="EMZ97" s="1675" t="s">
        <v>856</v>
      </c>
      <c r="ENA97" s="1675" t="s">
        <v>856</v>
      </c>
      <c r="ENB97" s="1675" t="s">
        <v>856</v>
      </c>
      <c r="ENC97" s="1675" t="s">
        <v>856</v>
      </c>
      <c r="END97" s="1675" t="s">
        <v>856</v>
      </c>
      <c r="ENE97" s="1675" t="s">
        <v>856</v>
      </c>
      <c r="ENF97" s="1675" t="s">
        <v>856</v>
      </c>
      <c r="ENG97" s="1675" t="s">
        <v>856</v>
      </c>
      <c r="ENH97" s="1675" t="s">
        <v>856</v>
      </c>
      <c r="ENI97" s="1675" t="s">
        <v>856</v>
      </c>
      <c r="ENJ97" s="1675" t="s">
        <v>856</v>
      </c>
      <c r="ENK97" s="1675" t="s">
        <v>856</v>
      </c>
      <c r="ENL97" s="1675" t="s">
        <v>856</v>
      </c>
      <c r="ENM97" s="1675" t="s">
        <v>856</v>
      </c>
      <c r="ENN97" s="1675" t="s">
        <v>856</v>
      </c>
      <c r="ENO97" s="1675" t="s">
        <v>856</v>
      </c>
      <c r="ENP97" s="1675" t="s">
        <v>856</v>
      </c>
      <c r="ENQ97" s="1675" t="s">
        <v>856</v>
      </c>
      <c r="ENR97" s="1675" t="s">
        <v>856</v>
      </c>
      <c r="ENS97" s="1675" t="s">
        <v>856</v>
      </c>
      <c r="ENT97" s="1675" t="s">
        <v>856</v>
      </c>
      <c r="ENU97" s="1675" t="s">
        <v>856</v>
      </c>
      <c r="ENV97" s="1675" t="s">
        <v>856</v>
      </c>
      <c r="ENW97" s="1675" t="s">
        <v>856</v>
      </c>
      <c r="ENX97" s="1675" t="s">
        <v>856</v>
      </c>
      <c r="ENY97" s="1675" t="s">
        <v>856</v>
      </c>
      <c r="ENZ97" s="1675" t="s">
        <v>856</v>
      </c>
      <c r="EOA97" s="1675" t="s">
        <v>856</v>
      </c>
      <c r="EOB97" s="1675" t="s">
        <v>856</v>
      </c>
      <c r="EOC97" s="1675" t="s">
        <v>856</v>
      </c>
      <c r="EOD97" s="1675" t="s">
        <v>856</v>
      </c>
      <c r="EOE97" s="1675" t="s">
        <v>856</v>
      </c>
      <c r="EOF97" s="1675" t="s">
        <v>856</v>
      </c>
      <c r="EOG97" s="1675" t="s">
        <v>856</v>
      </c>
      <c r="EOH97" s="1675" t="s">
        <v>856</v>
      </c>
      <c r="EOI97" s="1675" t="s">
        <v>856</v>
      </c>
      <c r="EOJ97" s="1675" t="s">
        <v>856</v>
      </c>
      <c r="EOK97" s="1675" t="s">
        <v>856</v>
      </c>
      <c r="EOL97" s="1675" t="s">
        <v>856</v>
      </c>
      <c r="EOM97" s="1675" t="s">
        <v>856</v>
      </c>
      <c r="EON97" s="1675" t="s">
        <v>856</v>
      </c>
      <c r="EOO97" s="1675" t="s">
        <v>856</v>
      </c>
      <c r="EOP97" s="1675" t="s">
        <v>856</v>
      </c>
      <c r="EOQ97" s="1675" t="s">
        <v>856</v>
      </c>
      <c r="EOR97" s="1675" t="s">
        <v>856</v>
      </c>
      <c r="EOS97" s="1675" t="s">
        <v>856</v>
      </c>
      <c r="EOT97" s="1675" t="s">
        <v>856</v>
      </c>
      <c r="EOU97" s="1675" t="s">
        <v>856</v>
      </c>
      <c r="EOV97" s="1675" t="s">
        <v>856</v>
      </c>
      <c r="EOW97" s="1675" t="s">
        <v>856</v>
      </c>
      <c r="EOX97" s="1675" t="s">
        <v>856</v>
      </c>
      <c r="EOY97" s="1675" t="s">
        <v>856</v>
      </c>
      <c r="EOZ97" s="1675" t="s">
        <v>856</v>
      </c>
      <c r="EPA97" s="1675" t="s">
        <v>856</v>
      </c>
      <c r="EPB97" s="1675" t="s">
        <v>856</v>
      </c>
      <c r="EPC97" s="1675" t="s">
        <v>856</v>
      </c>
      <c r="EPD97" s="1675" t="s">
        <v>856</v>
      </c>
      <c r="EPE97" s="1675" t="s">
        <v>856</v>
      </c>
      <c r="EPF97" s="1675" t="s">
        <v>856</v>
      </c>
      <c r="EPG97" s="1675" t="s">
        <v>856</v>
      </c>
      <c r="EPH97" s="1675" t="s">
        <v>856</v>
      </c>
      <c r="EPI97" s="1675" t="s">
        <v>856</v>
      </c>
      <c r="EPJ97" s="1675" t="s">
        <v>856</v>
      </c>
      <c r="EPK97" s="1675" t="s">
        <v>856</v>
      </c>
      <c r="EPL97" s="1675" t="s">
        <v>856</v>
      </c>
      <c r="EPM97" s="1675" t="s">
        <v>856</v>
      </c>
      <c r="EPN97" s="1675" t="s">
        <v>856</v>
      </c>
      <c r="EPO97" s="1675" t="s">
        <v>856</v>
      </c>
      <c r="EPP97" s="1675" t="s">
        <v>856</v>
      </c>
      <c r="EPQ97" s="1675" t="s">
        <v>856</v>
      </c>
      <c r="EPR97" s="1675" t="s">
        <v>856</v>
      </c>
      <c r="EPS97" s="1675" t="s">
        <v>856</v>
      </c>
      <c r="EPT97" s="1675" t="s">
        <v>856</v>
      </c>
      <c r="EPU97" s="1675" t="s">
        <v>856</v>
      </c>
      <c r="EPV97" s="1675" t="s">
        <v>856</v>
      </c>
      <c r="EPW97" s="1675" t="s">
        <v>856</v>
      </c>
      <c r="EPX97" s="1675" t="s">
        <v>856</v>
      </c>
      <c r="EPY97" s="1675" t="s">
        <v>856</v>
      </c>
      <c r="EPZ97" s="1675" t="s">
        <v>856</v>
      </c>
      <c r="EQA97" s="1675" t="s">
        <v>856</v>
      </c>
      <c r="EQB97" s="1675" t="s">
        <v>856</v>
      </c>
      <c r="EQC97" s="1675" t="s">
        <v>856</v>
      </c>
      <c r="EQD97" s="1675" t="s">
        <v>856</v>
      </c>
      <c r="EQE97" s="1675" t="s">
        <v>856</v>
      </c>
      <c r="EQF97" s="1675" t="s">
        <v>856</v>
      </c>
      <c r="EQG97" s="1675" t="s">
        <v>856</v>
      </c>
      <c r="EQH97" s="1675" t="s">
        <v>856</v>
      </c>
      <c r="EQI97" s="1675" t="s">
        <v>856</v>
      </c>
      <c r="EQJ97" s="1675" t="s">
        <v>856</v>
      </c>
      <c r="EQK97" s="1675" t="s">
        <v>856</v>
      </c>
      <c r="EQL97" s="1675" t="s">
        <v>856</v>
      </c>
      <c r="EQM97" s="1675" t="s">
        <v>856</v>
      </c>
      <c r="EQN97" s="1675" t="s">
        <v>856</v>
      </c>
      <c r="EQO97" s="1675" t="s">
        <v>856</v>
      </c>
      <c r="EQP97" s="1675" t="s">
        <v>856</v>
      </c>
      <c r="EQQ97" s="1675" t="s">
        <v>856</v>
      </c>
      <c r="EQR97" s="1675" t="s">
        <v>856</v>
      </c>
      <c r="EQS97" s="1675" t="s">
        <v>856</v>
      </c>
      <c r="EQT97" s="1675" t="s">
        <v>856</v>
      </c>
      <c r="EQU97" s="1675" t="s">
        <v>856</v>
      </c>
      <c r="EQV97" s="1675" t="s">
        <v>856</v>
      </c>
      <c r="EQW97" s="1675" t="s">
        <v>856</v>
      </c>
      <c r="EQX97" s="1675" t="s">
        <v>856</v>
      </c>
      <c r="EQY97" s="1675" t="s">
        <v>856</v>
      </c>
      <c r="EQZ97" s="1675" t="s">
        <v>856</v>
      </c>
      <c r="ERA97" s="1675" t="s">
        <v>856</v>
      </c>
      <c r="ERB97" s="1675" t="s">
        <v>856</v>
      </c>
      <c r="ERC97" s="1675" t="s">
        <v>856</v>
      </c>
      <c r="ERD97" s="1675" t="s">
        <v>856</v>
      </c>
      <c r="ERE97" s="1675" t="s">
        <v>856</v>
      </c>
      <c r="ERF97" s="1675" t="s">
        <v>856</v>
      </c>
      <c r="ERG97" s="1675" t="s">
        <v>856</v>
      </c>
      <c r="ERH97" s="1675" t="s">
        <v>856</v>
      </c>
      <c r="ERI97" s="1675" t="s">
        <v>856</v>
      </c>
      <c r="ERJ97" s="1675" t="s">
        <v>856</v>
      </c>
      <c r="ERK97" s="1675" t="s">
        <v>856</v>
      </c>
      <c r="ERL97" s="1675" t="s">
        <v>856</v>
      </c>
      <c r="ERM97" s="1675" t="s">
        <v>856</v>
      </c>
      <c r="ERN97" s="1675" t="s">
        <v>856</v>
      </c>
      <c r="ERO97" s="1675" t="s">
        <v>856</v>
      </c>
      <c r="ERP97" s="1675" t="s">
        <v>856</v>
      </c>
      <c r="ERQ97" s="1675" t="s">
        <v>856</v>
      </c>
      <c r="ERR97" s="1675" t="s">
        <v>856</v>
      </c>
      <c r="ERS97" s="1675" t="s">
        <v>856</v>
      </c>
      <c r="ERT97" s="1675" t="s">
        <v>856</v>
      </c>
      <c r="ERU97" s="1675" t="s">
        <v>856</v>
      </c>
      <c r="ERV97" s="1675" t="s">
        <v>856</v>
      </c>
      <c r="ERW97" s="1675" t="s">
        <v>856</v>
      </c>
      <c r="ERX97" s="1675" t="s">
        <v>856</v>
      </c>
      <c r="ERY97" s="1675" t="s">
        <v>856</v>
      </c>
      <c r="ERZ97" s="1675" t="s">
        <v>856</v>
      </c>
      <c r="ESA97" s="1675" t="s">
        <v>856</v>
      </c>
      <c r="ESB97" s="1675" t="s">
        <v>856</v>
      </c>
      <c r="ESC97" s="1675" t="s">
        <v>856</v>
      </c>
      <c r="ESD97" s="1675" t="s">
        <v>856</v>
      </c>
      <c r="ESE97" s="1675" t="s">
        <v>856</v>
      </c>
      <c r="ESF97" s="1675" t="s">
        <v>856</v>
      </c>
      <c r="ESG97" s="1675" t="s">
        <v>856</v>
      </c>
      <c r="ESH97" s="1675" t="s">
        <v>856</v>
      </c>
      <c r="ESI97" s="1675" t="s">
        <v>856</v>
      </c>
      <c r="ESJ97" s="1675" t="s">
        <v>856</v>
      </c>
      <c r="ESK97" s="1675" t="s">
        <v>856</v>
      </c>
      <c r="ESL97" s="1675" t="s">
        <v>856</v>
      </c>
      <c r="ESM97" s="1675" t="s">
        <v>856</v>
      </c>
      <c r="ESN97" s="1675" t="s">
        <v>856</v>
      </c>
      <c r="ESO97" s="1675" t="s">
        <v>856</v>
      </c>
      <c r="ESP97" s="1675" t="s">
        <v>856</v>
      </c>
      <c r="ESQ97" s="1675" t="s">
        <v>856</v>
      </c>
      <c r="ESR97" s="1675" t="s">
        <v>856</v>
      </c>
      <c r="ESS97" s="1675" t="s">
        <v>856</v>
      </c>
      <c r="EST97" s="1675" t="s">
        <v>856</v>
      </c>
      <c r="ESU97" s="1675" t="s">
        <v>856</v>
      </c>
      <c r="ESV97" s="1675" t="s">
        <v>856</v>
      </c>
      <c r="ESW97" s="1675" t="s">
        <v>856</v>
      </c>
      <c r="ESX97" s="1675" t="s">
        <v>856</v>
      </c>
      <c r="ESY97" s="1675" t="s">
        <v>856</v>
      </c>
      <c r="ESZ97" s="1675" t="s">
        <v>856</v>
      </c>
      <c r="ETA97" s="1675" t="s">
        <v>856</v>
      </c>
      <c r="ETB97" s="1675" t="s">
        <v>856</v>
      </c>
      <c r="ETC97" s="1675" t="s">
        <v>856</v>
      </c>
      <c r="ETD97" s="1675" t="s">
        <v>856</v>
      </c>
      <c r="ETE97" s="1675" t="s">
        <v>856</v>
      </c>
      <c r="ETF97" s="1675" t="s">
        <v>856</v>
      </c>
      <c r="ETG97" s="1675" t="s">
        <v>856</v>
      </c>
      <c r="ETH97" s="1675" t="s">
        <v>856</v>
      </c>
      <c r="ETI97" s="1675" t="s">
        <v>856</v>
      </c>
      <c r="ETJ97" s="1675" t="s">
        <v>856</v>
      </c>
      <c r="ETK97" s="1675" t="s">
        <v>856</v>
      </c>
      <c r="ETL97" s="1675" t="s">
        <v>856</v>
      </c>
      <c r="ETM97" s="1675" t="s">
        <v>856</v>
      </c>
      <c r="ETN97" s="1675" t="s">
        <v>856</v>
      </c>
      <c r="ETO97" s="1675" t="s">
        <v>856</v>
      </c>
      <c r="ETP97" s="1675" t="s">
        <v>856</v>
      </c>
      <c r="ETQ97" s="1675" t="s">
        <v>856</v>
      </c>
      <c r="ETR97" s="1675" t="s">
        <v>856</v>
      </c>
      <c r="ETS97" s="1675" t="s">
        <v>856</v>
      </c>
      <c r="ETT97" s="1675" t="s">
        <v>856</v>
      </c>
      <c r="ETU97" s="1675" t="s">
        <v>856</v>
      </c>
      <c r="ETV97" s="1675" t="s">
        <v>856</v>
      </c>
      <c r="ETW97" s="1675" t="s">
        <v>856</v>
      </c>
      <c r="ETX97" s="1675" t="s">
        <v>856</v>
      </c>
      <c r="ETY97" s="1675" t="s">
        <v>856</v>
      </c>
      <c r="ETZ97" s="1675" t="s">
        <v>856</v>
      </c>
      <c r="EUA97" s="1675" t="s">
        <v>856</v>
      </c>
      <c r="EUB97" s="1675" t="s">
        <v>856</v>
      </c>
      <c r="EUC97" s="1675" t="s">
        <v>856</v>
      </c>
      <c r="EUD97" s="1675" t="s">
        <v>856</v>
      </c>
      <c r="EUE97" s="1675" t="s">
        <v>856</v>
      </c>
      <c r="EUF97" s="1675" t="s">
        <v>856</v>
      </c>
      <c r="EUG97" s="1675" t="s">
        <v>856</v>
      </c>
      <c r="EUH97" s="1675" t="s">
        <v>856</v>
      </c>
      <c r="EUI97" s="1675" t="s">
        <v>856</v>
      </c>
      <c r="EUJ97" s="1675" t="s">
        <v>856</v>
      </c>
      <c r="EUK97" s="1675" t="s">
        <v>856</v>
      </c>
      <c r="EUL97" s="1675" t="s">
        <v>856</v>
      </c>
      <c r="EUM97" s="1675" t="s">
        <v>856</v>
      </c>
      <c r="EUN97" s="1675" t="s">
        <v>856</v>
      </c>
      <c r="EUO97" s="1675" t="s">
        <v>856</v>
      </c>
      <c r="EUP97" s="1675" t="s">
        <v>856</v>
      </c>
      <c r="EUQ97" s="1675" t="s">
        <v>856</v>
      </c>
      <c r="EUR97" s="1675" t="s">
        <v>856</v>
      </c>
      <c r="EUS97" s="1675" t="s">
        <v>856</v>
      </c>
      <c r="EUT97" s="1675" t="s">
        <v>856</v>
      </c>
      <c r="EUU97" s="1675" t="s">
        <v>856</v>
      </c>
      <c r="EUV97" s="1675" t="s">
        <v>856</v>
      </c>
      <c r="EUW97" s="1675" t="s">
        <v>856</v>
      </c>
      <c r="EUX97" s="1675" t="s">
        <v>856</v>
      </c>
      <c r="EUY97" s="1675" t="s">
        <v>856</v>
      </c>
      <c r="EUZ97" s="1675" t="s">
        <v>856</v>
      </c>
      <c r="EVA97" s="1675" t="s">
        <v>856</v>
      </c>
      <c r="EVB97" s="1675" t="s">
        <v>856</v>
      </c>
      <c r="EVC97" s="1675" t="s">
        <v>856</v>
      </c>
      <c r="EVD97" s="1675" t="s">
        <v>856</v>
      </c>
      <c r="EVE97" s="1675" t="s">
        <v>856</v>
      </c>
      <c r="EVF97" s="1675" t="s">
        <v>856</v>
      </c>
      <c r="EVG97" s="1675" t="s">
        <v>856</v>
      </c>
      <c r="EVH97" s="1675" t="s">
        <v>856</v>
      </c>
      <c r="EVI97" s="1675" t="s">
        <v>856</v>
      </c>
      <c r="EVJ97" s="1675" t="s">
        <v>856</v>
      </c>
      <c r="EVK97" s="1675" t="s">
        <v>856</v>
      </c>
      <c r="EVL97" s="1675" t="s">
        <v>856</v>
      </c>
      <c r="EVM97" s="1675" t="s">
        <v>856</v>
      </c>
      <c r="EVN97" s="1675" t="s">
        <v>856</v>
      </c>
      <c r="EVO97" s="1675" t="s">
        <v>856</v>
      </c>
      <c r="EVP97" s="1675" t="s">
        <v>856</v>
      </c>
      <c r="EVQ97" s="1675" t="s">
        <v>856</v>
      </c>
      <c r="EVR97" s="1675" t="s">
        <v>856</v>
      </c>
      <c r="EVS97" s="1675" t="s">
        <v>856</v>
      </c>
      <c r="EVT97" s="1675" t="s">
        <v>856</v>
      </c>
      <c r="EVU97" s="1675" t="s">
        <v>856</v>
      </c>
      <c r="EVV97" s="1675" t="s">
        <v>856</v>
      </c>
      <c r="EVW97" s="1675" t="s">
        <v>856</v>
      </c>
      <c r="EVX97" s="1675" t="s">
        <v>856</v>
      </c>
      <c r="EVY97" s="1675" t="s">
        <v>856</v>
      </c>
      <c r="EVZ97" s="1675" t="s">
        <v>856</v>
      </c>
      <c r="EWA97" s="1675" t="s">
        <v>856</v>
      </c>
      <c r="EWB97" s="1675" t="s">
        <v>856</v>
      </c>
      <c r="EWC97" s="1675" t="s">
        <v>856</v>
      </c>
      <c r="EWD97" s="1675" t="s">
        <v>856</v>
      </c>
      <c r="EWE97" s="1675" t="s">
        <v>856</v>
      </c>
      <c r="EWF97" s="1675" t="s">
        <v>856</v>
      </c>
      <c r="EWG97" s="1675" t="s">
        <v>856</v>
      </c>
      <c r="EWH97" s="1675" t="s">
        <v>856</v>
      </c>
      <c r="EWI97" s="1675" t="s">
        <v>856</v>
      </c>
      <c r="EWJ97" s="1675" t="s">
        <v>856</v>
      </c>
      <c r="EWK97" s="1675" t="s">
        <v>856</v>
      </c>
      <c r="EWL97" s="1675" t="s">
        <v>856</v>
      </c>
      <c r="EWM97" s="1675" t="s">
        <v>856</v>
      </c>
      <c r="EWN97" s="1675" t="s">
        <v>856</v>
      </c>
      <c r="EWO97" s="1675" t="s">
        <v>856</v>
      </c>
      <c r="EWP97" s="1675" t="s">
        <v>856</v>
      </c>
      <c r="EWQ97" s="1675" t="s">
        <v>856</v>
      </c>
      <c r="EWR97" s="1675" t="s">
        <v>856</v>
      </c>
      <c r="EWS97" s="1675" t="s">
        <v>856</v>
      </c>
      <c r="EWT97" s="1675" t="s">
        <v>856</v>
      </c>
      <c r="EWU97" s="1675" t="s">
        <v>856</v>
      </c>
      <c r="EWV97" s="1675" t="s">
        <v>856</v>
      </c>
      <c r="EWW97" s="1675" t="s">
        <v>856</v>
      </c>
      <c r="EWX97" s="1675" t="s">
        <v>856</v>
      </c>
      <c r="EWY97" s="1675" t="s">
        <v>856</v>
      </c>
      <c r="EWZ97" s="1675" t="s">
        <v>856</v>
      </c>
      <c r="EXA97" s="1675" t="s">
        <v>856</v>
      </c>
      <c r="EXB97" s="1675" t="s">
        <v>856</v>
      </c>
      <c r="EXC97" s="1675" t="s">
        <v>856</v>
      </c>
      <c r="EXD97" s="1675" t="s">
        <v>856</v>
      </c>
      <c r="EXE97" s="1675" t="s">
        <v>856</v>
      </c>
      <c r="EXF97" s="1675" t="s">
        <v>856</v>
      </c>
      <c r="EXG97" s="1675" t="s">
        <v>856</v>
      </c>
      <c r="EXH97" s="1675" t="s">
        <v>856</v>
      </c>
      <c r="EXI97" s="1675" t="s">
        <v>856</v>
      </c>
      <c r="EXJ97" s="1675" t="s">
        <v>856</v>
      </c>
      <c r="EXK97" s="1675" t="s">
        <v>856</v>
      </c>
      <c r="EXL97" s="1675" t="s">
        <v>856</v>
      </c>
      <c r="EXM97" s="1675" t="s">
        <v>856</v>
      </c>
      <c r="EXN97" s="1675" t="s">
        <v>856</v>
      </c>
      <c r="EXO97" s="1675" t="s">
        <v>856</v>
      </c>
      <c r="EXP97" s="1675" t="s">
        <v>856</v>
      </c>
      <c r="EXQ97" s="1675" t="s">
        <v>856</v>
      </c>
      <c r="EXR97" s="1675" t="s">
        <v>856</v>
      </c>
      <c r="EXS97" s="1675" t="s">
        <v>856</v>
      </c>
      <c r="EXT97" s="1675" t="s">
        <v>856</v>
      </c>
      <c r="EXU97" s="1675" t="s">
        <v>856</v>
      </c>
      <c r="EXV97" s="1675" t="s">
        <v>856</v>
      </c>
      <c r="EXW97" s="1675" t="s">
        <v>856</v>
      </c>
      <c r="EXX97" s="1675" t="s">
        <v>856</v>
      </c>
      <c r="EXY97" s="1675" t="s">
        <v>856</v>
      </c>
      <c r="EXZ97" s="1675" t="s">
        <v>856</v>
      </c>
      <c r="EYA97" s="1675" t="s">
        <v>856</v>
      </c>
      <c r="EYB97" s="1675" t="s">
        <v>856</v>
      </c>
      <c r="EYC97" s="1675" t="s">
        <v>856</v>
      </c>
      <c r="EYD97" s="1675" t="s">
        <v>856</v>
      </c>
      <c r="EYE97" s="1675" t="s">
        <v>856</v>
      </c>
      <c r="EYF97" s="1675" t="s">
        <v>856</v>
      </c>
      <c r="EYG97" s="1675" t="s">
        <v>856</v>
      </c>
      <c r="EYH97" s="1675" t="s">
        <v>856</v>
      </c>
      <c r="EYI97" s="1675" t="s">
        <v>856</v>
      </c>
      <c r="EYJ97" s="1675" t="s">
        <v>856</v>
      </c>
      <c r="EYK97" s="1675" t="s">
        <v>856</v>
      </c>
      <c r="EYL97" s="1675" t="s">
        <v>856</v>
      </c>
      <c r="EYM97" s="1675" t="s">
        <v>856</v>
      </c>
      <c r="EYN97" s="1675" t="s">
        <v>856</v>
      </c>
      <c r="EYO97" s="1675" t="s">
        <v>856</v>
      </c>
      <c r="EYP97" s="1675" t="s">
        <v>856</v>
      </c>
      <c r="EYQ97" s="1675" t="s">
        <v>856</v>
      </c>
      <c r="EYR97" s="1675" t="s">
        <v>856</v>
      </c>
      <c r="EYS97" s="1675" t="s">
        <v>856</v>
      </c>
      <c r="EYT97" s="1675" t="s">
        <v>856</v>
      </c>
      <c r="EYU97" s="1675" t="s">
        <v>856</v>
      </c>
      <c r="EYV97" s="1675" t="s">
        <v>856</v>
      </c>
      <c r="EYW97" s="1675" t="s">
        <v>856</v>
      </c>
      <c r="EYX97" s="1675" t="s">
        <v>856</v>
      </c>
      <c r="EYY97" s="1675" t="s">
        <v>856</v>
      </c>
      <c r="EYZ97" s="1675" t="s">
        <v>856</v>
      </c>
      <c r="EZA97" s="1675" t="s">
        <v>856</v>
      </c>
      <c r="EZB97" s="1675" t="s">
        <v>856</v>
      </c>
      <c r="EZC97" s="1675" t="s">
        <v>856</v>
      </c>
      <c r="EZD97" s="1675" t="s">
        <v>856</v>
      </c>
      <c r="EZE97" s="1675" t="s">
        <v>856</v>
      </c>
      <c r="EZF97" s="1675" t="s">
        <v>856</v>
      </c>
      <c r="EZG97" s="1675" t="s">
        <v>856</v>
      </c>
      <c r="EZH97" s="1675" t="s">
        <v>856</v>
      </c>
      <c r="EZI97" s="1675" t="s">
        <v>856</v>
      </c>
      <c r="EZJ97" s="1675" t="s">
        <v>856</v>
      </c>
      <c r="EZK97" s="1675" t="s">
        <v>856</v>
      </c>
      <c r="EZL97" s="1675" t="s">
        <v>856</v>
      </c>
      <c r="EZM97" s="1675" t="s">
        <v>856</v>
      </c>
      <c r="EZN97" s="1675" t="s">
        <v>856</v>
      </c>
      <c r="EZO97" s="1675" t="s">
        <v>856</v>
      </c>
      <c r="EZP97" s="1675" t="s">
        <v>856</v>
      </c>
      <c r="EZQ97" s="1675" t="s">
        <v>856</v>
      </c>
      <c r="EZR97" s="1675" t="s">
        <v>856</v>
      </c>
      <c r="EZS97" s="1675" t="s">
        <v>856</v>
      </c>
      <c r="EZT97" s="1675" t="s">
        <v>856</v>
      </c>
      <c r="EZU97" s="1675" t="s">
        <v>856</v>
      </c>
      <c r="EZV97" s="1675" t="s">
        <v>856</v>
      </c>
      <c r="EZW97" s="1675" t="s">
        <v>856</v>
      </c>
      <c r="EZX97" s="1675" t="s">
        <v>856</v>
      </c>
      <c r="EZY97" s="1675" t="s">
        <v>856</v>
      </c>
      <c r="EZZ97" s="1675" t="s">
        <v>856</v>
      </c>
      <c r="FAA97" s="1675" t="s">
        <v>856</v>
      </c>
      <c r="FAB97" s="1675" t="s">
        <v>856</v>
      </c>
      <c r="FAC97" s="1675" t="s">
        <v>856</v>
      </c>
      <c r="FAD97" s="1675" t="s">
        <v>856</v>
      </c>
      <c r="FAE97" s="1675" t="s">
        <v>856</v>
      </c>
      <c r="FAF97" s="1675" t="s">
        <v>856</v>
      </c>
      <c r="FAG97" s="1675" t="s">
        <v>856</v>
      </c>
      <c r="FAH97" s="1675" t="s">
        <v>856</v>
      </c>
      <c r="FAI97" s="1675" t="s">
        <v>856</v>
      </c>
      <c r="FAJ97" s="1675" t="s">
        <v>856</v>
      </c>
      <c r="FAK97" s="1675" t="s">
        <v>856</v>
      </c>
      <c r="FAL97" s="1675" t="s">
        <v>856</v>
      </c>
      <c r="FAM97" s="1675" t="s">
        <v>856</v>
      </c>
      <c r="FAN97" s="1675" t="s">
        <v>856</v>
      </c>
      <c r="FAO97" s="1675" t="s">
        <v>856</v>
      </c>
      <c r="FAP97" s="1675" t="s">
        <v>856</v>
      </c>
      <c r="FAQ97" s="1675" t="s">
        <v>856</v>
      </c>
      <c r="FAR97" s="1675" t="s">
        <v>856</v>
      </c>
      <c r="FAS97" s="1675" t="s">
        <v>856</v>
      </c>
      <c r="FAT97" s="1675" t="s">
        <v>856</v>
      </c>
      <c r="FAU97" s="1675" t="s">
        <v>856</v>
      </c>
      <c r="FAV97" s="1675" t="s">
        <v>856</v>
      </c>
      <c r="FAW97" s="1675" t="s">
        <v>856</v>
      </c>
      <c r="FAX97" s="1675" t="s">
        <v>856</v>
      </c>
      <c r="FAY97" s="1675" t="s">
        <v>856</v>
      </c>
      <c r="FAZ97" s="1675" t="s">
        <v>856</v>
      </c>
      <c r="FBA97" s="1675" t="s">
        <v>856</v>
      </c>
      <c r="FBB97" s="1675" t="s">
        <v>856</v>
      </c>
      <c r="FBC97" s="1675" t="s">
        <v>856</v>
      </c>
      <c r="FBD97" s="1675" t="s">
        <v>856</v>
      </c>
      <c r="FBE97" s="1675" t="s">
        <v>856</v>
      </c>
      <c r="FBF97" s="1675" t="s">
        <v>856</v>
      </c>
      <c r="FBG97" s="1675" t="s">
        <v>856</v>
      </c>
      <c r="FBH97" s="1675" t="s">
        <v>856</v>
      </c>
      <c r="FBI97" s="1675" t="s">
        <v>856</v>
      </c>
      <c r="FBJ97" s="1675" t="s">
        <v>856</v>
      </c>
      <c r="FBK97" s="1675" t="s">
        <v>856</v>
      </c>
      <c r="FBL97" s="1675" t="s">
        <v>856</v>
      </c>
      <c r="FBM97" s="1675" t="s">
        <v>856</v>
      </c>
      <c r="FBN97" s="1675" t="s">
        <v>856</v>
      </c>
      <c r="FBO97" s="1675" t="s">
        <v>856</v>
      </c>
      <c r="FBP97" s="1675" t="s">
        <v>856</v>
      </c>
      <c r="FBQ97" s="1675" t="s">
        <v>856</v>
      </c>
      <c r="FBR97" s="1675" t="s">
        <v>856</v>
      </c>
      <c r="FBS97" s="1675" t="s">
        <v>856</v>
      </c>
      <c r="FBT97" s="1675" t="s">
        <v>856</v>
      </c>
      <c r="FBU97" s="1675" t="s">
        <v>856</v>
      </c>
      <c r="FBV97" s="1675" t="s">
        <v>856</v>
      </c>
      <c r="FBW97" s="1675" t="s">
        <v>856</v>
      </c>
      <c r="FBX97" s="1675" t="s">
        <v>856</v>
      </c>
      <c r="FBY97" s="1675" t="s">
        <v>856</v>
      </c>
      <c r="FBZ97" s="1675" t="s">
        <v>856</v>
      </c>
      <c r="FCA97" s="1675" t="s">
        <v>856</v>
      </c>
      <c r="FCB97" s="1675" t="s">
        <v>856</v>
      </c>
      <c r="FCC97" s="1675" t="s">
        <v>856</v>
      </c>
      <c r="FCD97" s="1675" t="s">
        <v>856</v>
      </c>
      <c r="FCE97" s="1675" t="s">
        <v>856</v>
      </c>
      <c r="FCF97" s="1675" t="s">
        <v>856</v>
      </c>
      <c r="FCG97" s="1675" t="s">
        <v>856</v>
      </c>
      <c r="FCH97" s="1675" t="s">
        <v>856</v>
      </c>
      <c r="FCI97" s="1675" t="s">
        <v>856</v>
      </c>
      <c r="FCJ97" s="1675" t="s">
        <v>856</v>
      </c>
      <c r="FCK97" s="1675" t="s">
        <v>856</v>
      </c>
      <c r="FCL97" s="1675" t="s">
        <v>856</v>
      </c>
      <c r="FCM97" s="1675" t="s">
        <v>856</v>
      </c>
      <c r="FCN97" s="1675" t="s">
        <v>856</v>
      </c>
      <c r="FCO97" s="1675" t="s">
        <v>856</v>
      </c>
      <c r="FCP97" s="1675" t="s">
        <v>856</v>
      </c>
      <c r="FCQ97" s="1675" t="s">
        <v>856</v>
      </c>
      <c r="FCR97" s="1675" t="s">
        <v>856</v>
      </c>
      <c r="FCS97" s="1675" t="s">
        <v>856</v>
      </c>
      <c r="FCT97" s="1675" t="s">
        <v>856</v>
      </c>
      <c r="FCU97" s="1675" t="s">
        <v>856</v>
      </c>
      <c r="FCV97" s="1675" t="s">
        <v>856</v>
      </c>
      <c r="FCW97" s="1675" t="s">
        <v>856</v>
      </c>
      <c r="FCX97" s="1675" t="s">
        <v>856</v>
      </c>
      <c r="FCY97" s="1675" t="s">
        <v>856</v>
      </c>
      <c r="FCZ97" s="1675" t="s">
        <v>856</v>
      </c>
      <c r="FDA97" s="1675" t="s">
        <v>856</v>
      </c>
      <c r="FDB97" s="1675" t="s">
        <v>856</v>
      </c>
      <c r="FDC97" s="1675" t="s">
        <v>856</v>
      </c>
      <c r="FDD97" s="1675" t="s">
        <v>856</v>
      </c>
      <c r="FDE97" s="1675" t="s">
        <v>856</v>
      </c>
      <c r="FDF97" s="1675" t="s">
        <v>856</v>
      </c>
      <c r="FDG97" s="1675" t="s">
        <v>856</v>
      </c>
      <c r="FDH97" s="1675" t="s">
        <v>856</v>
      </c>
      <c r="FDI97" s="1675" t="s">
        <v>856</v>
      </c>
      <c r="FDJ97" s="1675" t="s">
        <v>856</v>
      </c>
      <c r="FDK97" s="1675" t="s">
        <v>856</v>
      </c>
      <c r="FDL97" s="1675" t="s">
        <v>856</v>
      </c>
      <c r="FDM97" s="1675" t="s">
        <v>856</v>
      </c>
      <c r="FDN97" s="1675" t="s">
        <v>856</v>
      </c>
      <c r="FDO97" s="1675" t="s">
        <v>856</v>
      </c>
      <c r="FDP97" s="1675" t="s">
        <v>856</v>
      </c>
      <c r="FDQ97" s="1675" t="s">
        <v>856</v>
      </c>
      <c r="FDR97" s="1675" t="s">
        <v>856</v>
      </c>
      <c r="FDS97" s="1675" t="s">
        <v>856</v>
      </c>
      <c r="FDT97" s="1675" t="s">
        <v>856</v>
      </c>
      <c r="FDU97" s="1675" t="s">
        <v>856</v>
      </c>
      <c r="FDV97" s="1675" t="s">
        <v>856</v>
      </c>
      <c r="FDW97" s="1675" t="s">
        <v>856</v>
      </c>
      <c r="FDX97" s="1675" t="s">
        <v>856</v>
      </c>
      <c r="FDY97" s="1675" t="s">
        <v>856</v>
      </c>
      <c r="FDZ97" s="1675" t="s">
        <v>856</v>
      </c>
      <c r="FEA97" s="1675" t="s">
        <v>856</v>
      </c>
      <c r="FEB97" s="1675" t="s">
        <v>856</v>
      </c>
      <c r="FEC97" s="1675" t="s">
        <v>856</v>
      </c>
      <c r="FED97" s="1675" t="s">
        <v>856</v>
      </c>
      <c r="FEE97" s="1675" t="s">
        <v>856</v>
      </c>
      <c r="FEF97" s="1675" t="s">
        <v>856</v>
      </c>
      <c r="FEG97" s="1675" t="s">
        <v>856</v>
      </c>
      <c r="FEH97" s="1675" t="s">
        <v>856</v>
      </c>
      <c r="FEI97" s="1675" t="s">
        <v>856</v>
      </c>
      <c r="FEJ97" s="1675" t="s">
        <v>856</v>
      </c>
      <c r="FEK97" s="1675" t="s">
        <v>856</v>
      </c>
      <c r="FEL97" s="1675" t="s">
        <v>856</v>
      </c>
      <c r="FEM97" s="1675" t="s">
        <v>856</v>
      </c>
      <c r="FEN97" s="1675" t="s">
        <v>856</v>
      </c>
      <c r="FEO97" s="1675" t="s">
        <v>856</v>
      </c>
      <c r="FEP97" s="1675" t="s">
        <v>856</v>
      </c>
      <c r="FEQ97" s="1675" t="s">
        <v>856</v>
      </c>
      <c r="FER97" s="1675" t="s">
        <v>856</v>
      </c>
      <c r="FES97" s="1675" t="s">
        <v>856</v>
      </c>
      <c r="FET97" s="1675" t="s">
        <v>856</v>
      </c>
      <c r="FEU97" s="1675" t="s">
        <v>856</v>
      </c>
      <c r="FEV97" s="1675" t="s">
        <v>856</v>
      </c>
      <c r="FEW97" s="1675" t="s">
        <v>856</v>
      </c>
      <c r="FEX97" s="1675" t="s">
        <v>856</v>
      </c>
      <c r="FEY97" s="1675" t="s">
        <v>856</v>
      </c>
      <c r="FEZ97" s="1675" t="s">
        <v>856</v>
      </c>
      <c r="FFA97" s="1675" t="s">
        <v>856</v>
      </c>
      <c r="FFB97" s="1675" t="s">
        <v>856</v>
      </c>
      <c r="FFC97" s="1675" t="s">
        <v>856</v>
      </c>
      <c r="FFD97" s="1675" t="s">
        <v>856</v>
      </c>
      <c r="FFE97" s="1675" t="s">
        <v>856</v>
      </c>
      <c r="FFF97" s="1675" t="s">
        <v>856</v>
      </c>
      <c r="FFG97" s="1675" t="s">
        <v>856</v>
      </c>
      <c r="FFH97" s="1675" t="s">
        <v>856</v>
      </c>
      <c r="FFI97" s="1675" t="s">
        <v>856</v>
      </c>
      <c r="FFJ97" s="1675" t="s">
        <v>856</v>
      </c>
      <c r="FFK97" s="1675" t="s">
        <v>856</v>
      </c>
      <c r="FFL97" s="1675" t="s">
        <v>856</v>
      </c>
      <c r="FFM97" s="1675" t="s">
        <v>856</v>
      </c>
      <c r="FFN97" s="1675" t="s">
        <v>856</v>
      </c>
      <c r="FFO97" s="1675" t="s">
        <v>856</v>
      </c>
      <c r="FFP97" s="1675" t="s">
        <v>856</v>
      </c>
      <c r="FFQ97" s="1675" t="s">
        <v>856</v>
      </c>
      <c r="FFR97" s="1675" t="s">
        <v>856</v>
      </c>
      <c r="FFS97" s="1675" t="s">
        <v>856</v>
      </c>
      <c r="FFT97" s="1675" t="s">
        <v>856</v>
      </c>
      <c r="FFU97" s="1675" t="s">
        <v>856</v>
      </c>
      <c r="FFV97" s="1675" t="s">
        <v>856</v>
      </c>
      <c r="FFW97" s="1675" t="s">
        <v>856</v>
      </c>
      <c r="FFX97" s="1675" t="s">
        <v>856</v>
      </c>
      <c r="FFY97" s="1675" t="s">
        <v>856</v>
      </c>
      <c r="FFZ97" s="1675" t="s">
        <v>856</v>
      </c>
      <c r="FGA97" s="1675" t="s">
        <v>856</v>
      </c>
      <c r="FGB97" s="1675" t="s">
        <v>856</v>
      </c>
      <c r="FGC97" s="1675" t="s">
        <v>856</v>
      </c>
      <c r="FGD97" s="1675" t="s">
        <v>856</v>
      </c>
      <c r="FGE97" s="1675" t="s">
        <v>856</v>
      </c>
      <c r="FGF97" s="1675" t="s">
        <v>856</v>
      </c>
      <c r="FGG97" s="1675" t="s">
        <v>856</v>
      </c>
      <c r="FGH97" s="1675" t="s">
        <v>856</v>
      </c>
      <c r="FGI97" s="1675" t="s">
        <v>856</v>
      </c>
      <c r="FGJ97" s="1675" t="s">
        <v>856</v>
      </c>
      <c r="FGK97" s="1675" t="s">
        <v>856</v>
      </c>
      <c r="FGL97" s="1675" t="s">
        <v>856</v>
      </c>
      <c r="FGM97" s="1675" t="s">
        <v>856</v>
      </c>
      <c r="FGN97" s="1675" t="s">
        <v>856</v>
      </c>
      <c r="FGO97" s="1675" t="s">
        <v>856</v>
      </c>
      <c r="FGP97" s="1675" t="s">
        <v>856</v>
      </c>
      <c r="FGQ97" s="1675" t="s">
        <v>856</v>
      </c>
      <c r="FGR97" s="1675" t="s">
        <v>856</v>
      </c>
      <c r="FGS97" s="1675" t="s">
        <v>856</v>
      </c>
      <c r="FGT97" s="1675" t="s">
        <v>856</v>
      </c>
      <c r="FGU97" s="1675" t="s">
        <v>856</v>
      </c>
      <c r="FGV97" s="1675" t="s">
        <v>856</v>
      </c>
      <c r="FGW97" s="1675" t="s">
        <v>856</v>
      </c>
      <c r="FGX97" s="1675" t="s">
        <v>856</v>
      </c>
      <c r="FGY97" s="1675" t="s">
        <v>856</v>
      </c>
      <c r="FGZ97" s="1675" t="s">
        <v>856</v>
      </c>
      <c r="FHA97" s="1675" t="s">
        <v>856</v>
      </c>
      <c r="FHB97" s="1675" t="s">
        <v>856</v>
      </c>
      <c r="FHC97" s="1675" t="s">
        <v>856</v>
      </c>
      <c r="FHD97" s="1675" t="s">
        <v>856</v>
      </c>
      <c r="FHE97" s="1675" t="s">
        <v>856</v>
      </c>
      <c r="FHF97" s="1675" t="s">
        <v>856</v>
      </c>
      <c r="FHG97" s="1675" t="s">
        <v>856</v>
      </c>
      <c r="FHH97" s="1675" t="s">
        <v>856</v>
      </c>
      <c r="FHI97" s="1675" t="s">
        <v>856</v>
      </c>
      <c r="FHJ97" s="1675" t="s">
        <v>856</v>
      </c>
      <c r="FHK97" s="1675" t="s">
        <v>856</v>
      </c>
      <c r="FHL97" s="1675" t="s">
        <v>856</v>
      </c>
      <c r="FHM97" s="1675" t="s">
        <v>856</v>
      </c>
      <c r="FHN97" s="1675" t="s">
        <v>856</v>
      </c>
      <c r="FHO97" s="1675" t="s">
        <v>856</v>
      </c>
      <c r="FHP97" s="1675" t="s">
        <v>856</v>
      </c>
      <c r="FHQ97" s="1675" t="s">
        <v>856</v>
      </c>
      <c r="FHR97" s="1675" t="s">
        <v>856</v>
      </c>
      <c r="FHS97" s="1675" t="s">
        <v>856</v>
      </c>
      <c r="FHT97" s="1675" t="s">
        <v>856</v>
      </c>
      <c r="FHU97" s="1675" t="s">
        <v>856</v>
      </c>
      <c r="FHV97" s="1675" t="s">
        <v>856</v>
      </c>
      <c r="FHW97" s="1675" t="s">
        <v>856</v>
      </c>
      <c r="FHX97" s="1675" t="s">
        <v>856</v>
      </c>
      <c r="FHY97" s="1675" t="s">
        <v>856</v>
      </c>
      <c r="FHZ97" s="1675" t="s">
        <v>856</v>
      </c>
      <c r="FIA97" s="1675" t="s">
        <v>856</v>
      </c>
      <c r="FIB97" s="1675" t="s">
        <v>856</v>
      </c>
      <c r="FIC97" s="1675" t="s">
        <v>856</v>
      </c>
      <c r="FID97" s="1675" t="s">
        <v>856</v>
      </c>
      <c r="FIE97" s="1675" t="s">
        <v>856</v>
      </c>
      <c r="FIF97" s="1675" t="s">
        <v>856</v>
      </c>
      <c r="FIG97" s="1675" t="s">
        <v>856</v>
      </c>
      <c r="FIH97" s="1675" t="s">
        <v>856</v>
      </c>
      <c r="FII97" s="1675" t="s">
        <v>856</v>
      </c>
      <c r="FIJ97" s="1675" t="s">
        <v>856</v>
      </c>
      <c r="FIK97" s="1675" t="s">
        <v>856</v>
      </c>
      <c r="FIL97" s="1675" t="s">
        <v>856</v>
      </c>
      <c r="FIM97" s="1675" t="s">
        <v>856</v>
      </c>
      <c r="FIN97" s="1675" t="s">
        <v>856</v>
      </c>
      <c r="FIO97" s="1675" t="s">
        <v>856</v>
      </c>
      <c r="FIP97" s="1675" t="s">
        <v>856</v>
      </c>
      <c r="FIQ97" s="1675" t="s">
        <v>856</v>
      </c>
      <c r="FIR97" s="1675" t="s">
        <v>856</v>
      </c>
      <c r="FIS97" s="1675" t="s">
        <v>856</v>
      </c>
      <c r="FIT97" s="1675" t="s">
        <v>856</v>
      </c>
      <c r="FIU97" s="1675" t="s">
        <v>856</v>
      </c>
      <c r="FIV97" s="1675" t="s">
        <v>856</v>
      </c>
      <c r="FIW97" s="1675" t="s">
        <v>856</v>
      </c>
      <c r="FIX97" s="1675" t="s">
        <v>856</v>
      </c>
      <c r="FIY97" s="1675" t="s">
        <v>856</v>
      </c>
      <c r="FIZ97" s="1675" t="s">
        <v>856</v>
      </c>
      <c r="FJA97" s="1675" t="s">
        <v>856</v>
      </c>
      <c r="FJB97" s="1675" t="s">
        <v>856</v>
      </c>
      <c r="FJC97" s="1675" t="s">
        <v>856</v>
      </c>
      <c r="FJD97" s="1675" t="s">
        <v>856</v>
      </c>
      <c r="FJE97" s="1675" t="s">
        <v>856</v>
      </c>
      <c r="FJF97" s="1675" t="s">
        <v>856</v>
      </c>
      <c r="FJG97" s="1675" t="s">
        <v>856</v>
      </c>
      <c r="FJH97" s="1675" t="s">
        <v>856</v>
      </c>
      <c r="FJI97" s="1675" t="s">
        <v>856</v>
      </c>
      <c r="FJJ97" s="1675" t="s">
        <v>856</v>
      </c>
      <c r="FJK97" s="1675" t="s">
        <v>856</v>
      </c>
      <c r="FJL97" s="1675" t="s">
        <v>856</v>
      </c>
      <c r="FJM97" s="1675" t="s">
        <v>856</v>
      </c>
      <c r="FJN97" s="1675" t="s">
        <v>856</v>
      </c>
      <c r="FJO97" s="1675" t="s">
        <v>856</v>
      </c>
      <c r="FJP97" s="1675" t="s">
        <v>856</v>
      </c>
      <c r="FJQ97" s="1675" t="s">
        <v>856</v>
      </c>
      <c r="FJR97" s="1675" t="s">
        <v>856</v>
      </c>
      <c r="FJS97" s="1675" t="s">
        <v>856</v>
      </c>
      <c r="FJT97" s="1675" t="s">
        <v>856</v>
      </c>
      <c r="FJU97" s="1675" t="s">
        <v>856</v>
      </c>
      <c r="FJV97" s="1675" t="s">
        <v>856</v>
      </c>
      <c r="FJW97" s="1675" t="s">
        <v>856</v>
      </c>
      <c r="FJX97" s="1675" t="s">
        <v>856</v>
      </c>
      <c r="FJY97" s="1675" t="s">
        <v>856</v>
      </c>
      <c r="FJZ97" s="1675" t="s">
        <v>856</v>
      </c>
      <c r="FKA97" s="1675" t="s">
        <v>856</v>
      </c>
      <c r="FKB97" s="1675" t="s">
        <v>856</v>
      </c>
      <c r="FKC97" s="1675" t="s">
        <v>856</v>
      </c>
      <c r="FKD97" s="1675" t="s">
        <v>856</v>
      </c>
      <c r="FKE97" s="1675" t="s">
        <v>856</v>
      </c>
      <c r="FKF97" s="1675" t="s">
        <v>856</v>
      </c>
      <c r="FKG97" s="1675" t="s">
        <v>856</v>
      </c>
      <c r="FKH97" s="1675" t="s">
        <v>856</v>
      </c>
      <c r="FKI97" s="1675" t="s">
        <v>856</v>
      </c>
      <c r="FKJ97" s="1675" t="s">
        <v>856</v>
      </c>
      <c r="FKK97" s="1675" t="s">
        <v>856</v>
      </c>
      <c r="FKL97" s="1675" t="s">
        <v>856</v>
      </c>
      <c r="FKM97" s="1675" t="s">
        <v>856</v>
      </c>
      <c r="FKN97" s="1675" t="s">
        <v>856</v>
      </c>
      <c r="FKO97" s="1675" t="s">
        <v>856</v>
      </c>
      <c r="FKP97" s="1675" t="s">
        <v>856</v>
      </c>
      <c r="FKQ97" s="1675" t="s">
        <v>856</v>
      </c>
      <c r="FKR97" s="1675" t="s">
        <v>856</v>
      </c>
      <c r="FKS97" s="1675" t="s">
        <v>856</v>
      </c>
      <c r="FKT97" s="1675" t="s">
        <v>856</v>
      </c>
      <c r="FKU97" s="1675" t="s">
        <v>856</v>
      </c>
      <c r="FKV97" s="1675" t="s">
        <v>856</v>
      </c>
      <c r="FKW97" s="1675" t="s">
        <v>856</v>
      </c>
      <c r="FKX97" s="1675" t="s">
        <v>856</v>
      </c>
      <c r="FKY97" s="1675" t="s">
        <v>856</v>
      </c>
      <c r="FKZ97" s="1675" t="s">
        <v>856</v>
      </c>
      <c r="FLA97" s="1675" t="s">
        <v>856</v>
      </c>
      <c r="FLB97" s="1675" t="s">
        <v>856</v>
      </c>
      <c r="FLC97" s="1675" t="s">
        <v>856</v>
      </c>
      <c r="FLD97" s="1675" t="s">
        <v>856</v>
      </c>
      <c r="FLE97" s="1675" t="s">
        <v>856</v>
      </c>
      <c r="FLF97" s="1675" t="s">
        <v>856</v>
      </c>
      <c r="FLG97" s="1675" t="s">
        <v>856</v>
      </c>
      <c r="FLH97" s="1675" t="s">
        <v>856</v>
      </c>
      <c r="FLI97" s="1675" t="s">
        <v>856</v>
      </c>
      <c r="FLJ97" s="1675" t="s">
        <v>856</v>
      </c>
      <c r="FLK97" s="1675" t="s">
        <v>856</v>
      </c>
      <c r="FLL97" s="1675" t="s">
        <v>856</v>
      </c>
      <c r="FLM97" s="1675" t="s">
        <v>856</v>
      </c>
      <c r="FLN97" s="1675" t="s">
        <v>856</v>
      </c>
      <c r="FLO97" s="1675" t="s">
        <v>856</v>
      </c>
      <c r="FLP97" s="1675" t="s">
        <v>856</v>
      </c>
      <c r="FLQ97" s="1675" t="s">
        <v>856</v>
      </c>
      <c r="FLR97" s="1675" t="s">
        <v>856</v>
      </c>
      <c r="FLS97" s="1675" t="s">
        <v>856</v>
      </c>
      <c r="FLT97" s="1675" t="s">
        <v>856</v>
      </c>
      <c r="FLU97" s="1675" t="s">
        <v>856</v>
      </c>
      <c r="FLV97" s="1675" t="s">
        <v>856</v>
      </c>
      <c r="FLW97" s="1675" t="s">
        <v>856</v>
      </c>
      <c r="FLX97" s="1675" t="s">
        <v>856</v>
      </c>
      <c r="FLY97" s="1675" t="s">
        <v>856</v>
      </c>
      <c r="FLZ97" s="1675" t="s">
        <v>856</v>
      </c>
      <c r="FMA97" s="1675" t="s">
        <v>856</v>
      </c>
      <c r="FMB97" s="1675" t="s">
        <v>856</v>
      </c>
      <c r="FMC97" s="1675" t="s">
        <v>856</v>
      </c>
      <c r="FMD97" s="1675" t="s">
        <v>856</v>
      </c>
      <c r="FME97" s="1675" t="s">
        <v>856</v>
      </c>
      <c r="FMF97" s="1675" t="s">
        <v>856</v>
      </c>
      <c r="FMG97" s="1675" t="s">
        <v>856</v>
      </c>
      <c r="FMH97" s="1675" t="s">
        <v>856</v>
      </c>
      <c r="FMI97" s="1675" t="s">
        <v>856</v>
      </c>
      <c r="FMJ97" s="1675" t="s">
        <v>856</v>
      </c>
      <c r="FMK97" s="1675" t="s">
        <v>856</v>
      </c>
      <c r="FML97" s="1675" t="s">
        <v>856</v>
      </c>
      <c r="FMM97" s="1675" t="s">
        <v>856</v>
      </c>
      <c r="FMN97" s="1675" t="s">
        <v>856</v>
      </c>
      <c r="FMO97" s="1675" t="s">
        <v>856</v>
      </c>
      <c r="FMP97" s="1675" t="s">
        <v>856</v>
      </c>
      <c r="FMQ97" s="1675" t="s">
        <v>856</v>
      </c>
      <c r="FMR97" s="1675" t="s">
        <v>856</v>
      </c>
      <c r="FMS97" s="1675" t="s">
        <v>856</v>
      </c>
      <c r="FMT97" s="1675" t="s">
        <v>856</v>
      </c>
      <c r="FMU97" s="1675" t="s">
        <v>856</v>
      </c>
      <c r="FMV97" s="1675" t="s">
        <v>856</v>
      </c>
      <c r="FMW97" s="1675" t="s">
        <v>856</v>
      </c>
      <c r="FMX97" s="1675" t="s">
        <v>856</v>
      </c>
      <c r="FMY97" s="1675" t="s">
        <v>856</v>
      </c>
      <c r="FMZ97" s="1675" t="s">
        <v>856</v>
      </c>
      <c r="FNA97" s="1675" t="s">
        <v>856</v>
      </c>
      <c r="FNB97" s="1675" t="s">
        <v>856</v>
      </c>
      <c r="FNC97" s="1675" t="s">
        <v>856</v>
      </c>
      <c r="FND97" s="1675" t="s">
        <v>856</v>
      </c>
      <c r="FNE97" s="1675" t="s">
        <v>856</v>
      </c>
      <c r="FNF97" s="1675" t="s">
        <v>856</v>
      </c>
      <c r="FNG97" s="1675" t="s">
        <v>856</v>
      </c>
      <c r="FNH97" s="1675" t="s">
        <v>856</v>
      </c>
      <c r="FNI97" s="1675" t="s">
        <v>856</v>
      </c>
      <c r="FNJ97" s="1675" t="s">
        <v>856</v>
      </c>
      <c r="FNK97" s="1675" t="s">
        <v>856</v>
      </c>
      <c r="FNL97" s="1675" t="s">
        <v>856</v>
      </c>
      <c r="FNM97" s="1675" t="s">
        <v>856</v>
      </c>
      <c r="FNN97" s="1675" t="s">
        <v>856</v>
      </c>
      <c r="FNO97" s="1675" t="s">
        <v>856</v>
      </c>
      <c r="FNP97" s="1675" t="s">
        <v>856</v>
      </c>
      <c r="FNQ97" s="1675" t="s">
        <v>856</v>
      </c>
      <c r="FNR97" s="1675" t="s">
        <v>856</v>
      </c>
      <c r="FNS97" s="1675" t="s">
        <v>856</v>
      </c>
      <c r="FNT97" s="1675" t="s">
        <v>856</v>
      </c>
      <c r="FNU97" s="1675" t="s">
        <v>856</v>
      </c>
      <c r="FNV97" s="1675" t="s">
        <v>856</v>
      </c>
      <c r="FNW97" s="1675" t="s">
        <v>856</v>
      </c>
      <c r="FNX97" s="1675" t="s">
        <v>856</v>
      </c>
      <c r="FNY97" s="1675" t="s">
        <v>856</v>
      </c>
      <c r="FNZ97" s="1675" t="s">
        <v>856</v>
      </c>
      <c r="FOA97" s="1675" t="s">
        <v>856</v>
      </c>
      <c r="FOB97" s="1675" t="s">
        <v>856</v>
      </c>
      <c r="FOC97" s="1675" t="s">
        <v>856</v>
      </c>
      <c r="FOD97" s="1675" t="s">
        <v>856</v>
      </c>
      <c r="FOE97" s="1675" t="s">
        <v>856</v>
      </c>
      <c r="FOF97" s="1675" t="s">
        <v>856</v>
      </c>
      <c r="FOG97" s="1675" t="s">
        <v>856</v>
      </c>
      <c r="FOH97" s="1675" t="s">
        <v>856</v>
      </c>
      <c r="FOI97" s="1675" t="s">
        <v>856</v>
      </c>
      <c r="FOJ97" s="1675" t="s">
        <v>856</v>
      </c>
      <c r="FOK97" s="1675" t="s">
        <v>856</v>
      </c>
      <c r="FOL97" s="1675" t="s">
        <v>856</v>
      </c>
      <c r="FOM97" s="1675" t="s">
        <v>856</v>
      </c>
      <c r="FON97" s="1675" t="s">
        <v>856</v>
      </c>
      <c r="FOO97" s="1675" t="s">
        <v>856</v>
      </c>
      <c r="FOP97" s="1675" t="s">
        <v>856</v>
      </c>
      <c r="FOQ97" s="1675" t="s">
        <v>856</v>
      </c>
      <c r="FOR97" s="1675" t="s">
        <v>856</v>
      </c>
      <c r="FOS97" s="1675" t="s">
        <v>856</v>
      </c>
      <c r="FOT97" s="1675" t="s">
        <v>856</v>
      </c>
      <c r="FOU97" s="1675" t="s">
        <v>856</v>
      </c>
      <c r="FOV97" s="1675" t="s">
        <v>856</v>
      </c>
      <c r="FOW97" s="1675" t="s">
        <v>856</v>
      </c>
      <c r="FOX97" s="1675" t="s">
        <v>856</v>
      </c>
      <c r="FOY97" s="1675" t="s">
        <v>856</v>
      </c>
      <c r="FOZ97" s="1675" t="s">
        <v>856</v>
      </c>
      <c r="FPA97" s="1675" t="s">
        <v>856</v>
      </c>
      <c r="FPB97" s="1675" t="s">
        <v>856</v>
      </c>
      <c r="FPC97" s="1675" t="s">
        <v>856</v>
      </c>
      <c r="FPD97" s="1675" t="s">
        <v>856</v>
      </c>
      <c r="FPE97" s="1675" t="s">
        <v>856</v>
      </c>
      <c r="FPF97" s="1675" t="s">
        <v>856</v>
      </c>
      <c r="FPG97" s="1675" t="s">
        <v>856</v>
      </c>
      <c r="FPH97" s="1675" t="s">
        <v>856</v>
      </c>
      <c r="FPI97" s="1675" t="s">
        <v>856</v>
      </c>
      <c r="FPJ97" s="1675" t="s">
        <v>856</v>
      </c>
      <c r="FPK97" s="1675" t="s">
        <v>856</v>
      </c>
      <c r="FPL97" s="1675" t="s">
        <v>856</v>
      </c>
      <c r="FPM97" s="1675" t="s">
        <v>856</v>
      </c>
      <c r="FPN97" s="1675" t="s">
        <v>856</v>
      </c>
      <c r="FPO97" s="1675" t="s">
        <v>856</v>
      </c>
      <c r="FPP97" s="1675" t="s">
        <v>856</v>
      </c>
      <c r="FPQ97" s="1675" t="s">
        <v>856</v>
      </c>
      <c r="FPR97" s="1675" t="s">
        <v>856</v>
      </c>
      <c r="FPS97" s="1675" t="s">
        <v>856</v>
      </c>
      <c r="FPT97" s="1675" t="s">
        <v>856</v>
      </c>
      <c r="FPU97" s="1675" t="s">
        <v>856</v>
      </c>
      <c r="FPV97" s="1675" t="s">
        <v>856</v>
      </c>
      <c r="FPW97" s="1675" t="s">
        <v>856</v>
      </c>
      <c r="FPX97" s="1675" t="s">
        <v>856</v>
      </c>
      <c r="FPY97" s="1675" t="s">
        <v>856</v>
      </c>
      <c r="FPZ97" s="1675" t="s">
        <v>856</v>
      </c>
      <c r="FQA97" s="1675" t="s">
        <v>856</v>
      </c>
      <c r="FQB97" s="1675" t="s">
        <v>856</v>
      </c>
      <c r="FQC97" s="1675" t="s">
        <v>856</v>
      </c>
      <c r="FQD97" s="1675" t="s">
        <v>856</v>
      </c>
      <c r="FQE97" s="1675" t="s">
        <v>856</v>
      </c>
      <c r="FQF97" s="1675" t="s">
        <v>856</v>
      </c>
      <c r="FQG97" s="1675" t="s">
        <v>856</v>
      </c>
      <c r="FQH97" s="1675" t="s">
        <v>856</v>
      </c>
      <c r="FQI97" s="1675" t="s">
        <v>856</v>
      </c>
      <c r="FQJ97" s="1675" t="s">
        <v>856</v>
      </c>
      <c r="FQK97" s="1675" t="s">
        <v>856</v>
      </c>
      <c r="FQL97" s="1675" t="s">
        <v>856</v>
      </c>
      <c r="FQM97" s="1675" t="s">
        <v>856</v>
      </c>
      <c r="FQN97" s="1675" t="s">
        <v>856</v>
      </c>
      <c r="FQO97" s="1675" t="s">
        <v>856</v>
      </c>
      <c r="FQP97" s="1675" t="s">
        <v>856</v>
      </c>
      <c r="FQQ97" s="1675" t="s">
        <v>856</v>
      </c>
      <c r="FQR97" s="1675" t="s">
        <v>856</v>
      </c>
      <c r="FQS97" s="1675" t="s">
        <v>856</v>
      </c>
      <c r="FQT97" s="1675" t="s">
        <v>856</v>
      </c>
      <c r="FQU97" s="1675" t="s">
        <v>856</v>
      </c>
      <c r="FQV97" s="1675" t="s">
        <v>856</v>
      </c>
      <c r="FQW97" s="1675" t="s">
        <v>856</v>
      </c>
      <c r="FQX97" s="1675" t="s">
        <v>856</v>
      </c>
      <c r="FQY97" s="1675" t="s">
        <v>856</v>
      </c>
      <c r="FQZ97" s="1675" t="s">
        <v>856</v>
      </c>
      <c r="FRA97" s="1675" t="s">
        <v>856</v>
      </c>
      <c r="FRB97" s="1675" t="s">
        <v>856</v>
      </c>
      <c r="FRC97" s="1675" t="s">
        <v>856</v>
      </c>
      <c r="FRD97" s="1675" t="s">
        <v>856</v>
      </c>
      <c r="FRE97" s="1675" t="s">
        <v>856</v>
      </c>
      <c r="FRF97" s="1675" t="s">
        <v>856</v>
      </c>
      <c r="FRG97" s="1675" t="s">
        <v>856</v>
      </c>
      <c r="FRH97" s="1675" t="s">
        <v>856</v>
      </c>
      <c r="FRI97" s="1675" t="s">
        <v>856</v>
      </c>
      <c r="FRJ97" s="1675" t="s">
        <v>856</v>
      </c>
      <c r="FRK97" s="1675" t="s">
        <v>856</v>
      </c>
      <c r="FRL97" s="1675" t="s">
        <v>856</v>
      </c>
      <c r="FRM97" s="1675" t="s">
        <v>856</v>
      </c>
      <c r="FRN97" s="1675" t="s">
        <v>856</v>
      </c>
      <c r="FRO97" s="1675" t="s">
        <v>856</v>
      </c>
      <c r="FRP97" s="1675" t="s">
        <v>856</v>
      </c>
      <c r="FRQ97" s="1675" t="s">
        <v>856</v>
      </c>
      <c r="FRR97" s="1675" t="s">
        <v>856</v>
      </c>
      <c r="FRS97" s="1675" t="s">
        <v>856</v>
      </c>
      <c r="FRT97" s="1675" t="s">
        <v>856</v>
      </c>
      <c r="FRU97" s="1675" t="s">
        <v>856</v>
      </c>
      <c r="FRV97" s="1675" t="s">
        <v>856</v>
      </c>
      <c r="FRW97" s="1675" t="s">
        <v>856</v>
      </c>
      <c r="FRX97" s="1675" t="s">
        <v>856</v>
      </c>
      <c r="FRY97" s="1675" t="s">
        <v>856</v>
      </c>
      <c r="FRZ97" s="1675" t="s">
        <v>856</v>
      </c>
      <c r="FSA97" s="1675" t="s">
        <v>856</v>
      </c>
      <c r="FSB97" s="1675" t="s">
        <v>856</v>
      </c>
      <c r="FSC97" s="1675" t="s">
        <v>856</v>
      </c>
      <c r="FSD97" s="1675" t="s">
        <v>856</v>
      </c>
      <c r="FSE97" s="1675" t="s">
        <v>856</v>
      </c>
      <c r="FSF97" s="1675" t="s">
        <v>856</v>
      </c>
      <c r="FSG97" s="1675" t="s">
        <v>856</v>
      </c>
      <c r="FSH97" s="1675" t="s">
        <v>856</v>
      </c>
      <c r="FSI97" s="1675" t="s">
        <v>856</v>
      </c>
      <c r="FSJ97" s="1675" t="s">
        <v>856</v>
      </c>
      <c r="FSK97" s="1675" t="s">
        <v>856</v>
      </c>
      <c r="FSL97" s="1675" t="s">
        <v>856</v>
      </c>
      <c r="FSM97" s="1675" t="s">
        <v>856</v>
      </c>
      <c r="FSN97" s="1675" t="s">
        <v>856</v>
      </c>
      <c r="FSO97" s="1675" t="s">
        <v>856</v>
      </c>
      <c r="FSP97" s="1675" t="s">
        <v>856</v>
      </c>
      <c r="FSQ97" s="1675" t="s">
        <v>856</v>
      </c>
      <c r="FSR97" s="1675" t="s">
        <v>856</v>
      </c>
      <c r="FSS97" s="1675" t="s">
        <v>856</v>
      </c>
      <c r="FST97" s="1675" t="s">
        <v>856</v>
      </c>
      <c r="FSU97" s="1675" t="s">
        <v>856</v>
      </c>
      <c r="FSV97" s="1675" t="s">
        <v>856</v>
      </c>
      <c r="FSW97" s="1675" t="s">
        <v>856</v>
      </c>
      <c r="FSX97" s="1675" t="s">
        <v>856</v>
      </c>
      <c r="FSY97" s="1675" t="s">
        <v>856</v>
      </c>
      <c r="FSZ97" s="1675" t="s">
        <v>856</v>
      </c>
      <c r="FTA97" s="1675" t="s">
        <v>856</v>
      </c>
      <c r="FTB97" s="1675" t="s">
        <v>856</v>
      </c>
      <c r="FTC97" s="1675" t="s">
        <v>856</v>
      </c>
      <c r="FTD97" s="1675" t="s">
        <v>856</v>
      </c>
      <c r="FTE97" s="1675" t="s">
        <v>856</v>
      </c>
      <c r="FTF97" s="1675" t="s">
        <v>856</v>
      </c>
      <c r="FTG97" s="1675" t="s">
        <v>856</v>
      </c>
      <c r="FTH97" s="1675" t="s">
        <v>856</v>
      </c>
      <c r="FTI97" s="1675" t="s">
        <v>856</v>
      </c>
      <c r="FTJ97" s="1675" t="s">
        <v>856</v>
      </c>
      <c r="FTK97" s="1675" t="s">
        <v>856</v>
      </c>
      <c r="FTL97" s="1675" t="s">
        <v>856</v>
      </c>
      <c r="FTM97" s="1675" t="s">
        <v>856</v>
      </c>
      <c r="FTN97" s="1675" t="s">
        <v>856</v>
      </c>
      <c r="FTO97" s="1675" t="s">
        <v>856</v>
      </c>
      <c r="FTP97" s="1675" t="s">
        <v>856</v>
      </c>
      <c r="FTQ97" s="1675" t="s">
        <v>856</v>
      </c>
      <c r="FTR97" s="1675" t="s">
        <v>856</v>
      </c>
      <c r="FTS97" s="1675" t="s">
        <v>856</v>
      </c>
      <c r="FTT97" s="1675" t="s">
        <v>856</v>
      </c>
      <c r="FTU97" s="1675" t="s">
        <v>856</v>
      </c>
      <c r="FTV97" s="1675" t="s">
        <v>856</v>
      </c>
      <c r="FTW97" s="1675" t="s">
        <v>856</v>
      </c>
      <c r="FTX97" s="1675" t="s">
        <v>856</v>
      </c>
      <c r="FTY97" s="1675" t="s">
        <v>856</v>
      </c>
      <c r="FTZ97" s="1675" t="s">
        <v>856</v>
      </c>
      <c r="FUA97" s="1675" t="s">
        <v>856</v>
      </c>
      <c r="FUB97" s="1675" t="s">
        <v>856</v>
      </c>
      <c r="FUC97" s="1675" t="s">
        <v>856</v>
      </c>
      <c r="FUD97" s="1675" t="s">
        <v>856</v>
      </c>
      <c r="FUE97" s="1675" t="s">
        <v>856</v>
      </c>
      <c r="FUF97" s="1675" t="s">
        <v>856</v>
      </c>
      <c r="FUG97" s="1675" t="s">
        <v>856</v>
      </c>
      <c r="FUH97" s="1675" t="s">
        <v>856</v>
      </c>
      <c r="FUI97" s="1675" t="s">
        <v>856</v>
      </c>
      <c r="FUJ97" s="1675" t="s">
        <v>856</v>
      </c>
      <c r="FUK97" s="1675" t="s">
        <v>856</v>
      </c>
      <c r="FUL97" s="1675" t="s">
        <v>856</v>
      </c>
      <c r="FUM97" s="1675" t="s">
        <v>856</v>
      </c>
      <c r="FUN97" s="1675" t="s">
        <v>856</v>
      </c>
      <c r="FUO97" s="1675" t="s">
        <v>856</v>
      </c>
      <c r="FUP97" s="1675" t="s">
        <v>856</v>
      </c>
      <c r="FUQ97" s="1675" t="s">
        <v>856</v>
      </c>
      <c r="FUR97" s="1675" t="s">
        <v>856</v>
      </c>
      <c r="FUS97" s="1675" t="s">
        <v>856</v>
      </c>
      <c r="FUT97" s="1675" t="s">
        <v>856</v>
      </c>
      <c r="FUU97" s="1675" t="s">
        <v>856</v>
      </c>
      <c r="FUV97" s="1675" t="s">
        <v>856</v>
      </c>
      <c r="FUW97" s="1675" t="s">
        <v>856</v>
      </c>
      <c r="FUX97" s="1675" t="s">
        <v>856</v>
      </c>
      <c r="FUY97" s="1675" t="s">
        <v>856</v>
      </c>
      <c r="FUZ97" s="1675" t="s">
        <v>856</v>
      </c>
      <c r="FVA97" s="1675" t="s">
        <v>856</v>
      </c>
      <c r="FVB97" s="1675" t="s">
        <v>856</v>
      </c>
      <c r="FVC97" s="1675" t="s">
        <v>856</v>
      </c>
      <c r="FVD97" s="1675" t="s">
        <v>856</v>
      </c>
      <c r="FVE97" s="1675" t="s">
        <v>856</v>
      </c>
      <c r="FVF97" s="1675" t="s">
        <v>856</v>
      </c>
      <c r="FVG97" s="1675" t="s">
        <v>856</v>
      </c>
      <c r="FVH97" s="1675" t="s">
        <v>856</v>
      </c>
      <c r="FVI97" s="1675" t="s">
        <v>856</v>
      </c>
      <c r="FVJ97" s="1675" t="s">
        <v>856</v>
      </c>
      <c r="FVK97" s="1675" t="s">
        <v>856</v>
      </c>
      <c r="FVL97" s="1675" t="s">
        <v>856</v>
      </c>
      <c r="FVM97" s="1675" t="s">
        <v>856</v>
      </c>
      <c r="FVN97" s="1675" t="s">
        <v>856</v>
      </c>
      <c r="FVO97" s="1675" t="s">
        <v>856</v>
      </c>
      <c r="FVP97" s="1675" t="s">
        <v>856</v>
      </c>
      <c r="FVQ97" s="1675" t="s">
        <v>856</v>
      </c>
      <c r="FVR97" s="1675" t="s">
        <v>856</v>
      </c>
      <c r="FVS97" s="1675" t="s">
        <v>856</v>
      </c>
      <c r="FVT97" s="1675" t="s">
        <v>856</v>
      </c>
      <c r="FVU97" s="1675" t="s">
        <v>856</v>
      </c>
      <c r="FVV97" s="1675" t="s">
        <v>856</v>
      </c>
      <c r="FVW97" s="1675" t="s">
        <v>856</v>
      </c>
      <c r="FVX97" s="1675" t="s">
        <v>856</v>
      </c>
      <c r="FVY97" s="1675" t="s">
        <v>856</v>
      </c>
      <c r="FVZ97" s="1675" t="s">
        <v>856</v>
      </c>
      <c r="FWA97" s="1675" t="s">
        <v>856</v>
      </c>
      <c r="FWB97" s="1675" t="s">
        <v>856</v>
      </c>
      <c r="FWC97" s="1675" t="s">
        <v>856</v>
      </c>
      <c r="FWD97" s="1675" t="s">
        <v>856</v>
      </c>
      <c r="FWE97" s="1675" t="s">
        <v>856</v>
      </c>
      <c r="FWF97" s="1675" t="s">
        <v>856</v>
      </c>
      <c r="FWG97" s="1675" t="s">
        <v>856</v>
      </c>
      <c r="FWH97" s="1675" t="s">
        <v>856</v>
      </c>
      <c r="FWI97" s="1675" t="s">
        <v>856</v>
      </c>
      <c r="FWJ97" s="1675" t="s">
        <v>856</v>
      </c>
      <c r="FWK97" s="1675" t="s">
        <v>856</v>
      </c>
      <c r="FWL97" s="1675" t="s">
        <v>856</v>
      </c>
      <c r="FWM97" s="1675" t="s">
        <v>856</v>
      </c>
      <c r="FWN97" s="1675" t="s">
        <v>856</v>
      </c>
      <c r="FWO97" s="1675" t="s">
        <v>856</v>
      </c>
      <c r="FWP97" s="1675" t="s">
        <v>856</v>
      </c>
      <c r="FWQ97" s="1675" t="s">
        <v>856</v>
      </c>
      <c r="FWR97" s="1675" t="s">
        <v>856</v>
      </c>
      <c r="FWS97" s="1675" t="s">
        <v>856</v>
      </c>
      <c r="FWT97" s="1675" t="s">
        <v>856</v>
      </c>
      <c r="FWU97" s="1675" t="s">
        <v>856</v>
      </c>
      <c r="FWV97" s="1675" t="s">
        <v>856</v>
      </c>
      <c r="FWW97" s="1675" t="s">
        <v>856</v>
      </c>
      <c r="FWX97" s="1675" t="s">
        <v>856</v>
      </c>
      <c r="FWY97" s="1675" t="s">
        <v>856</v>
      </c>
      <c r="FWZ97" s="1675" t="s">
        <v>856</v>
      </c>
      <c r="FXA97" s="1675" t="s">
        <v>856</v>
      </c>
      <c r="FXB97" s="1675" t="s">
        <v>856</v>
      </c>
      <c r="FXC97" s="1675" t="s">
        <v>856</v>
      </c>
      <c r="FXD97" s="1675" t="s">
        <v>856</v>
      </c>
      <c r="FXE97" s="1675" t="s">
        <v>856</v>
      </c>
      <c r="FXF97" s="1675" t="s">
        <v>856</v>
      </c>
      <c r="FXG97" s="1675" t="s">
        <v>856</v>
      </c>
      <c r="FXH97" s="1675" t="s">
        <v>856</v>
      </c>
      <c r="FXI97" s="1675" t="s">
        <v>856</v>
      </c>
      <c r="FXJ97" s="1675" t="s">
        <v>856</v>
      </c>
      <c r="FXK97" s="1675" t="s">
        <v>856</v>
      </c>
      <c r="FXL97" s="1675" t="s">
        <v>856</v>
      </c>
      <c r="FXM97" s="1675" t="s">
        <v>856</v>
      </c>
      <c r="FXN97" s="1675" t="s">
        <v>856</v>
      </c>
      <c r="FXO97" s="1675" t="s">
        <v>856</v>
      </c>
      <c r="FXP97" s="1675" t="s">
        <v>856</v>
      </c>
      <c r="FXQ97" s="1675" t="s">
        <v>856</v>
      </c>
      <c r="FXR97" s="1675" t="s">
        <v>856</v>
      </c>
      <c r="FXS97" s="1675" t="s">
        <v>856</v>
      </c>
      <c r="FXT97" s="1675" t="s">
        <v>856</v>
      </c>
      <c r="FXU97" s="1675" t="s">
        <v>856</v>
      </c>
      <c r="FXV97" s="1675" t="s">
        <v>856</v>
      </c>
      <c r="FXW97" s="1675" t="s">
        <v>856</v>
      </c>
      <c r="FXX97" s="1675" t="s">
        <v>856</v>
      </c>
      <c r="FXY97" s="1675" t="s">
        <v>856</v>
      </c>
      <c r="FXZ97" s="1675" t="s">
        <v>856</v>
      </c>
      <c r="FYA97" s="1675" t="s">
        <v>856</v>
      </c>
      <c r="FYB97" s="1675" t="s">
        <v>856</v>
      </c>
      <c r="FYC97" s="1675" t="s">
        <v>856</v>
      </c>
      <c r="FYD97" s="1675" t="s">
        <v>856</v>
      </c>
      <c r="FYE97" s="1675" t="s">
        <v>856</v>
      </c>
      <c r="FYF97" s="1675" t="s">
        <v>856</v>
      </c>
      <c r="FYG97" s="1675" t="s">
        <v>856</v>
      </c>
      <c r="FYH97" s="1675" t="s">
        <v>856</v>
      </c>
      <c r="FYI97" s="1675" t="s">
        <v>856</v>
      </c>
      <c r="FYJ97" s="1675" t="s">
        <v>856</v>
      </c>
      <c r="FYK97" s="1675" t="s">
        <v>856</v>
      </c>
      <c r="FYL97" s="1675" t="s">
        <v>856</v>
      </c>
      <c r="FYM97" s="1675" t="s">
        <v>856</v>
      </c>
      <c r="FYN97" s="1675" t="s">
        <v>856</v>
      </c>
      <c r="FYO97" s="1675" t="s">
        <v>856</v>
      </c>
      <c r="FYP97" s="1675" t="s">
        <v>856</v>
      </c>
      <c r="FYQ97" s="1675" t="s">
        <v>856</v>
      </c>
      <c r="FYR97" s="1675" t="s">
        <v>856</v>
      </c>
      <c r="FYS97" s="1675" t="s">
        <v>856</v>
      </c>
      <c r="FYT97" s="1675" t="s">
        <v>856</v>
      </c>
      <c r="FYU97" s="1675" t="s">
        <v>856</v>
      </c>
      <c r="FYV97" s="1675" t="s">
        <v>856</v>
      </c>
      <c r="FYW97" s="1675" t="s">
        <v>856</v>
      </c>
      <c r="FYX97" s="1675" t="s">
        <v>856</v>
      </c>
      <c r="FYY97" s="1675" t="s">
        <v>856</v>
      </c>
      <c r="FYZ97" s="1675" t="s">
        <v>856</v>
      </c>
      <c r="FZA97" s="1675" t="s">
        <v>856</v>
      </c>
      <c r="FZB97" s="1675" t="s">
        <v>856</v>
      </c>
      <c r="FZC97" s="1675" t="s">
        <v>856</v>
      </c>
      <c r="FZD97" s="1675" t="s">
        <v>856</v>
      </c>
      <c r="FZE97" s="1675" t="s">
        <v>856</v>
      </c>
      <c r="FZF97" s="1675" t="s">
        <v>856</v>
      </c>
      <c r="FZG97" s="1675" t="s">
        <v>856</v>
      </c>
      <c r="FZH97" s="1675" t="s">
        <v>856</v>
      </c>
      <c r="FZI97" s="1675" t="s">
        <v>856</v>
      </c>
      <c r="FZJ97" s="1675" t="s">
        <v>856</v>
      </c>
      <c r="FZK97" s="1675" t="s">
        <v>856</v>
      </c>
      <c r="FZL97" s="1675" t="s">
        <v>856</v>
      </c>
      <c r="FZM97" s="1675" t="s">
        <v>856</v>
      </c>
      <c r="FZN97" s="1675" t="s">
        <v>856</v>
      </c>
      <c r="FZO97" s="1675" t="s">
        <v>856</v>
      </c>
      <c r="FZP97" s="1675" t="s">
        <v>856</v>
      </c>
      <c r="FZQ97" s="1675" t="s">
        <v>856</v>
      </c>
      <c r="FZR97" s="1675" t="s">
        <v>856</v>
      </c>
      <c r="FZS97" s="1675" t="s">
        <v>856</v>
      </c>
      <c r="FZT97" s="1675" t="s">
        <v>856</v>
      </c>
      <c r="FZU97" s="1675" t="s">
        <v>856</v>
      </c>
      <c r="FZV97" s="1675" t="s">
        <v>856</v>
      </c>
      <c r="FZW97" s="1675" t="s">
        <v>856</v>
      </c>
      <c r="FZX97" s="1675" t="s">
        <v>856</v>
      </c>
      <c r="FZY97" s="1675" t="s">
        <v>856</v>
      </c>
      <c r="FZZ97" s="1675" t="s">
        <v>856</v>
      </c>
      <c r="GAA97" s="1675" t="s">
        <v>856</v>
      </c>
      <c r="GAB97" s="1675" t="s">
        <v>856</v>
      </c>
      <c r="GAC97" s="1675" t="s">
        <v>856</v>
      </c>
      <c r="GAD97" s="1675" t="s">
        <v>856</v>
      </c>
      <c r="GAE97" s="1675" t="s">
        <v>856</v>
      </c>
      <c r="GAF97" s="1675" t="s">
        <v>856</v>
      </c>
      <c r="GAG97" s="1675" t="s">
        <v>856</v>
      </c>
      <c r="GAH97" s="1675" t="s">
        <v>856</v>
      </c>
      <c r="GAI97" s="1675" t="s">
        <v>856</v>
      </c>
      <c r="GAJ97" s="1675" t="s">
        <v>856</v>
      </c>
      <c r="GAK97" s="1675" t="s">
        <v>856</v>
      </c>
      <c r="GAL97" s="1675" t="s">
        <v>856</v>
      </c>
      <c r="GAM97" s="1675" t="s">
        <v>856</v>
      </c>
      <c r="GAN97" s="1675" t="s">
        <v>856</v>
      </c>
      <c r="GAO97" s="1675" t="s">
        <v>856</v>
      </c>
      <c r="GAP97" s="1675" t="s">
        <v>856</v>
      </c>
      <c r="GAQ97" s="1675" t="s">
        <v>856</v>
      </c>
      <c r="GAR97" s="1675" t="s">
        <v>856</v>
      </c>
      <c r="GAS97" s="1675" t="s">
        <v>856</v>
      </c>
      <c r="GAT97" s="1675" t="s">
        <v>856</v>
      </c>
      <c r="GAU97" s="1675" t="s">
        <v>856</v>
      </c>
      <c r="GAV97" s="1675" t="s">
        <v>856</v>
      </c>
      <c r="GAW97" s="1675" t="s">
        <v>856</v>
      </c>
      <c r="GAX97" s="1675" t="s">
        <v>856</v>
      </c>
      <c r="GAY97" s="1675" t="s">
        <v>856</v>
      </c>
      <c r="GAZ97" s="1675" t="s">
        <v>856</v>
      </c>
      <c r="GBA97" s="1675" t="s">
        <v>856</v>
      </c>
      <c r="GBB97" s="1675" t="s">
        <v>856</v>
      </c>
      <c r="GBC97" s="1675" t="s">
        <v>856</v>
      </c>
      <c r="GBD97" s="1675" t="s">
        <v>856</v>
      </c>
      <c r="GBE97" s="1675" t="s">
        <v>856</v>
      </c>
      <c r="GBF97" s="1675" t="s">
        <v>856</v>
      </c>
      <c r="GBG97" s="1675" t="s">
        <v>856</v>
      </c>
      <c r="GBH97" s="1675" t="s">
        <v>856</v>
      </c>
      <c r="GBI97" s="1675" t="s">
        <v>856</v>
      </c>
      <c r="GBJ97" s="1675" t="s">
        <v>856</v>
      </c>
      <c r="GBK97" s="1675" t="s">
        <v>856</v>
      </c>
      <c r="GBL97" s="1675" t="s">
        <v>856</v>
      </c>
      <c r="GBM97" s="1675" t="s">
        <v>856</v>
      </c>
      <c r="GBN97" s="1675" t="s">
        <v>856</v>
      </c>
      <c r="GBO97" s="1675" t="s">
        <v>856</v>
      </c>
      <c r="GBP97" s="1675" t="s">
        <v>856</v>
      </c>
      <c r="GBQ97" s="1675" t="s">
        <v>856</v>
      </c>
      <c r="GBR97" s="1675" t="s">
        <v>856</v>
      </c>
      <c r="GBS97" s="1675" t="s">
        <v>856</v>
      </c>
      <c r="GBT97" s="1675" t="s">
        <v>856</v>
      </c>
      <c r="GBU97" s="1675" t="s">
        <v>856</v>
      </c>
      <c r="GBV97" s="1675" t="s">
        <v>856</v>
      </c>
      <c r="GBW97" s="1675" t="s">
        <v>856</v>
      </c>
      <c r="GBX97" s="1675" t="s">
        <v>856</v>
      </c>
      <c r="GBY97" s="1675" t="s">
        <v>856</v>
      </c>
      <c r="GBZ97" s="1675" t="s">
        <v>856</v>
      </c>
      <c r="GCA97" s="1675" t="s">
        <v>856</v>
      </c>
      <c r="GCB97" s="1675" t="s">
        <v>856</v>
      </c>
      <c r="GCC97" s="1675" t="s">
        <v>856</v>
      </c>
      <c r="GCD97" s="1675" t="s">
        <v>856</v>
      </c>
      <c r="GCE97" s="1675" t="s">
        <v>856</v>
      </c>
      <c r="GCF97" s="1675" t="s">
        <v>856</v>
      </c>
      <c r="GCG97" s="1675" t="s">
        <v>856</v>
      </c>
      <c r="GCH97" s="1675" t="s">
        <v>856</v>
      </c>
      <c r="GCI97" s="1675" t="s">
        <v>856</v>
      </c>
      <c r="GCJ97" s="1675" t="s">
        <v>856</v>
      </c>
      <c r="GCK97" s="1675" t="s">
        <v>856</v>
      </c>
      <c r="GCL97" s="1675" t="s">
        <v>856</v>
      </c>
      <c r="GCM97" s="1675" t="s">
        <v>856</v>
      </c>
      <c r="GCN97" s="1675" t="s">
        <v>856</v>
      </c>
      <c r="GCO97" s="1675" t="s">
        <v>856</v>
      </c>
      <c r="GCP97" s="1675" t="s">
        <v>856</v>
      </c>
      <c r="GCQ97" s="1675" t="s">
        <v>856</v>
      </c>
      <c r="GCR97" s="1675" t="s">
        <v>856</v>
      </c>
      <c r="GCS97" s="1675" t="s">
        <v>856</v>
      </c>
      <c r="GCT97" s="1675" t="s">
        <v>856</v>
      </c>
      <c r="GCU97" s="1675" t="s">
        <v>856</v>
      </c>
      <c r="GCV97" s="1675" t="s">
        <v>856</v>
      </c>
      <c r="GCW97" s="1675" t="s">
        <v>856</v>
      </c>
      <c r="GCX97" s="1675" t="s">
        <v>856</v>
      </c>
      <c r="GCY97" s="1675" t="s">
        <v>856</v>
      </c>
      <c r="GCZ97" s="1675" t="s">
        <v>856</v>
      </c>
      <c r="GDA97" s="1675" t="s">
        <v>856</v>
      </c>
      <c r="GDB97" s="1675" t="s">
        <v>856</v>
      </c>
      <c r="GDC97" s="1675" t="s">
        <v>856</v>
      </c>
      <c r="GDD97" s="1675" t="s">
        <v>856</v>
      </c>
      <c r="GDE97" s="1675" t="s">
        <v>856</v>
      </c>
      <c r="GDF97" s="1675" t="s">
        <v>856</v>
      </c>
      <c r="GDG97" s="1675" t="s">
        <v>856</v>
      </c>
      <c r="GDH97" s="1675" t="s">
        <v>856</v>
      </c>
      <c r="GDI97" s="1675" t="s">
        <v>856</v>
      </c>
      <c r="GDJ97" s="1675" t="s">
        <v>856</v>
      </c>
      <c r="GDK97" s="1675" t="s">
        <v>856</v>
      </c>
      <c r="GDL97" s="1675" t="s">
        <v>856</v>
      </c>
      <c r="GDM97" s="1675" t="s">
        <v>856</v>
      </c>
      <c r="GDN97" s="1675" t="s">
        <v>856</v>
      </c>
      <c r="GDO97" s="1675" t="s">
        <v>856</v>
      </c>
      <c r="GDP97" s="1675" t="s">
        <v>856</v>
      </c>
      <c r="GDQ97" s="1675" t="s">
        <v>856</v>
      </c>
      <c r="GDR97" s="1675" t="s">
        <v>856</v>
      </c>
      <c r="GDS97" s="1675" t="s">
        <v>856</v>
      </c>
      <c r="GDT97" s="1675" t="s">
        <v>856</v>
      </c>
      <c r="GDU97" s="1675" t="s">
        <v>856</v>
      </c>
      <c r="GDV97" s="1675" t="s">
        <v>856</v>
      </c>
      <c r="GDW97" s="1675" t="s">
        <v>856</v>
      </c>
      <c r="GDX97" s="1675" t="s">
        <v>856</v>
      </c>
      <c r="GDY97" s="1675" t="s">
        <v>856</v>
      </c>
      <c r="GDZ97" s="1675" t="s">
        <v>856</v>
      </c>
      <c r="GEA97" s="1675" t="s">
        <v>856</v>
      </c>
      <c r="GEB97" s="1675" t="s">
        <v>856</v>
      </c>
      <c r="GEC97" s="1675" t="s">
        <v>856</v>
      </c>
      <c r="GED97" s="1675" t="s">
        <v>856</v>
      </c>
      <c r="GEE97" s="1675" t="s">
        <v>856</v>
      </c>
      <c r="GEF97" s="1675" t="s">
        <v>856</v>
      </c>
      <c r="GEG97" s="1675" t="s">
        <v>856</v>
      </c>
      <c r="GEH97" s="1675" t="s">
        <v>856</v>
      </c>
      <c r="GEI97" s="1675" t="s">
        <v>856</v>
      </c>
      <c r="GEJ97" s="1675" t="s">
        <v>856</v>
      </c>
      <c r="GEK97" s="1675" t="s">
        <v>856</v>
      </c>
      <c r="GEL97" s="1675" t="s">
        <v>856</v>
      </c>
      <c r="GEM97" s="1675" t="s">
        <v>856</v>
      </c>
      <c r="GEN97" s="1675" t="s">
        <v>856</v>
      </c>
      <c r="GEO97" s="1675" t="s">
        <v>856</v>
      </c>
      <c r="GEP97" s="1675" t="s">
        <v>856</v>
      </c>
      <c r="GEQ97" s="1675" t="s">
        <v>856</v>
      </c>
      <c r="GER97" s="1675" t="s">
        <v>856</v>
      </c>
      <c r="GES97" s="1675" t="s">
        <v>856</v>
      </c>
      <c r="GET97" s="1675" t="s">
        <v>856</v>
      </c>
      <c r="GEU97" s="1675" t="s">
        <v>856</v>
      </c>
      <c r="GEV97" s="1675" t="s">
        <v>856</v>
      </c>
      <c r="GEW97" s="1675" t="s">
        <v>856</v>
      </c>
      <c r="GEX97" s="1675" t="s">
        <v>856</v>
      </c>
      <c r="GEY97" s="1675" t="s">
        <v>856</v>
      </c>
      <c r="GEZ97" s="1675" t="s">
        <v>856</v>
      </c>
      <c r="GFA97" s="1675" t="s">
        <v>856</v>
      </c>
      <c r="GFB97" s="1675" t="s">
        <v>856</v>
      </c>
      <c r="GFC97" s="1675" t="s">
        <v>856</v>
      </c>
      <c r="GFD97" s="1675" t="s">
        <v>856</v>
      </c>
      <c r="GFE97" s="1675" t="s">
        <v>856</v>
      </c>
      <c r="GFF97" s="1675" t="s">
        <v>856</v>
      </c>
      <c r="GFG97" s="1675" t="s">
        <v>856</v>
      </c>
      <c r="GFH97" s="1675" t="s">
        <v>856</v>
      </c>
      <c r="GFI97" s="1675" t="s">
        <v>856</v>
      </c>
      <c r="GFJ97" s="1675" t="s">
        <v>856</v>
      </c>
      <c r="GFK97" s="1675" t="s">
        <v>856</v>
      </c>
      <c r="GFL97" s="1675" t="s">
        <v>856</v>
      </c>
      <c r="GFM97" s="1675" t="s">
        <v>856</v>
      </c>
      <c r="GFN97" s="1675" t="s">
        <v>856</v>
      </c>
      <c r="GFO97" s="1675" t="s">
        <v>856</v>
      </c>
      <c r="GFP97" s="1675" t="s">
        <v>856</v>
      </c>
      <c r="GFQ97" s="1675" t="s">
        <v>856</v>
      </c>
      <c r="GFR97" s="1675" t="s">
        <v>856</v>
      </c>
      <c r="GFS97" s="1675" t="s">
        <v>856</v>
      </c>
      <c r="GFT97" s="1675" t="s">
        <v>856</v>
      </c>
      <c r="GFU97" s="1675" t="s">
        <v>856</v>
      </c>
      <c r="GFV97" s="1675" t="s">
        <v>856</v>
      </c>
      <c r="GFW97" s="1675" t="s">
        <v>856</v>
      </c>
      <c r="GFX97" s="1675" t="s">
        <v>856</v>
      </c>
      <c r="GFY97" s="1675" t="s">
        <v>856</v>
      </c>
      <c r="GFZ97" s="1675" t="s">
        <v>856</v>
      </c>
      <c r="GGA97" s="1675" t="s">
        <v>856</v>
      </c>
      <c r="GGB97" s="1675" t="s">
        <v>856</v>
      </c>
      <c r="GGC97" s="1675" t="s">
        <v>856</v>
      </c>
      <c r="GGD97" s="1675" t="s">
        <v>856</v>
      </c>
      <c r="GGE97" s="1675" t="s">
        <v>856</v>
      </c>
      <c r="GGF97" s="1675" t="s">
        <v>856</v>
      </c>
      <c r="GGG97" s="1675" t="s">
        <v>856</v>
      </c>
      <c r="GGH97" s="1675" t="s">
        <v>856</v>
      </c>
      <c r="GGI97" s="1675" t="s">
        <v>856</v>
      </c>
      <c r="GGJ97" s="1675" t="s">
        <v>856</v>
      </c>
      <c r="GGK97" s="1675" t="s">
        <v>856</v>
      </c>
      <c r="GGL97" s="1675" t="s">
        <v>856</v>
      </c>
      <c r="GGM97" s="1675" t="s">
        <v>856</v>
      </c>
      <c r="GGN97" s="1675" t="s">
        <v>856</v>
      </c>
      <c r="GGO97" s="1675" t="s">
        <v>856</v>
      </c>
      <c r="GGP97" s="1675" t="s">
        <v>856</v>
      </c>
      <c r="GGQ97" s="1675" t="s">
        <v>856</v>
      </c>
      <c r="GGR97" s="1675" t="s">
        <v>856</v>
      </c>
      <c r="GGS97" s="1675" t="s">
        <v>856</v>
      </c>
      <c r="GGT97" s="1675" t="s">
        <v>856</v>
      </c>
      <c r="GGU97" s="1675" t="s">
        <v>856</v>
      </c>
      <c r="GGV97" s="1675" t="s">
        <v>856</v>
      </c>
      <c r="GGW97" s="1675" t="s">
        <v>856</v>
      </c>
      <c r="GGX97" s="1675" t="s">
        <v>856</v>
      </c>
      <c r="GGY97" s="1675" t="s">
        <v>856</v>
      </c>
      <c r="GGZ97" s="1675" t="s">
        <v>856</v>
      </c>
      <c r="GHA97" s="1675" t="s">
        <v>856</v>
      </c>
      <c r="GHB97" s="1675" t="s">
        <v>856</v>
      </c>
      <c r="GHC97" s="1675" t="s">
        <v>856</v>
      </c>
      <c r="GHD97" s="1675" t="s">
        <v>856</v>
      </c>
      <c r="GHE97" s="1675" t="s">
        <v>856</v>
      </c>
      <c r="GHF97" s="1675" t="s">
        <v>856</v>
      </c>
      <c r="GHG97" s="1675" t="s">
        <v>856</v>
      </c>
      <c r="GHH97" s="1675" t="s">
        <v>856</v>
      </c>
      <c r="GHI97" s="1675" t="s">
        <v>856</v>
      </c>
      <c r="GHJ97" s="1675" t="s">
        <v>856</v>
      </c>
      <c r="GHK97" s="1675" t="s">
        <v>856</v>
      </c>
      <c r="GHL97" s="1675" t="s">
        <v>856</v>
      </c>
      <c r="GHM97" s="1675" t="s">
        <v>856</v>
      </c>
      <c r="GHN97" s="1675" t="s">
        <v>856</v>
      </c>
      <c r="GHO97" s="1675" t="s">
        <v>856</v>
      </c>
      <c r="GHP97" s="1675" t="s">
        <v>856</v>
      </c>
      <c r="GHQ97" s="1675" t="s">
        <v>856</v>
      </c>
      <c r="GHR97" s="1675" t="s">
        <v>856</v>
      </c>
      <c r="GHS97" s="1675" t="s">
        <v>856</v>
      </c>
      <c r="GHT97" s="1675" t="s">
        <v>856</v>
      </c>
      <c r="GHU97" s="1675" t="s">
        <v>856</v>
      </c>
      <c r="GHV97" s="1675" t="s">
        <v>856</v>
      </c>
      <c r="GHW97" s="1675" t="s">
        <v>856</v>
      </c>
      <c r="GHX97" s="1675" t="s">
        <v>856</v>
      </c>
      <c r="GHY97" s="1675" t="s">
        <v>856</v>
      </c>
      <c r="GHZ97" s="1675" t="s">
        <v>856</v>
      </c>
      <c r="GIA97" s="1675" t="s">
        <v>856</v>
      </c>
      <c r="GIB97" s="1675" t="s">
        <v>856</v>
      </c>
      <c r="GIC97" s="1675" t="s">
        <v>856</v>
      </c>
      <c r="GID97" s="1675" t="s">
        <v>856</v>
      </c>
      <c r="GIE97" s="1675" t="s">
        <v>856</v>
      </c>
      <c r="GIF97" s="1675" t="s">
        <v>856</v>
      </c>
      <c r="GIG97" s="1675" t="s">
        <v>856</v>
      </c>
      <c r="GIH97" s="1675" t="s">
        <v>856</v>
      </c>
      <c r="GII97" s="1675" t="s">
        <v>856</v>
      </c>
      <c r="GIJ97" s="1675" t="s">
        <v>856</v>
      </c>
      <c r="GIK97" s="1675" t="s">
        <v>856</v>
      </c>
      <c r="GIL97" s="1675" t="s">
        <v>856</v>
      </c>
      <c r="GIM97" s="1675" t="s">
        <v>856</v>
      </c>
      <c r="GIN97" s="1675" t="s">
        <v>856</v>
      </c>
      <c r="GIO97" s="1675" t="s">
        <v>856</v>
      </c>
      <c r="GIP97" s="1675" t="s">
        <v>856</v>
      </c>
      <c r="GIQ97" s="1675" t="s">
        <v>856</v>
      </c>
      <c r="GIR97" s="1675" t="s">
        <v>856</v>
      </c>
      <c r="GIS97" s="1675" t="s">
        <v>856</v>
      </c>
      <c r="GIT97" s="1675" t="s">
        <v>856</v>
      </c>
      <c r="GIU97" s="1675" t="s">
        <v>856</v>
      </c>
      <c r="GIV97" s="1675" t="s">
        <v>856</v>
      </c>
      <c r="GIW97" s="1675" t="s">
        <v>856</v>
      </c>
      <c r="GIX97" s="1675" t="s">
        <v>856</v>
      </c>
      <c r="GIY97" s="1675" t="s">
        <v>856</v>
      </c>
      <c r="GIZ97" s="1675" t="s">
        <v>856</v>
      </c>
      <c r="GJA97" s="1675" t="s">
        <v>856</v>
      </c>
      <c r="GJB97" s="1675" t="s">
        <v>856</v>
      </c>
      <c r="GJC97" s="1675" t="s">
        <v>856</v>
      </c>
      <c r="GJD97" s="1675" t="s">
        <v>856</v>
      </c>
      <c r="GJE97" s="1675" t="s">
        <v>856</v>
      </c>
      <c r="GJF97" s="1675" t="s">
        <v>856</v>
      </c>
      <c r="GJG97" s="1675" t="s">
        <v>856</v>
      </c>
      <c r="GJH97" s="1675" t="s">
        <v>856</v>
      </c>
      <c r="GJI97" s="1675" t="s">
        <v>856</v>
      </c>
      <c r="GJJ97" s="1675" t="s">
        <v>856</v>
      </c>
      <c r="GJK97" s="1675" t="s">
        <v>856</v>
      </c>
      <c r="GJL97" s="1675" t="s">
        <v>856</v>
      </c>
      <c r="GJM97" s="1675" t="s">
        <v>856</v>
      </c>
      <c r="GJN97" s="1675" t="s">
        <v>856</v>
      </c>
      <c r="GJO97" s="1675" t="s">
        <v>856</v>
      </c>
      <c r="GJP97" s="1675" t="s">
        <v>856</v>
      </c>
      <c r="GJQ97" s="1675" t="s">
        <v>856</v>
      </c>
      <c r="GJR97" s="1675" t="s">
        <v>856</v>
      </c>
      <c r="GJS97" s="1675" t="s">
        <v>856</v>
      </c>
      <c r="GJT97" s="1675" t="s">
        <v>856</v>
      </c>
      <c r="GJU97" s="1675" t="s">
        <v>856</v>
      </c>
      <c r="GJV97" s="1675" t="s">
        <v>856</v>
      </c>
      <c r="GJW97" s="1675" t="s">
        <v>856</v>
      </c>
      <c r="GJX97" s="1675" t="s">
        <v>856</v>
      </c>
      <c r="GJY97" s="1675" t="s">
        <v>856</v>
      </c>
      <c r="GJZ97" s="1675" t="s">
        <v>856</v>
      </c>
      <c r="GKA97" s="1675" t="s">
        <v>856</v>
      </c>
      <c r="GKB97" s="1675" t="s">
        <v>856</v>
      </c>
      <c r="GKC97" s="1675" t="s">
        <v>856</v>
      </c>
      <c r="GKD97" s="1675" t="s">
        <v>856</v>
      </c>
      <c r="GKE97" s="1675" t="s">
        <v>856</v>
      </c>
      <c r="GKF97" s="1675" t="s">
        <v>856</v>
      </c>
      <c r="GKG97" s="1675" t="s">
        <v>856</v>
      </c>
      <c r="GKH97" s="1675" t="s">
        <v>856</v>
      </c>
      <c r="GKI97" s="1675" t="s">
        <v>856</v>
      </c>
      <c r="GKJ97" s="1675" t="s">
        <v>856</v>
      </c>
      <c r="GKK97" s="1675" t="s">
        <v>856</v>
      </c>
      <c r="GKL97" s="1675" t="s">
        <v>856</v>
      </c>
      <c r="GKM97" s="1675" t="s">
        <v>856</v>
      </c>
      <c r="GKN97" s="1675" t="s">
        <v>856</v>
      </c>
      <c r="GKO97" s="1675" t="s">
        <v>856</v>
      </c>
      <c r="GKP97" s="1675" t="s">
        <v>856</v>
      </c>
      <c r="GKQ97" s="1675" t="s">
        <v>856</v>
      </c>
      <c r="GKR97" s="1675" t="s">
        <v>856</v>
      </c>
      <c r="GKS97" s="1675" t="s">
        <v>856</v>
      </c>
      <c r="GKT97" s="1675" t="s">
        <v>856</v>
      </c>
      <c r="GKU97" s="1675" t="s">
        <v>856</v>
      </c>
      <c r="GKV97" s="1675" t="s">
        <v>856</v>
      </c>
      <c r="GKW97" s="1675" t="s">
        <v>856</v>
      </c>
      <c r="GKX97" s="1675" t="s">
        <v>856</v>
      </c>
      <c r="GKY97" s="1675" t="s">
        <v>856</v>
      </c>
      <c r="GKZ97" s="1675" t="s">
        <v>856</v>
      </c>
      <c r="GLA97" s="1675" t="s">
        <v>856</v>
      </c>
      <c r="GLB97" s="1675" t="s">
        <v>856</v>
      </c>
      <c r="GLC97" s="1675" t="s">
        <v>856</v>
      </c>
      <c r="GLD97" s="1675" t="s">
        <v>856</v>
      </c>
      <c r="GLE97" s="1675" t="s">
        <v>856</v>
      </c>
      <c r="GLF97" s="1675" t="s">
        <v>856</v>
      </c>
      <c r="GLG97" s="1675" t="s">
        <v>856</v>
      </c>
      <c r="GLH97" s="1675" t="s">
        <v>856</v>
      </c>
      <c r="GLI97" s="1675" t="s">
        <v>856</v>
      </c>
      <c r="GLJ97" s="1675" t="s">
        <v>856</v>
      </c>
      <c r="GLK97" s="1675" t="s">
        <v>856</v>
      </c>
      <c r="GLL97" s="1675" t="s">
        <v>856</v>
      </c>
      <c r="GLM97" s="1675" t="s">
        <v>856</v>
      </c>
      <c r="GLN97" s="1675" t="s">
        <v>856</v>
      </c>
      <c r="GLO97" s="1675" t="s">
        <v>856</v>
      </c>
      <c r="GLP97" s="1675" t="s">
        <v>856</v>
      </c>
      <c r="GLQ97" s="1675" t="s">
        <v>856</v>
      </c>
      <c r="GLR97" s="1675" t="s">
        <v>856</v>
      </c>
      <c r="GLS97" s="1675" t="s">
        <v>856</v>
      </c>
      <c r="GLT97" s="1675" t="s">
        <v>856</v>
      </c>
      <c r="GLU97" s="1675" t="s">
        <v>856</v>
      </c>
      <c r="GLV97" s="1675" t="s">
        <v>856</v>
      </c>
      <c r="GLW97" s="1675" t="s">
        <v>856</v>
      </c>
      <c r="GLX97" s="1675" t="s">
        <v>856</v>
      </c>
      <c r="GLY97" s="1675" t="s">
        <v>856</v>
      </c>
      <c r="GLZ97" s="1675" t="s">
        <v>856</v>
      </c>
      <c r="GMA97" s="1675" t="s">
        <v>856</v>
      </c>
      <c r="GMB97" s="1675" t="s">
        <v>856</v>
      </c>
      <c r="GMC97" s="1675" t="s">
        <v>856</v>
      </c>
      <c r="GMD97" s="1675" t="s">
        <v>856</v>
      </c>
      <c r="GME97" s="1675" t="s">
        <v>856</v>
      </c>
      <c r="GMF97" s="1675" t="s">
        <v>856</v>
      </c>
      <c r="GMG97" s="1675" t="s">
        <v>856</v>
      </c>
      <c r="GMH97" s="1675" t="s">
        <v>856</v>
      </c>
      <c r="GMI97" s="1675" t="s">
        <v>856</v>
      </c>
      <c r="GMJ97" s="1675" t="s">
        <v>856</v>
      </c>
      <c r="GMK97" s="1675" t="s">
        <v>856</v>
      </c>
      <c r="GML97" s="1675" t="s">
        <v>856</v>
      </c>
      <c r="GMM97" s="1675" t="s">
        <v>856</v>
      </c>
      <c r="GMN97" s="1675" t="s">
        <v>856</v>
      </c>
      <c r="GMO97" s="1675" t="s">
        <v>856</v>
      </c>
      <c r="GMP97" s="1675" t="s">
        <v>856</v>
      </c>
      <c r="GMQ97" s="1675" t="s">
        <v>856</v>
      </c>
      <c r="GMR97" s="1675" t="s">
        <v>856</v>
      </c>
      <c r="GMS97" s="1675" t="s">
        <v>856</v>
      </c>
      <c r="GMT97" s="1675" t="s">
        <v>856</v>
      </c>
      <c r="GMU97" s="1675" t="s">
        <v>856</v>
      </c>
      <c r="GMV97" s="1675" t="s">
        <v>856</v>
      </c>
      <c r="GMW97" s="1675" t="s">
        <v>856</v>
      </c>
      <c r="GMX97" s="1675" t="s">
        <v>856</v>
      </c>
      <c r="GMY97" s="1675" t="s">
        <v>856</v>
      </c>
      <c r="GMZ97" s="1675" t="s">
        <v>856</v>
      </c>
      <c r="GNA97" s="1675" t="s">
        <v>856</v>
      </c>
      <c r="GNB97" s="1675" t="s">
        <v>856</v>
      </c>
      <c r="GNC97" s="1675" t="s">
        <v>856</v>
      </c>
      <c r="GND97" s="1675" t="s">
        <v>856</v>
      </c>
      <c r="GNE97" s="1675" t="s">
        <v>856</v>
      </c>
      <c r="GNF97" s="1675" t="s">
        <v>856</v>
      </c>
      <c r="GNG97" s="1675" t="s">
        <v>856</v>
      </c>
      <c r="GNH97" s="1675" t="s">
        <v>856</v>
      </c>
      <c r="GNI97" s="1675" t="s">
        <v>856</v>
      </c>
      <c r="GNJ97" s="1675" t="s">
        <v>856</v>
      </c>
      <c r="GNK97" s="1675" t="s">
        <v>856</v>
      </c>
      <c r="GNL97" s="1675" t="s">
        <v>856</v>
      </c>
      <c r="GNM97" s="1675" t="s">
        <v>856</v>
      </c>
      <c r="GNN97" s="1675" t="s">
        <v>856</v>
      </c>
      <c r="GNO97" s="1675" t="s">
        <v>856</v>
      </c>
      <c r="GNP97" s="1675" t="s">
        <v>856</v>
      </c>
      <c r="GNQ97" s="1675" t="s">
        <v>856</v>
      </c>
      <c r="GNR97" s="1675" t="s">
        <v>856</v>
      </c>
      <c r="GNS97" s="1675" t="s">
        <v>856</v>
      </c>
      <c r="GNT97" s="1675" t="s">
        <v>856</v>
      </c>
      <c r="GNU97" s="1675" t="s">
        <v>856</v>
      </c>
      <c r="GNV97" s="1675" t="s">
        <v>856</v>
      </c>
      <c r="GNW97" s="1675" t="s">
        <v>856</v>
      </c>
      <c r="GNX97" s="1675" t="s">
        <v>856</v>
      </c>
      <c r="GNY97" s="1675" t="s">
        <v>856</v>
      </c>
      <c r="GNZ97" s="1675" t="s">
        <v>856</v>
      </c>
      <c r="GOA97" s="1675" t="s">
        <v>856</v>
      </c>
      <c r="GOB97" s="1675" t="s">
        <v>856</v>
      </c>
      <c r="GOC97" s="1675" t="s">
        <v>856</v>
      </c>
      <c r="GOD97" s="1675" t="s">
        <v>856</v>
      </c>
      <c r="GOE97" s="1675" t="s">
        <v>856</v>
      </c>
      <c r="GOF97" s="1675" t="s">
        <v>856</v>
      </c>
      <c r="GOG97" s="1675" t="s">
        <v>856</v>
      </c>
      <c r="GOH97" s="1675" t="s">
        <v>856</v>
      </c>
      <c r="GOI97" s="1675" t="s">
        <v>856</v>
      </c>
      <c r="GOJ97" s="1675" t="s">
        <v>856</v>
      </c>
      <c r="GOK97" s="1675" t="s">
        <v>856</v>
      </c>
      <c r="GOL97" s="1675" t="s">
        <v>856</v>
      </c>
      <c r="GOM97" s="1675" t="s">
        <v>856</v>
      </c>
      <c r="GON97" s="1675" t="s">
        <v>856</v>
      </c>
      <c r="GOO97" s="1675" t="s">
        <v>856</v>
      </c>
      <c r="GOP97" s="1675" t="s">
        <v>856</v>
      </c>
      <c r="GOQ97" s="1675" t="s">
        <v>856</v>
      </c>
      <c r="GOR97" s="1675" t="s">
        <v>856</v>
      </c>
      <c r="GOS97" s="1675" t="s">
        <v>856</v>
      </c>
      <c r="GOT97" s="1675" t="s">
        <v>856</v>
      </c>
      <c r="GOU97" s="1675" t="s">
        <v>856</v>
      </c>
      <c r="GOV97" s="1675" t="s">
        <v>856</v>
      </c>
      <c r="GOW97" s="1675" t="s">
        <v>856</v>
      </c>
      <c r="GOX97" s="1675" t="s">
        <v>856</v>
      </c>
      <c r="GOY97" s="1675" t="s">
        <v>856</v>
      </c>
      <c r="GOZ97" s="1675" t="s">
        <v>856</v>
      </c>
      <c r="GPA97" s="1675" t="s">
        <v>856</v>
      </c>
      <c r="GPB97" s="1675" t="s">
        <v>856</v>
      </c>
      <c r="GPC97" s="1675" t="s">
        <v>856</v>
      </c>
      <c r="GPD97" s="1675" t="s">
        <v>856</v>
      </c>
      <c r="GPE97" s="1675" t="s">
        <v>856</v>
      </c>
      <c r="GPF97" s="1675" t="s">
        <v>856</v>
      </c>
      <c r="GPG97" s="1675" t="s">
        <v>856</v>
      </c>
      <c r="GPH97" s="1675" t="s">
        <v>856</v>
      </c>
      <c r="GPI97" s="1675" t="s">
        <v>856</v>
      </c>
      <c r="GPJ97" s="1675" t="s">
        <v>856</v>
      </c>
      <c r="GPK97" s="1675" t="s">
        <v>856</v>
      </c>
      <c r="GPL97" s="1675" t="s">
        <v>856</v>
      </c>
      <c r="GPM97" s="1675" t="s">
        <v>856</v>
      </c>
      <c r="GPN97" s="1675" t="s">
        <v>856</v>
      </c>
      <c r="GPO97" s="1675" t="s">
        <v>856</v>
      </c>
      <c r="GPP97" s="1675" t="s">
        <v>856</v>
      </c>
      <c r="GPQ97" s="1675" t="s">
        <v>856</v>
      </c>
      <c r="GPR97" s="1675" t="s">
        <v>856</v>
      </c>
      <c r="GPS97" s="1675" t="s">
        <v>856</v>
      </c>
      <c r="GPT97" s="1675" t="s">
        <v>856</v>
      </c>
      <c r="GPU97" s="1675" t="s">
        <v>856</v>
      </c>
      <c r="GPV97" s="1675" t="s">
        <v>856</v>
      </c>
      <c r="GPW97" s="1675" t="s">
        <v>856</v>
      </c>
      <c r="GPX97" s="1675" t="s">
        <v>856</v>
      </c>
      <c r="GPY97" s="1675" t="s">
        <v>856</v>
      </c>
      <c r="GPZ97" s="1675" t="s">
        <v>856</v>
      </c>
      <c r="GQA97" s="1675" t="s">
        <v>856</v>
      </c>
      <c r="GQB97" s="1675" t="s">
        <v>856</v>
      </c>
      <c r="GQC97" s="1675" t="s">
        <v>856</v>
      </c>
      <c r="GQD97" s="1675" t="s">
        <v>856</v>
      </c>
      <c r="GQE97" s="1675" t="s">
        <v>856</v>
      </c>
      <c r="GQF97" s="1675" t="s">
        <v>856</v>
      </c>
      <c r="GQG97" s="1675" t="s">
        <v>856</v>
      </c>
      <c r="GQH97" s="1675" t="s">
        <v>856</v>
      </c>
      <c r="GQI97" s="1675" t="s">
        <v>856</v>
      </c>
      <c r="GQJ97" s="1675" t="s">
        <v>856</v>
      </c>
      <c r="GQK97" s="1675" t="s">
        <v>856</v>
      </c>
      <c r="GQL97" s="1675" t="s">
        <v>856</v>
      </c>
      <c r="GQM97" s="1675" t="s">
        <v>856</v>
      </c>
      <c r="GQN97" s="1675" t="s">
        <v>856</v>
      </c>
      <c r="GQO97" s="1675" t="s">
        <v>856</v>
      </c>
      <c r="GQP97" s="1675" t="s">
        <v>856</v>
      </c>
      <c r="GQQ97" s="1675" t="s">
        <v>856</v>
      </c>
      <c r="GQR97" s="1675" t="s">
        <v>856</v>
      </c>
      <c r="GQS97" s="1675" t="s">
        <v>856</v>
      </c>
      <c r="GQT97" s="1675" t="s">
        <v>856</v>
      </c>
      <c r="GQU97" s="1675" t="s">
        <v>856</v>
      </c>
      <c r="GQV97" s="1675" t="s">
        <v>856</v>
      </c>
      <c r="GQW97" s="1675" t="s">
        <v>856</v>
      </c>
      <c r="GQX97" s="1675" t="s">
        <v>856</v>
      </c>
      <c r="GQY97" s="1675" t="s">
        <v>856</v>
      </c>
      <c r="GQZ97" s="1675" t="s">
        <v>856</v>
      </c>
      <c r="GRA97" s="1675" t="s">
        <v>856</v>
      </c>
      <c r="GRB97" s="1675" t="s">
        <v>856</v>
      </c>
      <c r="GRC97" s="1675" t="s">
        <v>856</v>
      </c>
      <c r="GRD97" s="1675" t="s">
        <v>856</v>
      </c>
      <c r="GRE97" s="1675" t="s">
        <v>856</v>
      </c>
      <c r="GRF97" s="1675" t="s">
        <v>856</v>
      </c>
      <c r="GRG97" s="1675" t="s">
        <v>856</v>
      </c>
      <c r="GRH97" s="1675" t="s">
        <v>856</v>
      </c>
      <c r="GRI97" s="1675" t="s">
        <v>856</v>
      </c>
      <c r="GRJ97" s="1675" t="s">
        <v>856</v>
      </c>
      <c r="GRK97" s="1675" t="s">
        <v>856</v>
      </c>
      <c r="GRL97" s="1675" t="s">
        <v>856</v>
      </c>
      <c r="GRM97" s="1675" t="s">
        <v>856</v>
      </c>
      <c r="GRN97" s="1675" t="s">
        <v>856</v>
      </c>
      <c r="GRO97" s="1675" t="s">
        <v>856</v>
      </c>
      <c r="GRP97" s="1675" t="s">
        <v>856</v>
      </c>
      <c r="GRQ97" s="1675" t="s">
        <v>856</v>
      </c>
      <c r="GRR97" s="1675" t="s">
        <v>856</v>
      </c>
      <c r="GRS97" s="1675" t="s">
        <v>856</v>
      </c>
      <c r="GRT97" s="1675" t="s">
        <v>856</v>
      </c>
      <c r="GRU97" s="1675" t="s">
        <v>856</v>
      </c>
      <c r="GRV97" s="1675" t="s">
        <v>856</v>
      </c>
      <c r="GRW97" s="1675" t="s">
        <v>856</v>
      </c>
      <c r="GRX97" s="1675" t="s">
        <v>856</v>
      </c>
      <c r="GRY97" s="1675" t="s">
        <v>856</v>
      </c>
      <c r="GRZ97" s="1675" t="s">
        <v>856</v>
      </c>
      <c r="GSA97" s="1675" t="s">
        <v>856</v>
      </c>
      <c r="GSB97" s="1675" t="s">
        <v>856</v>
      </c>
      <c r="GSC97" s="1675" t="s">
        <v>856</v>
      </c>
      <c r="GSD97" s="1675" t="s">
        <v>856</v>
      </c>
      <c r="GSE97" s="1675" t="s">
        <v>856</v>
      </c>
      <c r="GSF97" s="1675" t="s">
        <v>856</v>
      </c>
      <c r="GSG97" s="1675" t="s">
        <v>856</v>
      </c>
      <c r="GSH97" s="1675" t="s">
        <v>856</v>
      </c>
      <c r="GSI97" s="1675" t="s">
        <v>856</v>
      </c>
      <c r="GSJ97" s="1675" t="s">
        <v>856</v>
      </c>
      <c r="GSK97" s="1675" t="s">
        <v>856</v>
      </c>
      <c r="GSL97" s="1675" t="s">
        <v>856</v>
      </c>
      <c r="GSM97" s="1675" t="s">
        <v>856</v>
      </c>
      <c r="GSN97" s="1675" t="s">
        <v>856</v>
      </c>
      <c r="GSO97" s="1675" t="s">
        <v>856</v>
      </c>
      <c r="GSP97" s="1675" t="s">
        <v>856</v>
      </c>
      <c r="GSQ97" s="1675" t="s">
        <v>856</v>
      </c>
      <c r="GSR97" s="1675" t="s">
        <v>856</v>
      </c>
      <c r="GSS97" s="1675" t="s">
        <v>856</v>
      </c>
      <c r="GST97" s="1675" t="s">
        <v>856</v>
      </c>
      <c r="GSU97" s="1675" t="s">
        <v>856</v>
      </c>
      <c r="GSV97" s="1675" t="s">
        <v>856</v>
      </c>
      <c r="GSW97" s="1675" t="s">
        <v>856</v>
      </c>
      <c r="GSX97" s="1675" t="s">
        <v>856</v>
      </c>
      <c r="GSY97" s="1675" t="s">
        <v>856</v>
      </c>
      <c r="GSZ97" s="1675" t="s">
        <v>856</v>
      </c>
      <c r="GTA97" s="1675" t="s">
        <v>856</v>
      </c>
      <c r="GTB97" s="1675" t="s">
        <v>856</v>
      </c>
      <c r="GTC97" s="1675" t="s">
        <v>856</v>
      </c>
      <c r="GTD97" s="1675" t="s">
        <v>856</v>
      </c>
      <c r="GTE97" s="1675" t="s">
        <v>856</v>
      </c>
      <c r="GTF97" s="1675" t="s">
        <v>856</v>
      </c>
      <c r="GTG97" s="1675" t="s">
        <v>856</v>
      </c>
      <c r="GTH97" s="1675" t="s">
        <v>856</v>
      </c>
      <c r="GTI97" s="1675" t="s">
        <v>856</v>
      </c>
      <c r="GTJ97" s="1675" t="s">
        <v>856</v>
      </c>
      <c r="GTK97" s="1675" t="s">
        <v>856</v>
      </c>
      <c r="GTL97" s="1675" t="s">
        <v>856</v>
      </c>
      <c r="GTM97" s="1675" t="s">
        <v>856</v>
      </c>
      <c r="GTN97" s="1675" t="s">
        <v>856</v>
      </c>
      <c r="GTO97" s="1675" t="s">
        <v>856</v>
      </c>
      <c r="GTP97" s="1675" t="s">
        <v>856</v>
      </c>
      <c r="GTQ97" s="1675" t="s">
        <v>856</v>
      </c>
      <c r="GTR97" s="1675" t="s">
        <v>856</v>
      </c>
      <c r="GTS97" s="1675" t="s">
        <v>856</v>
      </c>
      <c r="GTT97" s="1675" t="s">
        <v>856</v>
      </c>
      <c r="GTU97" s="1675" t="s">
        <v>856</v>
      </c>
      <c r="GTV97" s="1675" t="s">
        <v>856</v>
      </c>
      <c r="GTW97" s="1675" t="s">
        <v>856</v>
      </c>
      <c r="GTX97" s="1675" t="s">
        <v>856</v>
      </c>
      <c r="GTY97" s="1675" t="s">
        <v>856</v>
      </c>
      <c r="GTZ97" s="1675" t="s">
        <v>856</v>
      </c>
      <c r="GUA97" s="1675" t="s">
        <v>856</v>
      </c>
      <c r="GUB97" s="1675" t="s">
        <v>856</v>
      </c>
      <c r="GUC97" s="1675" t="s">
        <v>856</v>
      </c>
      <c r="GUD97" s="1675" t="s">
        <v>856</v>
      </c>
      <c r="GUE97" s="1675" t="s">
        <v>856</v>
      </c>
      <c r="GUF97" s="1675" t="s">
        <v>856</v>
      </c>
      <c r="GUG97" s="1675" t="s">
        <v>856</v>
      </c>
      <c r="GUH97" s="1675" t="s">
        <v>856</v>
      </c>
      <c r="GUI97" s="1675" t="s">
        <v>856</v>
      </c>
      <c r="GUJ97" s="1675" t="s">
        <v>856</v>
      </c>
      <c r="GUK97" s="1675" t="s">
        <v>856</v>
      </c>
      <c r="GUL97" s="1675" t="s">
        <v>856</v>
      </c>
      <c r="GUM97" s="1675" t="s">
        <v>856</v>
      </c>
      <c r="GUN97" s="1675" t="s">
        <v>856</v>
      </c>
      <c r="GUO97" s="1675" t="s">
        <v>856</v>
      </c>
      <c r="GUP97" s="1675" t="s">
        <v>856</v>
      </c>
      <c r="GUQ97" s="1675" t="s">
        <v>856</v>
      </c>
      <c r="GUR97" s="1675" t="s">
        <v>856</v>
      </c>
      <c r="GUS97" s="1675" t="s">
        <v>856</v>
      </c>
      <c r="GUT97" s="1675" t="s">
        <v>856</v>
      </c>
      <c r="GUU97" s="1675" t="s">
        <v>856</v>
      </c>
      <c r="GUV97" s="1675" t="s">
        <v>856</v>
      </c>
      <c r="GUW97" s="1675" t="s">
        <v>856</v>
      </c>
      <c r="GUX97" s="1675" t="s">
        <v>856</v>
      </c>
      <c r="GUY97" s="1675" t="s">
        <v>856</v>
      </c>
      <c r="GUZ97" s="1675" t="s">
        <v>856</v>
      </c>
      <c r="GVA97" s="1675" t="s">
        <v>856</v>
      </c>
      <c r="GVB97" s="1675" t="s">
        <v>856</v>
      </c>
      <c r="GVC97" s="1675" t="s">
        <v>856</v>
      </c>
      <c r="GVD97" s="1675" t="s">
        <v>856</v>
      </c>
      <c r="GVE97" s="1675" t="s">
        <v>856</v>
      </c>
      <c r="GVF97" s="1675" t="s">
        <v>856</v>
      </c>
      <c r="GVG97" s="1675" t="s">
        <v>856</v>
      </c>
      <c r="GVH97" s="1675" t="s">
        <v>856</v>
      </c>
      <c r="GVI97" s="1675" t="s">
        <v>856</v>
      </c>
      <c r="GVJ97" s="1675" t="s">
        <v>856</v>
      </c>
      <c r="GVK97" s="1675" t="s">
        <v>856</v>
      </c>
      <c r="GVL97" s="1675" t="s">
        <v>856</v>
      </c>
      <c r="GVM97" s="1675" t="s">
        <v>856</v>
      </c>
      <c r="GVN97" s="1675" t="s">
        <v>856</v>
      </c>
      <c r="GVO97" s="1675" t="s">
        <v>856</v>
      </c>
      <c r="GVP97" s="1675" t="s">
        <v>856</v>
      </c>
      <c r="GVQ97" s="1675" t="s">
        <v>856</v>
      </c>
      <c r="GVR97" s="1675" t="s">
        <v>856</v>
      </c>
      <c r="GVS97" s="1675" t="s">
        <v>856</v>
      </c>
      <c r="GVT97" s="1675" t="s">
        <v>856</v>
      </c>
      <c r="GVU97" s="1675" t="s">
        <v>856</v>
      </c>
      <c r="GVV97" s="1675" t="s">
        <v>856</v>
      </c>
      <c r="GVW97" s="1675" t="s">
        <v>856</v>
      </c>
      <c r="GVX97" s="1675" t="s">
        <v>856</v>
      </c>
      <c r="GVY97" s="1675" t="s">
        <v>856</v>
      </c>
      <c r="GVZ97" s="1675" t="s">
        <v>856</v>
      </c>
      <c r="GWA97" s="1675" t="s">
        <v>856</v>
      </c>
      <c r="GWB97" s="1675" t="s">
        <v>856</v>
      </c>
      <c r="GWC97" s="1675" t="s">
        <v>856</v>
      </c>
      <c r="GWD97" s="1675" t="s">
        <v>856</v>
      </c>
      <c r="GWE97" s="1675" t="s">
        <v>856</v>
      </c>
      <c r="GWF97" s="1675" t="s">
        <v>856</v>
      </c>
      <c r="GWG97" s="1675" t="s">
        <v>856</v>
      </c>
      <c r="GWH97" s="1675" t="s">
        <v>856</v>
      </c>
      <c r="GWI97" s="1675" t="s">
        <v>856</v>
      </c>
      <c r="GWJ97" s="1675" t="s">
        <v>856</v>
      </c>
      <c r="GWK97" s="1675" t="s">
        <v>856</v>
      </c>
      <c r="GWL97" s="1675" t="s">
        <v>856</v>
      </c>
      <c r="GWM97" s="1675" t="s">
        <v>856</v>
      </c>
      <c r="GWN97" s="1675" t="s">
        <v>856</v>
      </c>
      <c r="GWO97" s="1675" t="s">
        <v>856</v>
      </c>
      <c r="GWP97" s="1675" t="s">
        <v>856</v>
      </c>
      <c r="GWQ97" s="1675" t="s">
        <v>856</v>
      </c>
      <c r="GWR97" s="1675" t="s">
        <v>856</v>
      </c>
      <c r="GWS97" s="1675" t="s">
        <v>856</v>
      </c>
      <c r="GWT97" s="1675" t="s">
        <v>856</v>
      </c>
      <c r="GWU97" s="1675" t="s">
        <v>856</v>
      </c>
      <c r="GWV97" s="1675" t="s">
        <v>856</v>
      </c>
      <c r="GWW97" s="1675" t="s">
        <v>856</v>
      </c>
      <c r="GWX97" s="1675" t="s">
        <v>856</v>
      </c>
      <c r="GWY97" s="1675" t="s">
        <v>856</v>
      </c>
      <c r="GWZ97" s="1675" t="s">
        <v>856</v>
      </c>
      <c r="GXA97" s="1675" t="s">
        <v>856</v>
      </c>
      <c r="GXB97" s="1675" t="s">
        <v>856</v>
      </c>
      <c r="GXC97" s="1675" t="s">
        <v>856</v>
      </c>
      <c r="GXD97" s="1675" t="s">
        <v>856</v>
      </c>
      <c r="GXE97" s="1675" t="s">
        <v>856</v>
      </c>
      <c r="GXF97" s="1675" t="s">
        <v>856</v>
      </c>
      <c r="GXG97" s="1675" t="s">
        <v>856</v>
      </c>
      <c r="GXH97" s="1675" t="s">
        <v>856</v>
      </c>
      <c r="GXI97" s="1675" t="s">
        <v>856</v>
      </c>
      <c r="GXJ97" s="1675" t="s">
        <v>856</v>
      </c>
      <c r="GXK97" s="1675" t="s">
        <v>856</v>
      </c>
      <c r="GXL97" s="1675" t="s">
        <v>856</v>
      </c>
      <c r="GXM97" s="1675" t="s">
        <v>856</v>
      </c>
      <c r="GXN97" s="1675" t="s">
        <v>856</v>
      </c>
      <c r="GXO97" s="1675" t="s">
        <v>856</v>
      </c>
      <c r="GXP97" s="1675" t="s">
        <v>856</v>
      </c>
      <c r="GXQ97" s="1675" t="s">
        <v>856</v>
      </c>
      <c r="GXR97" s="1675" t="s">
        <v>856</v>
      </c>
      <c r="GXS97" s="1675" t="s">
        <v>856</v>
      </c>
      <c r="GXT97" s="1675" t="s">
        <v>856</v>
      </c>
      <c r="GXU97" s="1675" t="s">
        <v>856</v>
      </c>
      <c r="GXV97" s="1675" t="s">
        <v>856</v>
      </c>
      <c r="GXW97" s="1675" t="s">
        <v>856</v>
      </c>
      <c r="GXX97" s="1675" t="s">
        <v>856</v>
      </c>
      <c r="GXY97" s="1675" t="s">
        <v>856</v>
      </c>
      <c r="GXZ97" s="1675" t="s">
        <v>856</v>
      </c>
      <c r="GYA97" s="1675" t="s">
        <v>856</v>
      </c>
      <c r="GYB97" s="1675" t="s">
        <v>856</v>
      </c>
      <c r="GYC97" s="1675" t="s">
        <v>856</v>
      </c>
      <c r="GYD97" s="1675" t="s">
        <v>856</v>
      </c>
      <c r="GYE97" s="1675" t="s">
        <v>856</v>
      </c>
      <c r="GYF97" s="1675" t="s">
        <v>856</v>
      </c>
      <c r="GYG97" s="1675" t="s">
        <v>856</v>
      </c>
      <c r="GYH97" s="1675" t="s">
        <v>856</v>
      </c>
      <c r="GYI97" s="1675" t="s">
        <v>856</v>
      </c>
      <c r="GYJ97" s="1675" t="s">
        <v>856</v>
      </c>
      <c r="GYK97" s="1675" t="s">
        <v>856</v>
      </c>
      <c r="GYL97" s="1675" t="s">
        <v>856</v>
      </c>
      <c r="GYM97" s="1675" t="s">
        <v>856</v>
      </c>
      <c r="GYN97" s="1675" t="s">
        <v>856</v>
      </c>
      <c r="GYO97" s="1675" t="s">
        <v>856</v>
      </c>
      <c r="GYP97" s="1675" t="s">
        <v>856</v>
      </c>
      <c r="GYQ97" s="1675" t="s">
        <v>856</v>
      </c>
      <c r="GYR97" s="1675" t="s">
        <v>856</v>
      </c>
      <c r="GYS97" s="1675" t="s">
        <v>856</v>
      </c>
      <c r="GYT97" s="1675" t="s">
        <v>856</v>
      </c>
      <c r="GYU97" s="1675" t="s">
        <v>856</v>
      </c>
      <c r="GYV97" s="1675" t="s">
        <v>856</v>
      </c>
      <c r="GYW97" s="1675" t="s">
        <v>856</v>
      </c>
      <c r="GYX97" s="1675" t="s">
        <v>856</v>
      </c>
      <c r="GYY97" s="1675" t="s">
        <v>856</v>
      </c>
      <c r="GYZ97" s="1675" t="s">
        <v>856</v>
      </c>
      <c r="GZA97" s="1675" t="s">
        <v>856</v>
      </c>
      <c r="GZB97" s="1675" t="s">
        <v>856</v>
      </c>
      <c r="GZC97" s="1675" t="s">
        <v>856</v>
      </c>
      <c r="GZD97" s="1675" t="s">
        <v>856</v>
      </c>
      <c r="GZE97" s="1675" t="s">
        <v>856</v>
      </c>
      <c r="GZF97" s="1675" t="s">
        <v>856</v>
      </c>
      <c r="GZG97" s="1675" t="s">
        <v>856</v>
      </c>
      <c r="GZH97" s="1675" t="s">
        <v>856</v>
      </c>
      <c r="GZI97" s="1675" t="s">
        <v>856</v>
      </c>
      <c r="GZJ97" s="1675" t="s">
        <v>856</v>
      </c>
      <c r="GZK97" s="1675" t="s">
        <v>856</v>
      </c>
      <c r="GZL97" s="1675" t="s">
        <v>856</v>
      </c>
      <c r="GZM97" s="1675" t="s">
        <v>856</v>
      </c>
      <c r="GZN97" s="1675" t="s">
        <v>856</v>
      </c>
      <c r="GZO97" s="1675" t="s">
        <v>856</v>
      </c>
      <c r="GZP97" s="1675" t="s">
        <v>856</v>
      </c>
      <c r="GZQ97" s="1675" t="s">
        <v>856</v>
      </c>
      <c r="GZR97" s="1675" t="s">
        <v>856</v>
      </c>
      <c r="GZS97" s="1675" t="s">
        <v>856</v>
      </c>
      <c r="GZT97" s="1675" t="s">
        <v>856</v>
      </c>
      <c r="GZU97" s="1675" t="s">
        <v>856</v>
      </c>
      <c r="GZV97" s="1675" t="s">
        <v>856</v>
      </c>
      <c r="GZW97" s="1675" t="s">
        <v>856</v>
      </c>
      <c r="GZX97" s="1675" t="s">
        <v>856</v>
      </c>
      <c r="GZY97" s="1675" t="s">
        <v>856</v>
      </c>
      <c r="GZZ97" s="1675" t="s">
        <v>856</v>
      </c>
      <c r="HAA97" s="1675" t="s">
        <v>856</v>
      </c>
      <c r="HAB97" s="1675" t="s">
        <v>856</v>
      </c>
      <c r="HAC97" s="1675" t="s">
        <v>856</v>
      </c>
      <c r="HAD97" s="1675" t="s">
        <v>856</v>
      </c>
      <c r="HAE97" s="1675" t="s">
        <v>856</v>
      </c>
      <c r="HAF97" s="1675" t="s">
        <v>856</v>
      </c>
      <c r="HAG97" s="1675" t="s">
        <v>856</v>
      </c>
      <c r="HAH97" s="1675" t="s">
        <v>856</v>
      </c>
      <c r="HAI97" s="1675" t="s">
        <v>856</v>
      </c>
      <c r="HAJ97" s="1675" t="s">
        <v>856</v>
      </c>
      <c r="HAK97" s="1675" t="s">
        <v>856</v>
      </c>
      <c r="HAL97" s="1675" t="s">
        <v>856</v>
      </c>
      <c r="HAM97" s="1675" t="s">
        <v>856</v>
      </c>
      <c r="HAN97" s="1675" t="s">
        <v>856</v>
      </c>
      <c r="HAO97" s="1675" t="s">
        <v>856</v>
      </c>
      <c r="HAP97" s="1675" t="s">
        <v>856</v>
      </c>
      <c r="HAQ97" s="1675" t="s">
        <v>856</v>
      </c>
      <c r="HAR97" s="1675" t="s">
        <v>856</v>
      </c>
      <c r="HAS97" s="1675" t="s">
        <v>856</v>
      </c>
      <c r="HAT97" s="1675" t="s">
        <v>856</v>
      </c>
      <c r="HAU97" s="1675" t="s">
        <v>856</v>
      </c>
      <c r="HAV97" s="1675" t="s">
        <v>856</v>
      </c>
      <c r="HAW97" s="1675" t="s">
        <v>856</v>
      </c>
      <c r="HAX97" s="1675" t="s">
        <v>856</v>
      </c>
      <c r="HAY97" s="1675" t="s">
        <v>856</v>
      </c>
      <c r="HAZ97" s="1675" t="s">
        <v>856</v>
      </c>
      <c r="HBA97" s="1675" t="s">
        <v>856</v>
      </c>
      <c r="HBB97" s="1675" t="s">
        <v>856</v>
      </c>
      <c r="HBC97" s="1675" t="s">
        <v>856</v>
      </c>
      <c r="HBD97" s="1675" t="s">
        <v>856</v>
      </c>
      <c r="HBE97" s="1675" t="s">
        <v>856</v>
      </c>
      <c r="HBF97" s="1675" t="s">
        <v>856</v>
      </c>
      <c r="HBG97" s="1675" t="s">
        <v>856</v>
      </c>
      <c r="HBH97" s="1675" t="s">
        <v>856</v>
      </c>
      <c r="HBI97" s="1675" t="s">
        <v>856</v>
      </c>
      <c r="HBJ97" s="1675" t="s">
        <v>856</v>
      </c>
      <c r="HBK97" s="1675" t="s">
        <v>856</v>
      </c>
      <c r="HBL97" s="1675" t="s">
        <v>856</v>
      </c>
      <c r="HBM97" s="1675" t="s">
        <v>856</v>
      </c>
      <c r="HBN97" s="1675" t="s">
        <v>856</v>
      </c>
      <c r="HBO97" s="1675" t="s">
        <v>856</v>
      </c>
      <c r="HBP97" s="1675" t="s">
        <v>856</v>
      </c>
      <c r="HBQ97" s="1675" t="s">
        <v>856</v>
      </c>
      <c r="HBR97" s="1675" t="s">
        <v>856</v>
      </c>
      <c r="HBS97" s="1675" t="s">
        <v>856</v>
      </c>
      <c r="HBT97" s="1675" t="s">
        <v>856</v>
      </c>
      <c r="HBU97" s="1675" t="s">
        <v>856</v>
      </c>
      <c r="HBV97" s="1675" t="s">
        <v>856</v>
      </c>
      <c r="HBW97" s="1675" t="s">
        <v>856</v>
      </c>
      <c r="HBX97" s="1675" t="s">
        <v>856</v>
      </c>
      <c r="HBY97" s="1675" t="s">
        <v>856</v>
      </c>
      <c r="HBZ97" s="1675" t="s">
        <v>856</v>
      </c>
      <c r="HCA97" s="1675" t="s">
        <v>856</v>
      </c>
      <c r="HCB97" s="1675" t="s">
        <v>856</v>
      </c>
      <c r="HCC97" s="1675" t="s">
        <v>856</v>
      </c>
      <c r="HCD97" s="1675" t="s">
        <v>856</v>
      </c>
      <c r="HCE97" s="1675" t="s">
        <v>856</v>
      </c>
      <c r="HCF97" s="1675" t="s">
        <v>856</v>
      </c>
      <c r="HCG97" s="1675" t="s">
        <v>856</v>
      </c>
      <c r="HCH97" s="1675" t="s">
        <v>856</v>
      </c>
      <c r="HCI97" s="1675" t="s">
        <v>856</v>
      </c>
      <c r="HCJ97" s="1675" t="s">
        <v>856</v>
      </c>
      <c r="HCK97" s="1675" t="s">
        <v>856</v>
      </c>
      <c r="HCL97" s="1675" t="s">
        <v>856</v>
      </c>
      <c r="HCM97" s="1675" t="s">
        <v>856</v>
      </c>
      <c r="HCN97" s="1675" t="s">
        <v>856</v>
      </c>
      <c r="HCO97" s="1675" t="s">
        <v>856</v>
      </c>
      <c r="HCP97" s="1675" t="s">
        <v>856</v>
      </c>
      <c r="HCQ97" s="1675" t="s">
        <v>856</v>
      </c>
      <c r="HCR97" s="1675" t="s">
        <v>856</v>
      </c>
      <c r="HCS97" s="1675" t="s">
        <v>856</v>
      </c>
      <c r="HCT97" s="1675" t="s">
        <v>856</v>
      </c>
      <c r="HCU97" s="1675" t="s">
        <v>856</v>
      </c>
      <c r="HCV97" s="1675" t="s">
        <v>856</v>
      </c>
      <c r="HCW97" s="1675" t="s">
        <v>856</v>
      </c>
      <c r="HCX97" s="1675" t="s">
        <v>856</v>
      </c>
      <c r="HCY97" s="1675" t="s">
        <v>856</v>
      </c>
      <c r="HCZ97" s="1675" t="s">
        <v>856</v>
      </c>
      <c r="HDA97" s="1675" t="s">
        <v>856</v>
      </c>
      <c r="HDB97" s="1675" t="s">
        <v>856</v>
      </c>
      <c r="HDC97" s="1675" t="s">
        <v>856</v>
      </c>
      <c r="HDD97" s="1675" t="s">
        <v>856</v>
      </c>
      <c r="HDE97" s="1675" t="s">
        <v>856</v>
      </c>
      <c r="HDF97" s="1675" t="s">
        <v>856</v>
      </c>
      <c r="HDG97" s="1675" t="s">
        <v>856</v>
      </c>
      <c r="HDH97" s="1675" t="s">
        <v>856</v>
      </c>
      <c r="HDI97" s="1675" t="s">
        <v>856</v>
      </c>
      <c r="HDJ97" s="1675" t="s">
        <v>856</v>
      </c>
      <c r="HDK97" s="1675" t="s">
        <v>856</v>
      </c>
      <c r="HDL97" s="1675" t="s">
        <v>856</v>
      </c>
      <c r="HDM97" s="1675" t="s">
        <v>856</v>
      </c>
      <c r="HDN97" s="1675" t="s">
        <v>856</v>
      </c>
      <c r="HDO97" s="1675" t="s">
        <v>856</v>
      </c>
      <c r="HDP97" s="1675" t="s">
        <v>856</v>
      </c>
      <c r="HDQ97" s="1675" t="s">
        <v>856</v>
      </c>
      <c r="HDR97" s="1675" t="s">
        <v>856</v>
      </c>
      <c r="HDS97" s="1675" t="s">
        <v>856</v>
      </c>
      <c r="HDT97" s="1675" t="s">
        <v>856</v>
      </c>
      <c r="HDU97" s="1675" t="s">
        <v>856</v>
      </c>
      <c r="HDV97" s="1675" t="s">
        <v>856</v>
      </c>
      <c r="HDW97" s="1675" t="s">
        <v>856</v>
      </c>
      <c r="HDX97" s="1675" t="s">
        <v>856</v>
      </c>
      <c r="HDY97" s="1675" t="s">
        <v>856</v>
      </c>
      <c r="HDZ97" s="1675" t="s">
        <v>856</v>
      </c>
      <c r="HEA97" s="1675" t="s">
        <v>856</v>
      </c>
      <c r="HEB97" s="1675" t="s">
        <v>856</v>
      </c>
      <c r="HEC97" s="1675" t="s">
        <v>856</v>
      </c>
      <c r="HED97" s="1675" t="s">
        <v>856</v>
      </c>
      <c r="HEE97" s="1675" t="s">
        <v>856</v>
      </c>
      <c r="HEF97" s="1675" t="s">
        <v>856</v>
      </c>
      <c r="HEG97" s="1675" t="s">
        <v>856</v>
      </c>
      <c r="HEH97" s="1675" t="s">
        <v>856</v>
      </c>
      <c r="HEI97" s="1675" t="s">
        <v>856</v>
      </c>
      <c r="HEJ97" s="1675" t="s">
        <v>856</v>
      </c>
      <c r="HEK97" s="1675" t="s">
        <v>856</v>
      </c>
      <c r="HEL97" s="1675" t="s">
        <v>856</v>
      </c>
      <c r="HEM97" s="1675" t="s">
        <v>856</v>
      </c>
      <c r="HEN97" s="1675" t="s">
        <v>856</v>
      </c>
      <c r="HEO97" s="1675" t="s">
        <v>856</v>
      </c>
      <c r="HEP97" s="1675" t="s">
        <v>856</v>
      </c>
      <c r="HEQ97" s="1675" t="s">
        <v>856</v>
      </c>
      <c r="HER97" s="1675" t="s">
        <v>856</v>
      </c>
      <c r="HES97" s="1675" t="s">
        <v>856</v>
      </c>
      <c r="HET97" s="1675" t="s">
        <v>856</v>
      </c>
      <c r="HEU97" s="1675" t="s">
        <v>856</v>
      </c>
      <c r="HEV97" s="1675" t="s">
        <v>856</v>
      </c>
      <c r="HEW97" s="1675" t="s">
        <v>856</v>
      </c>
      <c r="HEX97" s="1675" t="s">
        <v>856</v>
      </c>
      <c r="HEY97" s="1675" t="s">
        <v>856</v>
      </c>
      <c r="HEZ97" s="1675" t="s">
        <v>856</v>
      </c>
      <c r="HFA97" s="1675" t="s">
        <v>856</v>
      </c>
      <c r="HFB97" s="1675" t="s">
        <v>856</v>
      </c>
      <c r="HFC97" s="1675" t="s">
        <v>856</v>
      </c>
      <c r="HFD97" s="1675" t="s">
        <v>856</v>
      </c>
      <c r="HFE97" s="1675" t="s">
        <v>856</v>
      </c>
      <c r="HFF97" s="1675" t="s">
        <v>856</v>
      </c>
      <c r="HFG97" s="1675" t="s">
        <v>856</v>
      </c>
      <c r="HFH97" s="1675" t="s">
        <v>856</v>
      </c>
      <c r="HFI97" s="1675" t="s">
        <v>856</v>
      </c>
      <c r="HFJ97" s="1675" t="s">
        <v>856</v>
      </c>
      <c r="HFK97" s="1675" t="s">
        <v>856</v>
      </c>
      <c r="HFL97" s="1675" t="s">
        <v>856</v>
      </c>
      <c r="HFM97" s="1675" t="s">
        <v>856</v>
      </c>
      <c r="HFN97" s="1675" t="s">
        <v>856</v>
      </c>
      <c r="HFO97" s="1675" t="s">
        <v>856</v>
      </c>
      <c r="HFP97" s="1675" t="s">
        <v>856</v>
      </c>
      <c r="HFQ97" s="1675" t="s">
        <v>856</v>
      </c>
      <c r="HFR97" s="1675" t="s">
        <v>856</v>
      </c>
      <c r="HFS97" s="1675" t="s">
        <v>856</v>
      </c>
      <c r="HFT97" s="1675" t="s">
        <v>856</v>
      </c>
      <c r="HFU97" s="1675" t="s">
        <v>856</v>
      </c>
      <c r="HFV97" s="1675" t="s">
        <v>856</v>
      </c>
      <c r="HFW97" s="1675" t="s">
        <v>856</v>
      </c>
      <c r="HFX97" s="1675" t="s">
        <v>856</v>
      </c>
      <c r="HFY97" s="1675" t="s">
        <v>856</v>
      </c>
      <c r="HFZ97" s="1675" t="s">
        <v>856</v>
      </c>
      <c r="HGA97" s="1675" t="s">
        <v>856</v>
      </c>
      <c r="HGB97" s="1675" t="s">
        <v>856</v>
      </c>
      <c r="HGC97" s="1675" t="s">
        <v>856</v>
      </c>
      <c r="HGD97" s="1675" t="s">
        <v>856</v>
      </c>
      <c r="HGE97" s="1675" t="s">
        <v>856</v>
      </c>
      <c r="HGF97" s="1675" t="s">
        <v>856</v>
      </c>
      <c r="HGG97" s="1675" t="s">
        <v>856</v>
      </c>
      <c r="HGH97" s="1675" t="s">
        <v>856</v>
      </c>
      <c r="HGI97" s="1675" t="s">
        <v>856</v>
      </c>
      <c r="HGJ97" s="1675" t="s">
        <v>856</v>
      </c>
      <c r="HGK97" s="1675" t="s">
        <v>856</v>
      </c>
      <c r="HGL97" s="1675" t="s">
        <v>856</v>
      </c>
      <c r="HGM97" s="1675" t="s">
        <v>856</v>
      </c>
      <c r="HGN97" s="1675" t="s">
        <v>856</v>
      </c>
      <c r="HGO97" s="1675" t="s">
        <v>856</v>
      </c>
      <c r="HGP97" s="1675" t="s">
        <v>856</v>
      </c>
      <c r="HGQ97" s="1675" t="s">
        <v>856</v>
      </c>
      <c r="HGR97" s="1675" t="s">
        <v>856</v>
      </c>
      <c r="HGS97" s="1675" t="s">
        <v>856</v>
      </c>
      <c r="HGT97" s="1675" t="s">
        <v>856</v>
      </c>
      <c r="HGU97" s="1675" t="s">
        <v>856</v>
      </c>
      <c r="HGV97" s="1675" t="s">
        <v>856</v>
      </c>
      <c r="HGW97" s="1675" t="s">
        <v>856</v>
      </c>
      <c r="HGX97" s="1675" t="s">
        <v>856</v>
      </c>
      <c r="HGY97" s="1675" t="s">
        <v>856</v>
      </c>
      <c r="HGZ97" s="1675" t="s">
        <v>856</v>
      </c>
      <c r="HHA97" s="1675" t="s">
        <v>856</v>
      </c>
      <c r="HHB97" s="1675" t="s">
        <v>856</v>
      </c>
      <c r="HHC97" s="1675" t="s">
        <v>856</v>
      </c>
      <c r="HHD97" s="1675" t="s">
        <v>856</v>
      </c>
      <c r="HHE97" s="1675" t="s">
        <v>856</v>
      </c>
      <c r="HHF97" s="1675" t="s">
        <v>856</v>
      </c>
      <c r="HHG97" s="1675" t="s">
        <v>856</v>
      </c>
      <c r="HHH97" s="1675" t="s">
        <v>856</v>
      </c>
      <c r="HHI97" s="1675" t="s">
        <v>856</v>
      </c>
      <c r="HHJ97" s="1675" t="s">
        <v>856</v>
      </c>
      <c r="HHK97" s="1675" t="s">
        <v>856</v>
      </c>
      <c r="HHL97" s="1675" t="s">
        <v>856</v>
      </c>
      <c r="HHM97" s="1675" t="s">
        <v>856</v>
      </c>
      <c r="HHN97" s="1675" t="s">
        <v>856</v>
      </c>
      <c r="HHO97" s="1675" t="s">
        <v>856</v>
      </c>
      <c r="HHP97" s="1675" t="s">
        <v>856</v>
      </c>
      <c r="HHQ97" s="1675" t="s">
        <v>856</v>
      </c>
      <c r="HHR97" s="1675" t="s">
        <v>856</v>
      </c>
      <c r="HHS97" s="1675" t="s">
        <v>856</v>
      </c>
      <c r="HHT97" s="1675" t="s">
        <v>856</v>
      </c>
      <c r="HHU97" s="1675" t="s">
        <v>856</v>
      </c>
      <c r="HHV97" s="1675" t="s">
        <v>856</v>
      </c>
      <c r="HHW97" s="1675" t="s">
        <v>856</v>
      </c>
      <c r="HHX97" s="1675" t="s">
        <v>856</v>
      </c>
      <c r="HHY97" s="1675" t="s">
        <v>856</v>
      </c>
      <c r="HHZ97" s="1675" t="s">
        <v>856</v>
      </c>
      <c r="HIA97" s="1675" t="s">
        <v>856</v>
      </c>
      <c r="HIB97" s="1675" t="s">
        <v>856</v>
      </c>
      <c r="HIC97" s="1675" t="s">
        <v>856</v>
      </c>
      <c r="HID97" s="1675" t="s">
        <v>856</v>
      </c>
      <c r="HIE97" s="1675" t="s">
        <v>856</v>
      </c>
      <c r="HIF97" s="1675" t="s">
        <v>856</v>
      </c>
      <c r="HIG97" s="1675" t="s">
        <v>856</v>
      </c>
      <c r="HIH97" s="1675" t="s">
        <v>856</v>
      </c>
      <c r="HII97" s="1675" t="s">
        <v>856</v>
      </c>
      <c r="HIJ97" s="1675" t="s">
        <v>856</v>
      </c>
      <c r="HIK97" s="1675" t="s">
        <v>856</v>
      </c>
      <c r="HIL97" s="1675" t="s">
        <v>856</v>
      </c>
      <c r="HIM97" s="1675" t="s">
        <v>856</v>
      </c>
      <c r="HIN97" s="1675" t="s">
        <v>856</v>
      </c>
      <c r="HIO97" s="1675" t="s">
        <v>856</v>
      </c>
      <c r="HIP97" s="1675" t="s">
        <v>856</v>
      </c>
      <c r="HIQ97" s="1675" t="s">
        <v>856</v>
      </c>
      <c r="HIR97" s="1675" t="s">
        <v>856</v>
      </c>
      <c r="HIS97" s="1675" t="s">
        <v>856</v>
      </c>
      <c r="HIT97" s="1675" t="s">
        <v>856</v>
      </c>
      <c r="HIU97" s="1675" t="s">
        <v>856</v>
      </c>
      <c r="HIV97" s="1675" t="s">
        <v>856</v>
      </c>
      <c r="HIW97" s="1675" t="s">
        <v>856</v>
      </c>
      <c r="HIX97" s="1675" t="s">
        <v>856</v>
      </c>
      <c r="HIY97" s="1675" t="s">
        <v>856</v>
      </c>
      <c r="HIZ97" s="1675" t="s">
        <v>856</v>
      </c>
      <c r="HJA97" s="1675" t="s">
        <v>856</v>
      </c>
      <c r="HJB97" s="1675" t="s">
        <v>856</v>
      </c>
      <c r="HJC97" s="1675" t="s">
        <v>856</v>
      </c>
      <c r="HJD97" s="1675" t="s">
        <v>856</v>
      </c>
      <c r="HJE97" s="1675" t="s">
        <v>856</v>
      </c>
      <c r="HJF97" s="1675" t="s">
        <v>856</v>
      </c>
      <c r="HJG97" s="1675" t="s">
        <v>856</v>
      </c>
      <c r="HJH97" s="1675" t="s">
        <v>856</v>
      </c>
      <c r="HJI97" s="1675" t="s">
        <v>856</v>
      </c>
      <c r="HJJ97" s="1675" t="s">
        <v>856</v>
      </c>
      <c r="HJK97" s="1675" t="s">
        <v>856</v>
      </c>
      <c r="HJL97" s="1675" t="s">
        <v>856</v>
      </c>
      <c r="HJM97" s="1675" t="s">
        <v>856</v>
      </c>
      <c r="HJN97" s="1675" t="s">
        <v>856</v>
      </c>
      <c r="HJO97" s="1675" t="s">
        <v>856</v>
      </c>
      <c r="HJP97" s="1675" t="s">
        <v>856</v>
      </c>
      <c r="HJQ97" s="1675" t="s">
        <v>856</v>
      </c>
      <c r="HJR97" s="1675" t="s">
        <v>856</v>
      </c>
      <c r="HJS97" s="1675" t="s">
        <v>856</v>
      </c>
      <c r="HJT97" s="1675" t="s">
        <v>856</v>
      </c>
      <c r="HJU97" s="1675" t="s">
        <v>856</v>
      </c>
      <c r="HJV97" s="1675" t="s">
        <v>856</v>
      </c>
      <c r="HJW97" s="1675" t="s">
        <v>856</v>
      </c>
      <c r="HJX97" s="1675" t="s">
        <v>856</v>
      </c>
      <c r="HJY97" s="1675" t="s">
        <v>856</v>
      </c>
      <c r="HJZ97" s="1675" t="s">
        <v>856</v>
      </c>
      <c r="HKA97" s="1675" t="s">
        <v>856</v>
      </c>
      <c r="HKB97" s="1675" t="s">
        <v>856</v>
      </c>
      <c r="HKC97" s="1675" t="s">
        <v>856</v>
      </c>
      <c r="HKD97" s="1675" t="s">
        <v>856</v>
      </c>
      <c r="HKE97" s="1675" t="s">
        <v>856</v>
      </c>
      <c r="HKF97" s="1675" t="s">
        <v>856</v>
      </c>
      <c r="HKG97" s="1675" t="s">
        <v>856</v>
      </c>
      <c r="HKH97" s="1675" t="s">
        <v>856</v>
      </c>
      <c r="HKI97" s="1675" t="s">
        <v>856</v>
      </c>
      <c r="HKJ97" s="1675" t="s">
        <v>856</v>
      </c>
      <c r="HKK97" s="1675" t="s">
        <v>856</v>
      </c>
      <c r="HKL97" s="1675" t="s">
        <v>856</v>
      </c>
      <c r="HKM97" s="1675" t="s">
        <v>856</v>
      </c>
      <c r="HKN97" s="1675" t="s">
        <v>856</v>
      </c>
      <c r="HKO97" s="1675" t="s">
        <v>856</v>
      </c>
      <c r="HKP97" s="1675" t="s">
        <v>856</v>
      </c>
      <c r="HKQ97" s="1675" t="s">
        <v>856</v>
      </c>
      <c r="HKR97" s="1675" t="s">
        <v>856</v>
      </c>
      <c r="HKS97" s="1675" t="s">
        <v>856</v>
      </c>
      <c r="HKT97" s="1675" t="s">
        <v>856</v>
      </c>
      <c r="HKU97" s="1675" t="s">
        <v>856</v>
      </c>
      <c r="HKV97" s="1675" t="s">
        <v>856</v>
      </c>
      <c r="HKW97" s="1675" t="s">
        <v>856</v>
      </c>
      <c r="HKX97" s="1675" t="s">
        <v>856</v>
      </c>
      <c r="HKY97" s="1675" t="s">
        <v>856</v>
      </c>
      <c r="HKZ97" s="1675" t="s">
        <v>856</v>
      </c>
      <c r="HLA97" s="1675" t="s">
        <v>856</v>
      </c>
      <c r="HLB97" s="1675" t="s">
        <v>856</v>
      </c>
      <c r="HLC97" s="1675" t="s">
        <v>856</v>
      </c>
      <c r="HLD97" s="1675" t="s">
        <v>856</v>
      </c>
      <c r="HLE97" s="1675" t="s">
        <v>856</v>
      </c>
      <c r="HLF97" s="1675" t="s">
        <v>856</v>
      </c>
      <c r="HLG97" s="1675" t="s">
        <v>856</v>
      </c>
      <c r="HLH97" s="1675" t="s">
        <v>856</v>
      </c>
      <c r="HLI97" s="1675" t="s">
        <v>856</v>
      </c>
      <c r="HLJ97" s="1675" t="s">
        <v>856</v>
      </c>
      <c r="HLK97" s="1675" t="s">
        <v>856</v>
      </c>
      <c r="HLL97" s="1675" t="s">
        <v>856</v>
      </c>
      <c r="HLM97" s="1675" t="s">
        <v>856</v>
      </c>
      <c r="HLN97" s="1675" t="s">
        <v>856</v>
      </c>
      <c r="HLO97" s="1675" t="s">
        <v>856</v>
      </c>
      <c r="HLP97" s="1675" t="s">
        <v>856</v>
      </c>
      <c r="HLQ97" s="1675" t="s">
        <v>856</v>
      </c>
      <c r="HLR97" s="1675" t="s">
        <v>856</v>
      </c>
      <c r="HLS97" s="1675" t="s">
        <v>856</v>
      </c>
      <c r="HLT97" s="1675" t="s">
        <v>856</v>
      </c>
      <c r="HLU97" s="1675" t="s">
        <v>856</v>
      </c>
      <c r="HLV97" s="1675" t="s">
        <v>856</v>
      </c>
      <c r="HLW97" s="1675" t="s">
        <v>856</v>
      </c>
      <c r="HLX97" s="1675" t="s">
        <v>856</v>
      </c>
      <c r="HLY97" s="1675" t="s">
        <v>856</v>
      </c>
      <c r="HLZ97" s="1675" t="s">
        <v>856</v>
      </c>
      <c r="HMA97" s="1675" t="s">
        <v>856</v>
      </c>
      <c r="HMB97" s="1675" t="s">
        <v>856</v>
      </c>
      <c r="HMC97" s="1675" t="s">
        <v>856</v>
      </c>
      <c r="HMD97" s="1675" t="s">
        <v>856</v>
      </c>
      <c r="HME97" s="1675" t="s">
        <v>856</v>
      </c>
      <c r="HMF97" s="1675" t="s">
        <v>856</v>
      </c>
      <c r="HMG97" s="1675" t="s">
        <v>856</v>
      </c>
      <c r="HMH97" s="1675" t="s">
        <v>856</v>
      </c>
      <c r="HMI97" s="1675" t="s">
        <v>856</v>
      </c>
      <c r="HMJ97" s="1675" t="s">
        <v>856</v>
      </c>
      <c r="HMK97" s="1675" t="s">
        <v>856</v>
      </c>
      <c r="HML97" s="1675" t="s">
        <v>856</v>
      </c>
      <c r="HMM97" s="1675" t="s">
        <v>856</v>
      </c>
      <c r="HMN97" s="1675" t="s">
        <v>856</v>
      </c>
      <c r="HMO97" s="1675" t="s">
        <v>856</v>
      </c>
      <c r="HMP97" s="1675" t="s">
        <v>856</v>
      </c>
      <c r="HMQ97" s="1675" t="s">
        <v>856</v>
      </c>
      <c r="HMR97" s="1675" t="s">
        <v>856</v>
      </c>
      <c r="HMS97" s="1675" t="s">
        <v>856</v>
      </c>
      <c r="HMT97" s="1675" t="s">
        <v>856</v>
      </c>
      <c r="HMU97" s="1675" t="s">
        <v>856</v>
      </c>
      <c r="HMV97" s="1675" t="s">
        <v>856</v>
      </c>
      <c r="HMW97" s="1675" t="s">
        <v>856</v>
      </c>
      <c r="HMX97" s="1675" t="s">
        <v>856</v>
      </c>
      <c r="HMY97" s="1675" t="s">
        <v>856</v>
      </c>
      <c r="HMZ97" s="1675" t="s">
        <v>856</v>
      </c>
      <c r="HNA97" s="1675" t="s">
        <v>856</v>
      </c>
      <c r="HNB97" s="1675" t="s">
        <v>856</v>
      </c>
      <c r="HNC97" s="1675" t="s">
        <v>856</v>
      </c>
      <c r="HND97" s="1675" t="s">
        <v>856</v>
      </c>
      <c r="HNE97" s="1675" t="s">
        <v>856</v>
      </c>
      <c r="HNF97" s="1675" t="s">
        <v>856</v>
      </c>
      <c r="HNG97" s="1675" t="s">
        <v>856</v>
      </c>
      <c r="HNH97" s="1675" t="s">
        <v>856</v>
      </c>
      <c r="HNI97" s="1675" t="s">
        <v>856</v>
      </c>
      <c r="HNJ97" s="1675" t="s">
        <v>856</v>
      </c>
      <c r="HNK97" s="1675" t="s">
        <v>856</v>
      </c>
      <c r="HNL97" s="1675" t="s">
        <v>856</v>
      </c>
      <c r="HNM97" s="1675" t="s">
        <v>856</v>
      </c>
      <c r="HNN97" s="1675" t="s">
        <v>856</v>
      </c>
      <c r="HNO97" s="1675" t="s">
        <v>856</v>
      </c>
      <c r="HNP97" s="1675" t="s">
        <v>856</v>
      </c>
      <c r="HNQ97" s="1675" t="s">
        <v>856</v>
      </c>
      <c r="HNR97" s="1675" t="s">
        <v>856</v>
      </c>
      <c r="HNS97" s="1675" t="s">
        <v>856</v>
      </c>
      <c r="HNT97" s="1675" t="s">
        <v>856</v>
      </c>
      <c r="HNU97" s="1675" t="s">
        <v>856</v>
      </c>
      <c r="HNV97" s="1675" t="s">
        <v>856</v>
      </c>
      <c r="HNW97" s="1675" t="s">
        <v>856</v>
      </c>
      <c r="HNX97" s="1675" t="s">
        <v>856</v>
      </c>
      <c r="HNY97" s="1675" t="s">
        <v>856</v>
      </c>
      <c r="HNZ97" s="1675" t="s">
        <v>856</v>
      </c>
      <c r="HOA97" s="1675" t="s">
        <v>856</v>
      </c>
      <c r="HOB97" s="1675" t="s">
        <v>856</v>
      </c>
      <c r="HOC97" s="1675" t="s">
        <v>856</v>
      </c>
      <c r="HOD97" s="1675" t="s">
        <v>856</v>
      </c>
      <c r="HOE97" s="1675" t="s">
        <v>856</v>
      </c>
      <c r="HOF97" s="1675" t="s">
        <v>856</v>
      </c>
      <c r="HOG97" s="1675" t="s">
        <v>856</v>
      </c>
      <c r="HOH97" s="1675" t="s">
        <v>856</v>
      </c>
      <c r="HOI97" s="1675" t="s">
        <v>856</v>
      </c>
      <c r="HOJ97" s="1675" t="s">
        <v>856</v>
      </c>
      <c r="HOK97" s="1675" t="s">
        <v>856</v>
      </c>
      <c r="HOL97" s="1675" t="s">
        <v>856</v>
      </c>
      <c r="HOM97" s="1675" t="s">
        <v>856</v>
      </c>
      <c r="HON97" s="1675" t="s">
        <v>856</v>
      </c>
      <c r="HOO97" s="1675" t="s">
        <v>856</v>
      </c>
      <c r="HOP97" s="1675" t="s">
        <v>856</v>
      </c>
      <c r="HOQ97" s="1675" t="s">
        <v>856</v>
      </c>
      <c r="HOR97" s="1675" t="s">
        <v>856</v>
      </c>
      <c r="HOS97" s="1675" t="s">
        <v>856</v>
      </c>
      <c r="HOT97" s="1675" t="s">
        <v>856</v>
      </c>
      <c r="HOU97" s="1675" t="s">
        <v>856</v>
      </c>
      <c r="HOV97" s="1675" t="s">
        <v>856</v>
      </c>
      <c r="HOW97" s="1675" t="s">
        <v>856</v>
      </c>
      <c r="HOX97" s="1675" t="s">
        <v>856</v>
      </c>
      <c r="HOY97" s="1675" t="s">
        <v>856</v>
      </c>
      <c r="HOZ97" s="1675" t="s">
        <v>856</v>
      </c>
      <c r="HPA97" s="1675" t="s">
        <v>856</v>
      </c>
      <c r="HPB97" s="1675" t="s">
        <v>856</v>
      </c>
      <c r="HPC97" s="1675" t="s">
        <v>856</v>
      </c>
      <c r="HPD97" s="1675" t="s">
        <v>856</v>
      </c>
      <c r="HPE97" s="1675" t="s">
        <v>856</v>
      </c>
      <c r="HPF97" s="1675" t="s">
        <v>856</v>
      </c>
      <c r="HPG97" s="1675" t="s">
        <v>856</v>
      </c>
      <c r="HPH97" s="1675" t="s">
        <v>856</v>
      </c>
      <c r="HPI97" s="1675" t="s">
        <v>856</v>
      </c>
      <c r="HPJ97" s="1675" t="s">
        <v>856</v>
      </c>
      <c r="HPK97" s="1675" t="s">
        <v>856</v>
      </c>
      <c r="HPL97" s="1675" t="s">
        <v>856</v>
      </c>
      <c r="HPM97" s="1675" t="s">
        <v>856</v>
      </c>
      <c r="HPN97" s="1675" t="s">
        <v>856</v>
      </c>
      <c r="HPO97" s="1675" t="s">
        <v>856</v>
      </c>
      <c r="HPP97" s="1675" t="s">
        <v>856</v>
      </c>
      <c r="HPQ97" s="1675" t="s">
        <v>856</v>
      </c>
      <c r="HPR97" s="1675" t="s">
        <v>856</v>
      </c>
      <c r="HPS97" s="1675" t="s">
        <v>856</v>
      </c>
      <c r="HPT97" s="1675" t="s">
        <v>856</v>
      </c>
      <c r="HPU97" s="1675" t="s">
        <v>856</v>
      </c>
      <c r="HPV97" s="1675" t="s">
        <v>856</v>
      </c>
      <c r="HPW97" s="1675" t="s">
        <v>856</v>
      </c>
      <c r="HPX97" s="1675" t="s">
        <v>856</v>
      </c>
      <c r="HPY97" s="1675" t="s">
        <v>856</v>
      </c>
      <c r="HPZ97" s="1675" t="s">
        <v>856</v>
      </c>
      <c r="HQA97" s="1675" t="s">
        <v>856</v>
      </c>
      <c r="HQB97" s="1675" t="s">
        <v>856</v>
      </c>
      <c r="HQC97" s="1675" t="s">
        <v>856</v>
      </c>
      <c r="HQD97" s="1675" t="s">
        <v>856</v>
      </c>
      <c r="HQE97" s="1675" t="s">
        <v>856</v>
      </c>
      <c r="HQF97" s="1675" t="s">
        <v>856</v>
      </c>
      <c r="HQG97" s="1675" t="s">
        <v>856</v>
      </c>
      <c r="HQH97" s="1675" t="s">
        <v>856</v>
      </c>
      <c r="HQI97" s="1675" t="s">
        <v>856</v>
      </c>
      <c r="HQJ97" s="1675" t="s">
        <v>856</v>
      </c>
      <c r="HQK97" s="1675" t="s">
        <v>856</v>
      </c>
      <c r="HQL97" s="1675" t="s">
        <v>856</v>
      </c>
      <c r="HQM97" s="1675" t="s">
        <v>856</v>
      </c>
      <c r="HQN97" s="1675" t="s">
        <v>856</v>
      </c>
      <c r="HQO97" s="1675" t="s">
        <v>856</v>
      </c>
      <c r="HQP97" s="1675" t="s">
        <v>856</v>
      </c>
      <c r="HQQ97" s="1675" t="s">
        <v>856</v>
      </c>
      <c r="HQR97" s="1675" t="s">
        <v>856</v>
      </c>
      <c r="HQS97" s="1675" t="s">
        <v>856</v>
      </c>
      <c r="HQT97" s="1675" t="s">
        <v>856</v>
      </c>
      <c r="HQU97" s="1675" t="s">
        <v>856</v>
      </c>
      <c r="HQV97" s="1675" t="s">
        <v>856</v>
      </c>
      <c r="HQW97" s="1675" t="s">
        <v>856</v>
      </c>
      <c r="HQX97" s="1675" t="s">
        <v>856</v>
      </c>
      <c r="HQY97" s="1675" t="s">
        <v>856</v>
      </c>
      <c r="HQZ97" s="1675" t="s">
        <v>856</v>
      </c>
      <c r="HRA97" s="1675" t="s">
        <v>856</v>
      </c>
      <c r="HRB97" s="1675" t="s">
        <v>856</v>
      </c>
      <c r="HRC97" s="1675" t="s">
        <v>856</v>
      </c>
      <c r="HRD97" s="1675" t="s">
        <v>856</v>
      </c>
      <c r="HRE97" s="1675" t="s">
        <v>856</v>
      </c>
      <c r="HRF97" s="1675" t="s">
        <v>856</v>
      </c>
      <c r="HRG97" s="1675" t="s">
        <v>856</v>
      </c>
      <c r="HRH97" s="1675" t="s">
        <v>856</v>
      </c>
      <c r="HRI97" s="1675" t="s">
        <v>856</v>
      </c>
      <c r="HRJ97" s="1675" t="s">
        <v>856</v>
      </c>
      <c r="HRK97" s="1675" t="s">
        <v>856</v>
      </c>
      <c r="HRL97" s="1675" t="s">
        <v>856</v>
      </c>
      <c r="HRM97" s="1675" t="s">
        <v>856</v>
      </c>
      <c r="HRN97" s="1675" t="s">
        <v>856</v>
      </c>
      <c r="HRO97" s="1675" t="s">
        <v>856</v>
      </c>
      <c r="HRP97" s="1675" t="s">
        <v>856</v>
      </c>
      <c r="HRQ97" s="1675" t="s">
        <v>856</v>
      </c>
      <c r="HRR97" s="1675" t="s">
        <v>856</v>
      </c>
      <c r="HRS97" s="1675" t="s">
        <v>856</v>
      </c>
      <c r="HRT97" s="1675" t="s">
        <v>856</v>
      </c>
      <c r="HRU97" s="1675" t="s">
        <v>856</v>
      </c>
      <c r="HRV97" s="1675" t="s">
        <v>856</v>
      </c>
      <c r="HRW97" s="1675" t="s">
        <v>856</v>
      </c>
      <c r="HRX97" s="1675" t="s">
        <v>856</v>
      </c>
      <c r="HRY97" s="1675" t="s">
        <v>856</v>
      </c>
      <c r="HRZ97" s="1675" t="s">
        <v>856</v>
      </c>
      <c r="HSA97" s="1675" t="s">
        <v>856</v>
      </c>
      <c r="HSB97" s="1675" t="s">
        <v>856</v>
      </c>
      <c r="HSC97" s="1675" t="s">
        <v>856</v>
      </c>
      <c r="HSD97" s="1675" t="s">
        <v>856</v>
      </c>
      <c r="HSE97" s="1675" t="s">
        <v>856</v>
      </c>
      <c r="HSF97" s="1675" t="s">
        <v>856</v>
      </c>
      <c r="HSG97" s="1675" t="s">
        <v>856</v>
      </c>
      <c r="HSH97" s="1675" t="s">
        <v>856</v>
      </c>
      <c r="HSI97" s="1675" t="s">
        <v>856</v>
      </c>
      <c r="HSJ97" s="1675" t="s">
        <v>856</v>
      </c>
      <c r="HSK97" s="1675" t="s">
        <v>856</v>
      </c>
      <c r="HSL97" s="1675" t="s">
        <v>856</v>
      </c>
      <c r="HSM97" s="1675" t="s">
        <v>856</v>
      </c>
      <c r="HSN97" s="1675" t="s">
        <v>856</v>
      </c>
      <c r="HSO97" s="1675" t="s">
        <v>856</v>
      </c>
      <c r="HSP97" s="1675" t="s">
        <v>856</v>
      </c>
      <c r="HSQ97" s="1675" t="s">
        <v>856</v>
      </c>
      <c r="HSR97" s="1675" t="s">
        <v>856</v>
      </c>
      <c r="HSS97" s="1675" t="s">
        <v>856</v>
      </c>
      <c r="HST97" s="1675" t="s">
        <v>856</v>
      </c>
      <c r="HSU97" s="1675" t="s">
        <v>856</v>
      </c>
      <c r="HSV97" s="1675" t="s">
        <v>856</v>
      </c>
      <c r="HSW97" s="1675" t="s">
        <v>856</v>
      </c>
      <c r="HSX97" s="1675" t="s">
        <v>856</v>
      </c>
      <c r="HSY97" s="1675" t="s">
        <v>856</v>
      </c>
      <c r="HSZ97" s="1675" t="s">
        <v>856</v>
      </c>
      <c r="HTA97" s="1675" t="s">
        <v>856</v>
      </c>
      <c r="HTB97" s="1675" t="s">
        <v>856</v>
      </c>
      <c r="HTC97" s="1675" t="s">
        <v>856</v>
      </c>
      <c r="HTD97" s="1675" t="s">
        <v>856</v>
      </c>
      <c r="HTE97" s="1675" t="s">
        <v>856</v>
      </c>
      <c r="HTF97" s="1675" t="s">
        <v>856</v>
      </c>
      <c r="HTG97" s="1675" t="s">
        <v>856</v>
      </c>
      <c r="HTH97" s="1675" t="s">
        <v>856</v>
      </c>
      <c r="HTI97" s="1675" t="s">
        <v>856</v>
      </c>
      <c r="HTJ97" s="1675" t="s">
        <v>856</v>
      </c>
      <c r="HTK97" s="1675" t="s">
        <v>856</v>
      </c>
      <c r="HTL97" s="1675" t="s">
        <v>856</v>
      </c>
      <c r="HTM97" s="1675" t="s">
        <v>856</v>
      </c>
      <c r="HTN97" s="1675" t="s">
        <v>856</v>
      </c>
      <c r="HTO97" s="1675" t="s">
        <v>856</v>
      </c>
      <c r="HTP97" s="1675" t="s">
        <v>856</v>
      </c>
      <c r="HTQ97" s="1675" t="s">
        <v>856</v>
      </c>
      <c r="HTR97" s="1675" t="s">
        <v>856</v>
      </c>
      <c r="HTS97" s="1675" t="s">
        <v>856</v>
      </c>
      <c r="HTT97" s="1675" t="s">
        <v>856</v>
      </c>
      <c r="HTU97" s="1675" t="s">
        <v>856</v>
      </c>
      <c r="HTV97" s="1675" t="s">
        <v>856</v>
      </c>
      <c r="HTW97" s="1675" t="s">
        <v>856</v>
      </c>
      <c r="HTX97" s="1675" t="s">
        <v>856</v>
      </c>
      <c r="HTY97" s="1675" t="s">
        <v>856</v>
      </c>
      <c r="HTZ97" s="1675" t="s">
        <v>856</v>
      </c>
      <c r="HUA97" s="1675" t="s">
        <v>856</v>
      </c>
      <c r="HUB97" s="1675" t="s">
        <v>856</v>
      </c>
      <c r="HUC97" s="1675" t="s">
        <v>856</v>
      </c>
      <c r="HUD97" s="1675" t="s">
        <v>856</v>
      </c>
      <c r="HUE97" s="1675" t="s">
        <v>856</v>
      </c>
      <c r="HUF97" s="1675" t="s">
        <v>856</v>
      </c>
      <c r="HUG97" s="1675" t="s">
        <v>856</v>
      </c>
      <c r="HUH97" s="1675" t="s">
        <v>856</v>
      </c>
      <c r="HUI97" s="1675" t="s">
        <v>856</v>
      </c>
      <c r="HUJ97" s="1675" t="s">
        <v>856</v>
      </c>
      <c r="HUK97" s="1675" t="s">
        <v>856</v>
      </c>
      <c r="HUL97" s="1675" t="s">
        <v>856</v>
      </c>
      <c r="HUM97" s="1675" t="s">
        <v>856</v>
      </c>
      <c r="HUN97" s="1675" t="s">
        <v>856</v>
      </c>
      <c r="HUO97" s="1675" t="s">
        <v>856</v>
      </c>
      <c r="HUP97" s="1675" t="s">
        <v>856</v>
      </c>
      <c r="HUQ97" s="1675" t="s">
        <v>856</v>
      </c>
      <c r="HUR97" s="1675" t="s">
        <v>856</v>
      </c>
      <c r="HUS97" s="1675" t="s">
        <v>856</v>
      </c>
      <c r="HUT97" s="1675" t="s">
        <v>856</v>
      </c>
      <c r="HUU97" s="1675" t="s">
        <v>856</v>
      </c>
      <c r="HUV97" s="1675" t="s">
        <v>856</v>
      </c>
      <c r="HUW97" s="1675" t="s">
        <v>856</v>
      </c>
      <c r="HUX97" s="1675" t="s">
        <v>856</v>
      </c>
      <c r="HUY97" s="1675" t="s">
        <v>856</v>
      </c>
      <c r="HUZ97" s="1675" t="s">
        <v>856</v>
      </c>
      <c r="HVA97" s="1675" t="s">
        <v>856</v>
      </c>
      <c r="HVB97" s="1675" t="s">
        <v>856</v>
      </c>
      <c r="HVC97" s="1675" t="s">
        <v>856</v>
      </c>
      <c r="HVD97" s="1675" t="s">
        <v>856</v>
      </c>
      <c r="HVE97" s="1675" t="s">
        <v>856</v>
      </c>
      <c r="HVF97" s="1675" t="s">
        <v>856</v>
      </c>
      <c r="HVG97" s="1675" t="s">
        <v>856</v>
      </c>
      <c r="HVH97" s="1675" t="s">
        <v>856</v>
      </c>
      <c r="HVI97" s="1675" t="s">
        <v>856</v>
      </c>
      <c r="HVJ97" s="1675" t="s">
        <v>856</v>
      </c>
      <c r="HVK97" s="1675" t="s">
        <v>856</v>
      </c>
      <c r="HVL97" s="1675" t="s">
        <v>856</v>
      </c>
      <c r="HVM97" s="1675" t="s">
        <v>856</v>
      </c>
      <c r="HVN97" s="1675" t="s">
        <v>856</v>
      </c>
      <c r="HVO97" s="1675" t="s">
        <v>856</v>
      </c>
      <c r="HVP97" s="1675" t="s">
        <v>856</v>
      </c>
      <c r="HVQ97" s="1675" t="s">
        <v>856</v>
      </c>
      <c r="HVR97" s="1675" t="s">
        <v>856</v>
      </c>
      <c r="HVS97" s="1675" t="s">
        <v>856</v>
      </c>
      <c r="HVT97" s="1675" t="s">
        <v>856</v>
      </c>
      <c r="HVU97" s="1675" t="s">
        <v>856</v>
      </c>
      <c r="HVV97" s="1675" t="s">
        <v>856</v>
      </c>
      <c r="HVW97" s="1675" t="s">
        <v>856</v>
      </c>
      <c r="HVX97" s="1675" t="s">
        <v>856</v>
      </c>
      <c r="HVY97" s="1675" t="s">
        <v>856</v>
      </c>
      <c r="HVZ97" s="1675" t="s">
        <v>856</v>
      </c>
      <c r="HWA97" s="1675" t="s">
        <v>856</v>
      </c>
      <c r="HWB97" s="1675" t="s">
        <v>856</v>
      </c>
      <c r="HWC97" s="1675" t="s">
        <v>856</v>
      </c>
      <c r="HWD97" s="1675" t="s">
        <v>856</v>
      </c>
      <c r="HWE97" s="1675" t="s">
        <v>856</v>
      </c>
      <c r="HWF97" s="1675" t="s">
        <v>856</v>
      </c>
      <c r="HWG97" s="1675" t="s">
        <v>856</v>
      </c>
      <c r="HWH97" s="1675" t="s">
        <v>856</v>
      </c>
      <c r="HWI97" s="1675" t="s">
        <v>856</v>
      </c>
      <c r="HWJ97" s="1675" t="s">
        <v>856</v>
      </c>
      <c r="HWK97" s="1675" t="s">
        <v>856</v>
      </c>
      <c r="HWL97" s="1675" t="s">
        <v>856</v>
      </c>
      <c r="HWM97" s="1675" t="s">
        <v>856</v>
      </c>
      <c r="HWN97" s="1675" t="s">
        <v>856</v>
      </c>
      <c r="HWO97" s="1675" t="s">
        <v>856</v>
      </c>
      <c r="HWP97" s="1675" t="s">
        <v>856</v>
      </c>
      <c r="HWQ97" s="1675" t="s">
        <v>856</v>
      </c>
      <c r="HWR97" s="1675" t="s">
        <v>856</v>
      </c>
      <c r="HWS97" s="1675" t="s">
        <v>856</v>
      </c>
      <c r="HWT97" s="1675" t="s">
        <v>856</v>
      </c>
      <c r="HWU97" s="1675" t="s">
        <v>856</v>
      </c>
      <c r="HWV97" s="1675" t="s">
        <v>856</v>
      </c>
      <c r="HWW97" s="1675" t="s">
        <v>856</v>
      </c>
      <c r="HWX97" s="1675" t="s">
        <v>856</v>
      </c>
      <c r="HWY97" s="1675" t="s">
        <v>856</v>
      </c>
      <c r="HWZ97" s="1675" t="s">
        <v>856</v>
      </c>
      <c r="HXA97" s="1675" t="s">
        <v>856</v>
      </c>
      <c r="HXB97" s="1675" t="s">
        <v>856</v>
      </c>
      <c r="HXC97" s="1675" t="s">
        <v>856</v>
      </c>
      <c r="HXD97" s="1675" t="s">
        <v>856</v>
      </c>
      <c r="HXE97" s="1675" t="s">
        <v>856</v>
      </c>
      <c r="HXF97" s="1675" t="s">
        <v>856</v>
      </c>
      <c r="HXG97" s="1675" t="s">
        <v>856</v>
      </c>
      <c r="HXH97" s="1675" t="s">
        <v>856</v>
      </c>
      <c r="HXI97" s="1675" t="s">
        <v>856</v>
      </c>
      <c r="HXJ97" s="1675" t="s">
        <v>856</v>
      </c>
      <c r="HXK97" s="1675" t="s">
        <v>856</v>
      </c>
      <c r="HXL97" s="1675" t="s">
        <v>856</v>
      </c>
      <c r="HXM97" s="1675" t="s">
        <v>856</v>
      </c>
      <c r="HXN97" s="1675" t="s">
        <v>856</v>
      </c>
      <c r="HXO97" s="1675" t="s">
        <v>856</v>
      </c>
      <c r="HXP97" s="1675" t="s">
        <v>856</v>
      </c>
      <c r="HXQ97" s="1675" t="s">
        <v>856</v>
      </c>
      <c r="HXR97" s="1675" t="s">
        <v>856</v>
      </c>
      <c r="HXS97" s="1675" t="s">
        <v>856</v>
      </c>
      <c r="HXT97" s="1675" t="s">
        <v>856</v>
      </c>
      <c r="HXU97" s="1675" t="s">
        <v>856</v>
      </c>
      <c r="HXV97" s="1675" t="s">
        <v>856</v>
      </c>
      <c r="HXW97" s="1675" t="s">
        <v>856</v>
      </c>
      <c r="HXX97" s="1675" t="s">
        <v>856</v>
      </c>
      <c r="HXY97" s="1675" t="s">
        <v>856</v>
      </c>
      <c r="HXZ97" s="1675" t="s">
        <v>856</v>
      </c>
      <c r="HYA97" s="1675" t="s">
        <v>856</v>
      </c>
      <c r="HYB97" s="1675" t="s">
        <v>856</v>
      </c>
      <c r="HYC97" s="1675" t="s">
        <v>856</v>
      </c>
      <c r="HYD97" s="1675" t="s">
        <v>856</v>
      </c>
      <c r="HYE97" s="1675" t="s">
        <v>856</v>
      </c>
      <c r="HYF97" s="1675" t="s">
        <v>856</v>
      </c>
      <c r="HYG97" s="1675" t="s">
        <v>856</v>
      </c>
      <c r="HYH97" s="1675" t="s">
        <v>856</v>
      </c>
      <c r="HYI97" s="1675" t="s">
        <v>856</v>
      </c>
      <c r="HYJ97" s="1675" t="s">
        <v>856</v>
      </c>
      <c r="HYK97" s="1675" t="s">
        <v>856</v>
      </c>
      <c r="HYL97" s="1675" t="s">
        <v>856</v>
      </c>
      <c r="HYM97" s="1675" t="s">
        <v>856</v>
      </c>
      <c r="HYN97" s="1675" t="s">
        <v>856</v>
      </c>
      <c r="HYO97" s="1675" t="s">
        <v>856</v>
      </c>
      <c r="HYP97" s="1675" t="s">
        <v>856</v>
      </c>
      <c r="HYQ97" s="1675" t="s">
        <v>856</v>
      </c>
      <c r="HYR97" s="1675" t="s">
        <v>856</v>
      </c>
      <c r="HYS97" s="1675" t="s">
        <v>856</v>
      </c>
      <c r="HYT97" s="1675" t="s">
        <v>856</v>
      </c>
      <c r="HYU97" s="1675" t="s">
        <v>856</v>
      </c>
      <c r="HYV97" s="1675" t="s">
        <v>856</v>
      </c>
      <c r="HYW97" s="1675" t="s">
        <v>856</v>
      </c>
      <c r="HYX97" s="1675" t="s">
        <v>856</v>
      </c>
      <c r="HYY97" s="1675" t="s">
        <v>856</v>
      </c>
      <c r="HYZ97" s="1675" t="s">
        <v>856</v>
      </c>
      <c r="HZA97" s="1675" t="s">
        <v>856</v>
      </c>
      <c r="HZB97" s="1675" t="s">
        <v>856</v>
      </c>
      <c r="HZC97" s="1675" t="s">
        <v>856</v>
      </c>
      <c r="HZD97" s="1675" t="s">
        <v>856</v>
      </c>
      <c r="HZE97" s="1675" t="s">
        <v>856</v>
      </c>
      <c r="HZF97" s="1675" t="s">
        <v>856</v>
      </c>
      <c r="HZG97" s="1675" t="s">
        <v>856</v>
      </c>
      <c r="HZH97" s="1675" t="s">
        <v>856</v>
      </c>
      <c r="HZI97" s="1675" t="s">
        <v>856</v>
      </c>
      <c r="HZJ97" s="1675" t="s">
        <v>856</v>
      </c>
      <c r="HZK97" s="1675" t="s">
        <v>856</v>
      </c>
      <c r="HZL97" s="1675" t="s">
        <v>856</v>
      </c>
      <c r="HZM97" s="1675" t="s">
        <v>856</v>
      </c>
      <c r="HZN97" s="1675" t="s">
        <v>856</v>
      </c>
      <c r="HZO97" s="1675" t="s">
        <v>856</v>
      </c>
      <c r="HZP97" s="1675" t="s">
        <v>856</v>
      </c>
      <c r="HZQ97" s="1675" t="s">
        <v>856</v>
      </c>
      <c r="HZR97" s="1675" t="s">
        <v>856</v>
      </c>
      <c r="HZS97" s="1675" t="s">
        <v>856</v>
      </c>
      <c r="HZT97" s="1675" t="s">
        <v>856</v>
      </c>
      <c r="HZU97" s="1675" t="s">
        <v>856</v>
      </c>
      <c r="HZV97" s="1675" t="s">
        <v>856</v>
      </c>
      <c r="HZW97" s="1675" t="s">
        <v>856</v>
      </c>
      <c r="HZX97" s="1675" t="s">
        <v>856</v>
      </c>
      <c r="HZY97" s="1675" t="s">
        <v>856</v>
      </c>
      <c r="HZZ97" s="1675" t="s">
        <v>856</v>
      </c>
      <c r="IAA97" s="1675" t="s">
        <v>856</v>
      </c>
      <c r="IAB97" s="1675" t="s">
        <v>856</v>
      </c>
      <c r="IAC97" s="1675" t="s">
        <v>856</v>
      </c>
      <c r="IAD97" s="1675" t="s">
        <v>856</v>
      </c>
      <c r="IAE97" s="1675" t="s">
        <v>856</v>
      </c>
      <c r="IAF97" s="1675" t="s">
        <v>856</v>
      </c>
      <c r="IAG97" s="1675" t="s">
        <v>856</v>
      </c>
      <c r="IAH97" s="1675" t="s">
        <v>856</v>
      </c>
      <c r="IAI97" s="1675" t="s">
        <v>856</v>
      </c>
      <c r="IAJ97" s="1675" t="s">
        <v>856</v>
      </c>
      <c r="IAK97" s="1675" t="s">
        <v>856</v>
      </c>
      <c r="IAL97" s="1675" t="s">
        <v>856</v>
      </c>
      <c r="IAM97" s="1675" t="s">
        <v>856</v>
      </c>
      <c r="IAN97" s="1675" t="s">
        <v>856</v>
      </c>
      <c r="IAO97" s="1675" t="s">
        <v>856</v>
      </c>
      <c r="IAP97" s="1675" t="s">
        <v>856</v>
      </c>
      <c r="IAQ97" s="1675" t="s">
        <v>856</v>
      </c>
      <c r="IAR97" s="1675" t="s">
        <v>856</v>
      </c>
      <c r="IAS97" s="1675" t="s">
        <v>856</v>
      </c>
      <c r="IAT97" s="1675" t="s">
        <v>856</v>
      </c>
      <c r="IAU97" s="1675" t="s">
        <v>856</v>
      </c>
      <c r="IAV97" s="1675" t="s">
        <v>856</v>
      </c>
      <c r="IAW97" s="1675" t="s">
        <v>856</v>
      </c>
      <c r="IAX97" s="1675" t="s">
        <v>856</v>
      </c>
      <c r="IAY97" s="1675" t="s">
        <v>856</v>
      </c>
      <c r="IAZ97" s="1675" t="s">
        <v>856</v>
      </c>
      <c r="IBA97" s="1675" t="s">
        <v>856</v>
      </c>
      <c r="IBB97" s="1675" t="s">
        <v>856</v>
      </c>
      <c r="IBC97" s="1675" t="s">
        <v>856</v>
      </c>
      <c r="IBD97" s="1675" t="s">
        <v>856</v>
      </c>
      <c r="IBE97" s="1675" t="s">
        <v>856</v>
      </c>
      <c r="IBF97" s="1675" t="s">
        <v>856</v>
      </c>
      <c r="IBG97" s="1675" t="s">
        <v>856</v>
      </c>
      <c r="IBH97" s="1675" t="s">
        <v>856</v>
      </c>
      <c r="IBI97" s="1675" t="s">
        <v>856</v>
      </c>
      <c r="IBJ97" s="1675" t="s">
        <v>856</v>
      </c>
      <c r="IBK97" s="1675" t="s">
        <v>856</v>
      </c>
      <c r="IBL97" s="1675" t="s">
        <v>856</v>
      </c>
      <c r="IBM97" s="1675" t="s">
        <v>856</v>
      </c>
      <c r="IBN97" s="1675" t="s">
        <v>856</v>
      </c>
      <c r="IBO97" s="1675" t="s">
        <v>856</v>
      </c>
      <c r="IBP97" s="1675" t="s">
        <v>856</v>
      </c>
      <c r="IBQ97" s="1675" t="s">
        <v>856</v>
      </c>
      <c r="IBR97" s="1675" t="s">
        <v>856</v>
      </c>
      <c r="IBS97" s="1675" t="s">
        <v>856</v>
      </c>
      <c r="IBT97" s="1675" t="s">
        <v>856</v>
      </c>
      <c r="IBU97" s="1675" t="s">
        <v>856</v>
      </c>
      <c r="IBV97" s="1675" t="s">
        <v>856</v>
      </c>
      <c r="IBW97" s="1675" t="s">
        <v>856</v>
      </c>
      <c r="IBX97" s="1675" t="s">
        <v>856</v>
      </c>
      <c r="IBY97" s="1675" t="s">
        <v>856</v>
      </c>
      <c r="IBZ97" s="1675" t="s">
        <v>856</v>
      </c>
      <c r="ICA97" s="1675" t="s">
        <v>856</v>
      </c>
      <c r="ICB97" s="1675" t="s">
        <v>856</v>
      </c>
      <c r="ICC97" s="1675" t="s">
        <v>856</v>
      </c>
      <c r="ICD97" s="1675" t="s">
        <v>856</v>
      </c>
      <c r="ICE97" s="1675" t="s">
        <v>856</v>
      </c>
      <c r="ICF97" s="1675" t="s">
        <v>856</v>
      </c>
      <c r="ICG97" s="1675" t="s">
        <v>856</v>
      </c>
      <c r="ICH97" s="1675" t="s">
        <v>856</v>
      </c>
      <c r="ICI97" s="1675" t="s">
        <v>856</v>
      </c>
      <c r="ICJ97" s="1675" t="s">
        <v>856</v>
      </c>
      <c r="ICK97" s="1675" t="s">
        <v>856</v>
      </c>
      <c r="ICL97" s="1675" t="s">
        <v>856</v>
      </c>
      <c r="ICM97" s="1675" t="s">
        <v>856</v>
      </c>
      <c r="ICN97" s="1675" t="s">
        <v>856</v>
      </c>
      <c r="ICO97" s="1675" t="s">
        <v>856</v>
      </c>
      <c r="ICP97" s="1675" t="s">
        <v>856</v>
      </c>
      <c r="ICQ97" s="1675" t="s">
        <v>856</v>
      </c>
      <c r="ICR97" s="1675" t="s">
        <v>856</v>
      </c>
      <c r="ICS97" s="1675" t="s">
        <v>856</v>
      </c>
      <c r="ICT97" s="1675" t="s">
        <v>856</v>
      </c>
      <c r="ICU97" s="1675" t="s">
        <v>856</v>
      </c>
      <c r="ICV97" s="1675" t="s">
        <v>856</v>
      </c>
      <c r="ICW97" s="1675" t="s">
        <v>856</v>
      </c>
      <c r="ICX97" s="1675" t="s">
        <v>856</v>
      </c>
      <c r="ICY97" s="1675" t="s">
        <v>856</v>
      </c>
      <c r="ICZ97" s="1675" t="s">
        <v>856</v>
      </c>
      <c r="IDA97" s="1675" t="s">
        <v>856</v>
      </c>
      <c r="IDB97" s="1675" t="s">
        <v>856</v>
      </c>
      <c r="IDC97" s="1675" t="s">
        <v>856</v>
      </c>
      <c r="IDD97" s="1675" t="s">
        <v>856</v>
      </c>
      <c r="IDE97" s="1675" t="s">
        <v>856</v>
      </c>
      <c r="IDF97" s="1675" t="s">
        <v>856</v>
      </c>
      <c r="IDG97" s="1675" t="s">
        <v>856</v>
      </c>
      <c r="IDH97" s="1675" t="s">
        <v>856</v>
      </c>
      <c r="IDI97" s="1675" t="s">
        <v>856</v>
      </c>
      <c r="IDJ97" s="1675" t="s">
        <v>856</v>
      </c>
      <c r="IDK97" s="1675" t="s">
        <v>856</v>
      </c>
      <c r="IDL97" s="1675" t="s">
        <v>856</v>
      </c>
      <c r="IDM97" s="1675" t="s">
        <v>856</v>
      </c>
      <c r="IDN97" s="1675" t="s">
        <v>856</v>
      </c>
      <c r="IDO97" s="1675" t="s">
        <v>856</v>
      </c>
      <c r="IDP97" s="1675" t="s">
        <v>856</v>
      </c>
      <c r="IDQ97" s="1675" t="s">
        <v>856</v>
      </c>
      <c r="IDR97" s="1675" t="s">
        <v>856</v>
      </c>
      <c r="IDS97" s="1675" t="s">
        <v>856</v>
      </c>
      <c r="IDT97" s="1675" t="s">
        <v>856</v>
      </c>
      <c r="IDU97" s="1675" t="s">
        <v>856</v>
      </c>
      <c r="IDV97" s="1675" t="s">
        <v>856</v>
      </c>
      <c r="IDW97" s="1675" t="s">
        <v>856</v>
      </c>
      <c r="IDX97" s="1675" t="s">
        <v>856</v>
      </c>
      <c r="IDY97" s="1675" t="s">
        <v>856</v>
      </c>
      <c r="IDZ97" s="1675" t="s">
        <v>856</v>
      </c>
      <c r="IEA97" s="1675" t="s">
        <v>856</v>
      </c>
      <c r="IEB97" s="1675" t="s">
        <v>856</v>
      </c>
      <c r="IEC97" s="1675" t="s">
        <v>856</v>
      </c>
      <c r="IED97" s="1675" t="s">
        <v>856</v>
      </c>
      <c r="IEE97" s="1675" t="s">
        <v>856</v>
      </c>
      <c r="IEF97" s="1675" t="s">
        <v>856</v>
      </c>
      <c r="IEG97" s="1675" t="s">
        <v>856</v>
      </c>
      <c r="IEH97" s="1675" t="s">
        <v>856</v>
      </c>
      <c r="IEI97" s="1675" t="s">
        <v>856</v>
      </c>
      <c r="IEJ97" s="1675" t="s">
        <v>856</v>
      </c>
      <c r="IEK97" s="1675" t="s">
        <v>856</v>
      </c>
      <c r="IEL97" s="1675" t="s">
        <v>856</v>
      </c>
      <c r="IEM97" s="1675" t="s">
        <v>856</v>
      </c>
      <c r="IEN97" s="1675" t="s">
        <v>856</v>
      </c>
      <c r="IEO97" s="1675" t="s">
        <v>856</v>
      </c>
      <c r="IEP97" s="1675" t="s">
        <v>856</v>
      </c>
      <c r="IEQ97" s="1675" t="s">
        <v>856</v>
      </c>
      <c r="IER97" s="1675" t="s">
        <v>856</v>
      </c>
      <c r="IES97" s="1675" t="s">
        <v>856</v>
      </c>
      <c r="IET97" s="1675" t="s">
        <v>856</v>
      </c>
      <c r="IEU97" s="1675" t="s">
        <v>856</v>
      </c>
      <c r="IEV97" s="1675" t="s">
        <v>856</v>
      </c>
      <c r="IEW97" s="1675" t="s">
        <v>856</v>
      </c>
      <c r="IEX97" s="1675" t="s">
        <v>856</v>
      </c>
      <c r="IEY97" s="1675" t="s">
        <v>856</v>
      </c>
      <c r="IEZ97" s="1675" t="s">
        <v>856</v>
      </c>
      <c r="IFA97" s="1675" t="s">
        <v>856</v>
      </c>
      <c r="IFB97" s="1675" t="s">
        <v>856</v>
      </c>
      <c r="IFC97" s="1675" t="s">
        <v>856</v>
      </c>
      <c r="IFD97" s="1675" t="s">
        <v>856</v>
      </c>
      <c r="IFE97" s="1675" t="s">
        <v>856</v>
      </c>
      <c r="IFF97" s="1675" t="s">
        <v>856</v>
      </c>
      <c r="IFG97" s="1675" t="s">
        <v>856</v>
      </c>
      <c r="IFH97" s="1675" t="s">
        <v>856</v>
      </c>
      <c r="IFI97" s="1675" t="s">
        <v>856</v>
      </c>
      <c r="IFJ97" s="1675" t="s">
        <v>856</v>
      </c>
      <c r="IFK97" s="1675" t="s">
        <v>856</v>
      </c>
      <c r="IFL97" s="1675" t="s">
        <v>856</v>
      </c>
      <c r="IFM97" s="1675" t="s">
        <v>856</v>
      </c>
      <c r="IFN97" s="1675" t="s">
        <v>856</v>
      </c>
      <c r="IFO97" s="1675" t="s">
        <v>856</v>
      </c>
      <c r="IFP97" s="1675" t="s">
        <v>856</v>
      </c>
      <c r="IFQ97" s="1675" t="s">
        <v>856</v>
      </c>
      <c r="IFR97" s="1675" t="s">
        <v>856</v>
      </c>
      <c r="IFS97" s="1675" t="s">
        <v>856</v>
      </c>
      <c r="IFT97" s="1675" t="s">
        <v>856</v>
      </c>
      <c r="IFU97" s="1675" t="s">
        <v>856</v>
      </c>
      <c r="IFV97" s="1675" t="s">
        <v>856</v>
      </c>
      <c r="IFW97" s="1675" t="s">
        <v>856</v>
      </c>
      <c r="IFX97" s="1675" t="s">
        <v>856</v>
      </c>
      <c r="IFY97" s="1675" t="s">
        <v>856</v>
      </c>
      <c r="IFZ97" s="1675" t="s">
        <v>856</v>
      </c>
      <c r="IGA97" s="1675" t="s">
        <v>856</v>
      </c>
      <c r="IGB97" s="1675" t="s">
        <v>856</v>
      </c>
      <c r="IGC97" s="1675" t="s">
        <v>856</v>
      </c>
      <c r="IGD97" s="1675" t="s">
        <v>856</v>
      </c>
      <c r="IGE97" s="1675" t="s">
        <v>856</v>
      </c>
      <c r="IGF97" s="1675" t="s">
        <v>856</v>
      </c>
      <c r="IGG97" s="1675" t="s">
        <v>856</v>
      </c>
      <c r="IGH97" s="1675" t="s">
        <v>856</v>
      </c>
      <c r="IGI97" s="1675" t="s">
        <v>856</v>
      </c>
      <c r="IGJ97" s="1675" t="s">
        <v>856</v>
      </c>
      <c r="IGK97" s="1675" t="s">
        <v>856</v>
      </c>
      <c r="IGL97" s="1675" t="s">
        <v>856</v>
      </c>
      <c r="IGM97" s="1675" t="s">
        <v>856</v>
      </c>
      <c r="IGN97" s="1675" t="s">
        <v>856</v>
      </c>
      <c r="IGO97" s="1675" t="s">
        <v>856</v>
      </c>
      <c r="IGP97" s="1675" t="s">
        <v>856</v>
      </c>
      <c r="IGQ97" s="1675" t="s">
        <v>856</v>
      </c>
      <c r="IGR97" s="1675" t="s">
        <v>856</v>
      </c>
      <c r="IGS97" s="1675" t="s">
        <v>856</v>
      </c>
      <c r="IGT97" s="1675" t="s">
        <v>856</v>
      </c>
      <c r="IGU97" s="1675" t="s">
        <v>856</v>
      </c>
      <c r="IGV97" s="1675" t="s">
        <v>856</v>
      </c>
      <c r="IGW97" s="1675" t="s">
        <v>856</v>
      </c>
      <c r="IGX97" s="1675" t="s">
        <v>856</v>
      </c>
      <c r="IGY97" s="1675" t="s">
        <v>856</v>
      </c>
      <c r="IGZ97" s="1675" t="s">
        <v>856</v>
      </c>
      <c r="IHA97" s="1675" t="s">
        <v>856</v>
      </c>
      <c r="IHB97" s="1675" t="s">
        <v>856</v>
      </c>
      <c r="IHC97" s="1675" t="s">
        <v>856</v>
      </c>
      <c r="IHD97" s="1675" t="s">
        <v>856</v>
      </c>
      <c r="IHE97" s="1675" t="s">
        <v>856</v>
      </c>
      <c r="IHF97" s="1675" t="s">
        <v>856</v>
      </c>
      <c r="IHG97" s="1675" t="s">
        <v>856</v>
      </c>
      <c r="IHH97" s="1675" t="s">
        <v>856</v>
      </c>
      <c r="IHI97" s="1675" t="s">
        <v>856</v>
      </c>
      <c r="IHJ97" s="1675" t="s">
        <v>856</v>
      </c>
      <c r="IHK97" s="1675" t="s">
        <v>856</v>
      </c>
      <c r="IHL97" s="1675" t="s">
        <v>856</v>
      </c>
      <c r="IHM97" s="1675" t="s">
        <v>856</v>
      </c>
      <c r="IHN97" s="1675" t="s">
        <v>856</v>
      </c>
      <c r="IHO97" s="1675" t="s">
        <v>856</v>
      </c>
      <c r="IHP97" s="1675" t="s">
        <v>856</v>
      </c>
      <c r="IHQ97" s="1675" t="s">
        <v>856</v>
      </c>
      <c r="IHR97" s="1675" t="s">
        <v>856</v>
      </c>
      <c r="IHS97" s="1675" t="s">
        <v>856</v>
      </c>
      <c r="IHT97" s="1675" t="s">
        <v>856</v>
      </c>
      <c r="IHU97" s="1675" t="s">
        <v>856</v>
      </c>
      <c r="IHV97" s="1675" t="s">
        <v>856</v>
      </c>
      <c r="IHW97" s="1675" t="s">
        <v>856</v>
      </c>
      <c r="IHX97" s="1675" t="s">
        <v>856</v>
      </c>
      <c r="IHY97" s="1675" t="s">
        <v>856</v>
      </c>
      <c r="IHZ97" s="1675" t="s">
        <v>856</v>
      </c>
      <c r="IIA97" s="1675" t="s">
        <v>856</v>
      </c>
      <c r="IIB97" s="1675" t="s">
        <v>856</v>
      </c>
      <c r="IIC97" s="1675" t="s">
        <v>856</v>
      </c>
      <c r="IID97" s="1675" t="s">
        <v>856</v>
      </c>
      <c r="IIE97" s="1675" t="s">
        <v>856</v>
      </c>
      <c r="IIF97" s="1675" t="s">
        <v>856</v>
      </c>
      <c r="IIG97" s="1675" t="s">
        <v>856</v>
      </c>
      <c r="IIH97" s="1675" t="s">
        <v>856</v>
      </c>
      <c r="III97" s="1675" t="s">
        <v>856</v>
      </c>
      <c r="IIJ97" s="1675" t="s">
        <v>856</v>
      </c>
      <c r="IIK97" s="1675" t="s">
        <v>856</v>
      </c>
      <c r="IIL97" s="1675" t="s">
        <v>856</v>
      </c>
      <c r="IIM97" s="1675" t="s">
        <v>856</v>
      </c>
      <c r="IIN97" s="1675" t="s">
        <v>856</v>
      </c>
      <c r="IIO97" s="1675" t="s">
        <v>856</v>
      </c>
      <c r="IIP97" s="1675" t="s">
        <v>856</v>
      </c>
      <c r="IIQ97" s="1675" t="s">
        <v>856</v>
      </c>
      <c r="IIR97" s="1675" t="s">
        <v>856</v>
      </c>
      <c r="IIS97" s="1675" t="s">
        <v>856</v>
      </c>
      <c r="IIT97" s="1675" t="s">
        <v>856</v>
      </c>
      <c r="IIU97" s="1675" t="s">
        <v>856</v>
      </c>
      <c r="IIV97" s="1675" t="s">
        <v>856</v>
      </c>
      <c r="IIW97" s="1675" t="s">
        <v>856</v>
      </c>
      <c r="IIX97" s="1675" t="s">
        <v>856</v>
      </c>
      <c r="IIY97" s="1675" t="s">
        <v>856</v>
      </c>
      <c r="IIZ97" s="1675" t="s">
        <v>856</v>
      </c>
      <c r="IJA97" s="1675" t="s">
        <v>856</v>
      </c>
      <c r="IJB97" s="1675" t="s">
        <v>856</v>
      </c>
      <c r="IJC97" s="1675" t="s">
        <v>856</v>
      </c>
      <c r="IJD97" s="1675" t="s">
        <v>856</v>
      </c>
      <c r="IJE97" s="1675" t="s">
        <v>856</v>
      </c>
      <c r="IJF97" s="1675" t="s">
        <v>856</v>
      </c>
      <c r="IJG97" s="1675" t="s">
        <v>856</v>
      </c>
      <c r="IJH97" s="1675" t="s">
        <v>856</v>
      </c>
      <c r="IJI97" s="1675" t="s">
        <v>856</v>
      </c>
      <c r="IJJ97" s="1675" t="s">
        <v>856</v>
      </c>
      <c r="IJK97" s="1675" t="s">
        <v>856</v>
      </c>
      <c r="IJL97" s="1675" t="s">
        <v>856</v>
      </c>
      <c r="IJM97" s="1675" t="s">
        <v>856</v>
      </c>
      <c r="IJN97" s="1675" t="s">
        <v>856</v>
      </c>
      <c r="IJO97" s="1675" t="s">
        <v>856</v>
      </c>
      <c r="IJP97" s="1675" t="s">
        <v>856</v>
      </c>
      <c r="IJQ97" s="1675" t="s">
        <v>856</v>
      </c>
      <c r="IJR97" s="1675" t="s">
        <v>856</v>
      </c>
      <c r="IJS97" s="1675" t="s">
        <v>856</v>
      </c>
      <c r="IJT97" s="1675" t="s">
        <v>856</v>
      </c>
      <c r="IJU97" s="1675" t="s">
        <v>856</v>
      </c>
      <c r="IJV97" s="1675" t="s">
        <v>856</v>
      </c>
      <c r="IJW97" s="1675" t="s">
        <v>856</v>
      </c>
      <c r="IJX97" s="1675" t="s">
        <v>856</v>
      </c>
      <c r="IJY97" s="1675" t="s">
        <v>856</v>
      </c>
      <c r="IJZ97" s="1675" t="s">
        <v>856</v>
      </c>
      <c r="IKA97" s="1675" t="s">
        <v>856</v>
      </c>
      <c r="IKB97" s="1675" t="s">
        <v>856</v>
      </c>
      <c r="IKC97" s="1675" t="s">
        <v>856</v>
      </c>
      <c r="IKD97" s="1675" t="s">
        <v>856</v>
      </c>
      <c r="IKE97" s="1675" t="s">
        <v>856</v>
      </c>
      <c r="IKF97" s="1675" t="s">
        <v>856</v>
      </c>
      <c r="IKG97" s="1675" t="s">
        <v>856</v>
      </c>
      <c r="IKH97" s="1675" t="s">
        <v>856</v>
      </c>
      <c r="IKI97" s="1675" t="s">
        <v>856</v>
      </c>
      <c r="IKJ97" s="1675" t="s">
        <v>856</v>
      </c>
      <c r="IKK97" s="1675" t="s">
        <v>856</v>
      </c>
      <c r="IKL97" s="1675" t="s">
        <v>856</v>
      </c>
      <c r="IKM97" s="1675" t="s">
        <v>856</v>
      </c>
      <c r="IKN97" s="1675" t="s">
        <v>856</v>
      </c>
      <c r="IKO97" s="1675" t="s">
        <v>856</v>
      </c>
      <c r="IKP97" s="1675" t="s">
        <v>856</v>
      </c>
      <c r="IKQ97" s="1675" t="s">
        <v>856</v>
      </c>
      <c r="IKR97" s="1675" t="s">
        <v>856</v>
      </c>
      <c r="IKS97" s="1675" t="s">
        <v>856</v>
      </c>
      <c r="IKT97" s="1675" t="s">
        <v>856</v>
      </c>
      <c r="IKU97" s="1675" t="s">
        <v>856</v>
      </c>
      <c r="IKV97" s="1675" t="s">
        <v>856</v>
      </c>
      <c r="IKW97" s="1675" t="s">
        <v>856</v>
      </c>
      <c r="IKX97" s="1675" t="s">
        <v>856</v>
      </c>
      <c r="IKY97" s="1675" t="s">
        <v>856</v>
      </c>
      <c r="IKZ97" s="1675" t="s">
        <v>856</v>
      </c>
      <c r="ILA97" s="1675" t="s">
        <v>856</v>
      </c>
      <c r="ILB97" s="1675" t="s">
        <v>856</v>
      </c>
      <c r="ILC97" s="1675" t="s">
        <v>856</v>
      </c>
      <c r="ILD97" s="1675" t="s">
        <v>856</v>
      </c>
      <c r="ILE97" s="1675" t="s">
        <v>856</v>
      </c>
      <c r="ILF97" s="1675" t="s">
        <v>856</v>
      </c>
      <c r="ILG97" s="1675" t="s">
        <v>856</v>
      </c>
      <c r="ILH97" s="1675" t="s">
        <v>856</v>
      </c>
      <c r="ILI97" s="1675" t="s">
        <v>856</v>
      </c>
      <c r="ILJ97" s="1675" t="s">
        <v>856</v>
      </c>
      <c r="ILK97" s="1675" t="s">
        <v>856</v>
      </c>
      <c r="ILL97" s="1675" t="s">
        <v>856</v>
      </c>
      <c r="ILM97" s="1675" t="s">
        <v>856</v>
      </c>
      <c r="ILN97" s="1675" t="s">
        <v>856</v>
      </c>
      <c r="ILO97" s="1675" t="s">
        <v>856</v>
      </c>
      <c r="ILP97" s="1675" t="s">
        <v>856</v>
      </c>
      <c r="ILQ97" s="1675" t="s">
        <v>856</v>
      </c>
      <c r="ILR97" s="1675" t="s">
        <v>856</v>
      </c>
      <c r="ILS97" s="1675" t="s">
        <v>856</v>
      </c>
      <c r="ILT97" s="1675" t="s">
        <v>856</v>
      </c>
      <c r="ILU97" s="1675" t="s">
        <v>856</v>
      </c>
      <c r="ILV97" s="1675" t="s">
        <v>856</v>
      </c>
      <c r="ILW97" s="1675" t="s">
        <v>856</v>
      </c>
      <c r="ILX97" s="1675" t="s">
        <v>856</v>
      </c>
      <c r="ILY97" s="1675" t="s">
        <v>856</v>
      </c>
      <c r="ILZ97" s="1675" t="s">
        <v>856</v>
      </c>
      <c r="IMA97" s="1675" t="s">
        <v>856</v>
      </c>
      <c r="IMB97" s="1675" t="s">
        <v>856</v>
      </c>
      <c r="IMC97" s="1675" t="s">
        <v>856</v>
      </c>
      <c r="IMD97" s="1675" t="s">
        <v>856</v>
      </c>
      <c r="IME97" s="1675" t="s">
        <v>856</v>
      </c>
      <c r="IMF97" s="1675" t="s">
        <v>856</v>
      </c>
      <c r="IMG97" s="1675" t="s">
        <v>856</v>
      </c>
      <c r="IMH97" s="1675" t="s">
        <v>856</v>
      </c>
      <c r="IMI97" s="1675" t="s">
        <v>856</v>
      </c>
      <c r="IMJ97" s="1675" t="s">
        <v>856</v>
      </c>
      <c r="IMK97" s="1675" t="s">
        <v>856</v>
      </c>
      <c r="IML97" s="1675" t="s">
        <v>856</v>
      </c>
      <c r="IMM97" s="1675" t="s">
        <v>856</v>
      </c>
      <c r="IMN97" s="1675" t="s">
        <v>856</v>
      </c>
      <c r="IMO97" s="1675" t="s">
        <v>856</v>
      </c>
      <c r="IMP97" s="1675" t="s">
        <v>856</v>
      </c>
      <c r="IMQ97" s="1675" t="s">
        <v>856</v>
      </c>
      <c r="IMR97" s="1675" t="s">
        <v>856</v>
      </c>
      <c r="IMS97" s="1675" t="s">
        <v>856</v>
      </c>
      <c r="IMT97" s="1675" t="s">
        <v>856</v>
      </c>
      <c r="IMU97" s="1675" t="s">
        <v>856</v>
      </c>
      <c r="IMV97" s="1675" t="s">
        <v>856</v>
      </c>
      <c r="IMW97" s="1675" t="s">
        <v>856</v>
      </c>
      <c r="IMX97" s="1675" t="s">
        <v>856</v>
      </c>
      <c r="IMY97" s="1675" t="s">
        <v>856</v>
      </c>
      <c r="IMZ97" s="1675" t="s">
        <v>856</v>
      </c>
      <c r="INA97" s="1675" t="s">
        <v>856</v>
      </c>
      <c r="INB97" s="1675" t="s">
        <v>856</v>
      </c>
      <c r="INC97" s="1675" t="s">
        <v>856</v>
      </c>
      <c r="IND97" s="1675" t="s">
        <v>856</v>
      </c>
      <c r="INE97" s="1675" t="s">
        <v>856</v>
      </c>
      <c r="INF97" s="1675" t="s">
        <v>856</v>
      </c>
      <c r="ING97" s="1675" t="s">
        <v>856</v>
      </c>
      <c r="INH97" s="1675" t="s">
        <v>856</v>
      </c>
      <c r="INI97" s="1675" t="s">
        <v>856</v>
      </c>
      <c r="INJ97" s="1675" t="s">
        <v>856</v>
      </c>
      <c r="INK97" s="1675" t="s">
        <v>856</v>
      </c>
      <c r="INL97" s="1675" t="s">
        <v>856</v>
      </c>
      <c r="INM97" s="1675" t="s">
        <v>856</v>
      </c>
      <c r="INN97" s="1675" t="s">
        <v>856</v>
      </c>
      <c r="INO97" s="1675" t="s">
        <v>856</v>
      </c>
      <c r="INP97" s="1675" t="s">
        <v>856</v>
      </c>
      <c r="INQ97" s="1675" t="s">
        <v>856</v>
      </c>
      <c r="INR97" s="1675" t="s">
        <v>856</v>
      </c>
      <c r="INS97" s="1675" t="s">
        <v>856</v>
      </c>
      <c r="INT97" s="1675" t="s">
        <v>856</v>
      </c>
      <c r="INU97" s="1675" t="s">
        <v>856</v>
      </c>
      <c r="INV97" s="1675" t="s">
        <v>856</v>
      </c>
      <c r="INW97" s="1675" t="s">
        <v>856</v>
      </c>
      <c r="INX97" s="1675" t="s">
        <v>856</v>
      </c>
      <c r="INY97" s="1675" t="s">
        <v>856</v>
      </c>
      <c r="INZ97" s="1675" t="s">
        <v>856</v>
      </c>
      <c r="IOA97" s="1675" t="s">
        <v>856</v>
      </c>
      <c r="IOB97" s="1675" t="s">
        <v>856</v>
      </c>
      <c r="IOC97" s="1675" t="s">
        <v>856</v>
      </c>
      <c r="IOD97" s="1675" t="s">
        <v>856</v>
      </c>
      <c r="IOE97" s="1675" t="s">
        <v>856</v>
      </c>
      <c r="IOF97" s="1675" t="s">
        <v>856</v>
      </c>
      <c r="IOG97" s="1675" t="s">
        <v>856</v>
      </c>
      <c r="IOH97" s="1675" t="s">
        <v>856</v>
      </c>
      <c r="IOI97" s="1675" t="s">
        <v>856</v>
      </c>
      <c r="IOJ97" s="1675" t="s">
        <v>856</v>
      </c>
      <c r="IOK97" s="1675" t="s">
        <v>856</v>
      </c>
      <c r="IOL97" s="1675" t="s">
        <v>856</v>
      </c>
      <c r="IOM97" s="1675" t="s">
        <v>856</v>
      </c>
      <c r="ION97" s="1675" t="s">
        <v>856</v>
      </c>
      <c r="IOO97" s="1675" t="s">
        <v>856</v>
      </c>
      <c r="IOP97" s="1675" t="s">
        <v>856</v>
      </c>
      <c r="IOQ97" s="1675" t="s">
        <v>856</v>
      </c>
      <c r="IOR97" s="1675" t="s">
        <v>856</v>
      </c>
      <c r="IOS97" s="1675" t="s">
        <v>856</v>
      </c>
      <c r="IOT97" s="1675" t="s">
        <v>856</v>
      </c>
      <c r="IOU97" s="1675" t="s">
        <v>856</v>
      </c>
      <c r="IOV97" s="1675" t="s">
        <v>856</v>
      </c>
      <c r="IOW97" s="1675" t="s">
        <v>856</v>
      </c>
      <c r="IOX97" s="1675" t="s">
        <v>856</v>
      </c>
      <c r="IOY97" s="1675" t="s">
        <v>856</v>
      </c>
      <c r="IOZ97" s="1675" t="s">
        <v>856</v>
      </c>
      <c r="IPA97" s="1675" t="s">
        <v>856</v>
      </c>
      <c r="IPB97" s="1675" t="s">
        <v>856</v>
      </c>
      <c r="IPC97" s="1675" t="s">
        <v>856</v>
      </c>
      <c r="IPD97" s="1675" t="s">
        <v>856</v>
      </c>
      <c r="IPE97" s="1675" t="s">
        <v>856</v>
      </c>
      <c r="IPF97" s="1675" t="s">
        <v>856</v>
      </c>
      <c r="IPG97" s="1675" t="s">
        <v>856</v>
      </c>
      <c r="IPH97" s="1675" t="s">
        <v>856</v>
      </c>
      <c r="IPI97" s="1675" t="s">
        <v>856</v>
      </c>
      <c r="IPJ97" s="1675" t="s">
        <v>856</v>
      </c>
      <c r="IPK97" s="1675" t="s">
        <v>856</v>
      </c>
      <c r="IPL97" s="1675" t="s">
        <v>856</v>
      </c>
      <c r="IPM97" s="1675" t="s">
        <v>856</v>
      </c>
      <c r="IPN97" s="1675" t="s">
        <v>856</v>
      </c>
      <c r="IPO97" s="1675" t="s">
        <v>856</v>
      </c>
      <c r="IPP97" s="1675" t="s">
        <v>856</v>
      </c>
      <c r="IPQ97" s="1675" t="s">
        <v>856</v>
      </c>
      <c r="IPR97" s="1675" t="s">
        <v>856</v>
      </c>
      <c r="IPS97" s="1675" t="s">
        <v>856</v>
      </c>
      <c r="IPT97" s="1675" t="s">
        <v>856</v>
      </c>
      <c r="IPU97" s="1675" t="s">
        <v>856</v>
      </c>
      <c r="IPV97" s="1675" t="s">
        <v>856</v>
      </c>
      <c r="IPW97" s="1675" t="s">
        <v>856</v>
      </c>
      <c r="IPX97" s="1675" t="s">
        <v>856</v>
      </c>
      <c r="IPY97" s="1675" t="s">
        <v>856</v>
      </c>
      <c r="IPZ97" s="1675" t="s">
        <v>856</v>
      </c>
      <c r="IQA97" s="1675" t="s">
        <v>856</v>
      </c>
      <c r="IQB97" s="1675" t="s">
        <v>856</v>
      </c>
      <c r="IQC97" s="1675" t="s">
        <v>856</v>
      </c>
      <c r="IQD97" s="1675" t="s">
        <v>856</v>
      </c>
      <c r="IQE97" s="1675" t="s">
        <v>856</v>
      </c>
      <c r="IQF97" s="1675" t="s">
        <v>856</v>
      </c>
      <c r="IQG97" s="1675" t="s">
        <v>856</v>
      </c>
      <c r="IQH97" s="1675" t="s">
        <v>856</v>
      </c>
      <c r="IQI97" s="1675" t="s">
        <v>856</v>
      </c>
      <c r="IQJ97" s="1675" t="s">
        <v>856</v>
      </c>
      <c r="IQK97" s="1675" t="s">
        <v>856</v>
      </c>
      <c r="IQL97" s="1675" t="s">
        <v>856</v>
      </c>
      <c r="IQM97" s="1675" t="s">
        <v>856</v>
      </c>
      <c r="IQN97" s="1675" t="s">
        <v>856</v>
      </c>
      <c r="IQO97" s="1675" t="s">
        <v>856</v>
      </c>
      <c r="IQP97" s="1675" t="s">
        <v>856</v>
      </c>
      <c r="IQQ97" s="1675" t="s">
        <v>856</v>
      </c>
      <c r="IQR97" s="1675" t="s">
        <v>856</v>
      </c>
      <c r="IQS97" s="1675" t="s">
        <v>856</v>
      </c>
      <c r="IQT97" s="1675" t="s">
        <v>856</v>
      </c>
      <c r="IQU97" s="1675" t="s">
        <v>856</v>
      </c>
      <c r="IQV97" s="1675" t="s">
        <v>856</v>
      </c>
      <c r="IQW97" s="1675" t="s">
        <v>856</v>
      </c>
      <c r="IQX97" s="1675" t="s">
        <v>856</v>
      </c>
      <c r="IQY97" s="1675" t="s">
        <v>856</v>
      </c>
      <c r="IQZ97" s="1675" t="s">
        <v>856</v>
      </c>
      <c r="IRA97" s="1675" t="s">
        <v>856</v>
      </c>
      <c r="IRB97" s="1675" t="s">
        <v>856</v>
      </c>
      <c r="IRC97" s="1675" t="s">
        <v>856</v>
      </c>
      <c r="IRD97" s="1675" t="s">
        <v>856</v>
      </c>
      <c r="IRE97" s="1675" t="s">
        <v>856</v>
      </c>
      <c r="IRF97" s="1675" t="s">
        <v>856</v>
      </c>
      <c r="IRG97" s="1675" t="s">
        <v>856</v>
      </c>
      <c r="IRH97" s="1675" t="s">
        <v>856</v>
      </c>
      <c r="IRI97" s="1675" t="s">
        <v>856</v>
      </c>
      <c r="IRJ97" s="1675" t="s">
        <v>856</v>
      </c>
      <c r="IRK97" s="1675" t="s">
        <v>856</v>
      </c>
      <c r="IRL97" s="1675" t="s">
        <v>856</v>
      </c>
      <c r="IRM97" s="1675" t="s">
        <v>856</v>
      </c>
      <c r="IRN97" s="1675" t="s">
        <v>856</v>
      </c>
      <c r="IRO97" s="1675" t="s">
        <v>856</v>
      </c>
      <c r="IRP97" s="1675" t="s">
        <v>856</v>
      </c>
      <c r="IRQ97" s="1675" t="s">
        <v>856</v>
      </c>
      <c r="IRR97" s="1675" t="s">
        <v>856</v>
      </c>
      <c r="IRS97" s="1675" t="s">
        <v>856</v>
      </c>
      <c r="IRT97" s="1675" t="s">
        <v>856</v>
      </c>
      <c r="IRU97" s="1675" t="s">
        <v>856</v>
      </c>
      <c r="IRV97" s="1675" t="s">
        <v>856</v>
      </c>
      <c r="IRW97" s="1675" t="s">
        <v>856</v>
      </c>
      <c r="IRX97" s="1675" t="s">
        <v>856</v>
      </c>
      <c r="IRY97" s="1675" t="s">
        <v>856</v>
      </c>
      <c r="IRZ97" s="1675" t="s">
        <v>856</v>
      </c>
      <c r="ISA97" s="1675" t="s">
        <v>856</v>
      </c>
      <c r="ISB97" s="1675" t="s">
        <v>856</v>
      </c>
      <c r="ISC97" s="1675" t="s">
        <v>856</v>
      </c>
      <c r="ISD97" s="1675" t="s">
        <v>856</v>
      </c>
      <c r="ISE97" s="1675" t="s">
        <v>856</v>
      </c>
      <c r="ISF97" s="1675" t="s">
        <v>856</v>
      </c>
      <c r="ISG97" s="1675" t="s">
        <v>856</v>
      </c>
      <c r="ISH97" s="1675" t="s">
        <v>856</v>
      </c>
      <c r="ISI97" s="1675" t="s">
        <v>856</v>
      </c>
      <c r="ISJ97" s="1675" t="s">
        <v>856</v>
      </c>
      <c r="ISK97" s="1675" t="s">
        <v>856</v>
      </c>
      <c r="ISL97" s="1675" t="s">
        <v>856</v>
      </c>
      <c r="ISM97" s="1675" t="s">
        <v>856</v>
      </c>
      <c r="ISN97" s="1675" t="s">
        <v>856</v>
      </c>
      <c r="ISO97" s="1675" t="s">
        <v>856</v>
      </c>
      <c r="ISP97" s="1675" t="s">
        <v>856</v>
      </c>
      <c r="ISQ97" s="1675" t="s">
        <v>856</v>
      </c>
      <c r="ISR97" s="1675" t="s">
        <v>856</v>
      </c>
      <c r="ISS97" s="1675" t="s">
        <v>856</v>
      </c>
      <c r="IST97" s="1675" t="s">
        <v>856</v>
      </c>
      <c r="ISU97" s="1675" t="s">
        <v>856</v>
      </c>
      <c r="ISV97" s="1675" t="s">
        <v>856</v>
      </c>
      <c r="ISW97" s="1675" t="s">
        <v>856</v>
      </c>
      <c r="ISX97" s="1675" t="s">
        <v>856</v>
      </c>
      <c r="ISY97" s="1675" t="s">
        <v>856</v>
      </c>
      <c r="ISZ97" s="1675" t="s">
        <v>856</v>
      </c>
      <c r="ITA97" s="1675" t="s">
        <v>856</v>
      </c>
      <c r="ITB97" s="1675" t="s">
        <v>856</v>
      </c>
      <c r="ITC97" s="1675" t="s">
        <v>856</v>
      </c>
      <c r="ITD97" s="1675" t="s">
        <v>856</v>
      </c>
      <c r="ITE97" s="1675" t="s">
        <v>856</v>
      </c>
      <c r="ITF97" s="1675" t="s">
        <v>856</v>
      </c>
      <c r="ITG97" s="1675" t="s">
        <v>856</v>
      </c>
      <c r="ITH97" s="1675" t="s">
        <v>856</v>
      </c>
      <c r="ITI97" s="1675" t="s">
        <v>856</v>
      </c>
      <c r="ITJ97" s="1675" t="s">
        <v>856</v>
      </c>
      <c r="ITK97" s="1675" t="s">
        <v>856</v>
      </c>
      <c r="ITL97" s="1675" t="s">
        <v>856</v>
      </c>
      <c r="ITM97" s="1675" t="s">
        <v>856</v>
      </c>
      <c r="ITN97" s="1675" t="s">
        <v>856</v>
      </c>
      <c r="ITO97" s="1675" t="s">
        <v>856</v>
      </c>
      <c r="ITP97" s="1675" t="s">
        <v>856</v>
      </c>
      <c r="ITQ97" s="1675" t="s">
        <v>856</v>
      </c>
      <c r="ITR97" s="1675" t="s">
        <v>856</v>
      </c>
      <c r="ITS97" s="1675" t="s">
        <v>856</v>
      </c>
      <c r="ITT97" s="1675" t="s">
        <v>856</v>
      </c>
      <c r="ITU97" s="1675" t="s">
        <v>856</v>
      </c>
      <c r="ITV97" s="1675" t="s">
        <v>856</v>
      </c>
      <c r="ITW97" s="1675" t="s">
        <v>856</v>
      </c>
      <c r="ITX97" s="1675" t="s">
        <v>856</v>
      </c>
      <c r="ITY97" s="1675" t="s">
        <v>856</v>
      </c>
      <c r="ITZ97" s="1675" t="s">
        <v>856</v>
      </c>
      <c r="IUA97" s="1675" t="s">
        <v>856</v>
      </c>
      <c r="IUB97" s="1675" t="s">
        <v>856</v>
      </c>
      <c r="IUC97" s="1675" t="s">
        <v>856</v>
      </c>
      <c r="IUD97" s="1675" t="s">
        <v>856</v>
      </c>
      <c r="IUE97" s="1675" t="s">
        <v>856</v>
      </c>
      <c r="IUF97" s="1675" t="s">
        <v>856</v>
      </c>
      <c r="IUG97" s="1675" t="s">
        <v>856</v>
      </c>
      <c r="IUH97" s="1675" t="s">
        <v>856</v>
      </c>
      <c r="IUI97" s="1675" t="s">
        <v>856</v>
      </c>
      <c r="IUJ97" s="1675" t="s">
        <v>856</v>
      </c>
      <c r="IUK97" s="1675" t="s">
        <v>856</v>
      </c>
      <c r="IUL97" s="1675" t="s">
        <v>856</v>
      </c>
      <c r="IUM97" s="1675" t="s">
        <v>856</v>
      </c>
      <c r="IUN97" s="1675" t="s">
        <v>856</v>
      </c>
      <c r="IUO97" s="1675" t="s">
        <v>856</v>
      </c>
      <c r="IUP97" s="1675" t="s">
        <v>856</v>
      </c>
      <c r="IUQ97" s="1675" t="s">
        <v>856</v>
      </c>
      <c r="IUR97" s="1675" t="s">
        <v>856</v>
      </c>
      <c r="IUS97" s="1675" t="s">
        <v>856</v>
      </c>
      <c r="IUT97" s="1675" t="s">
        <v>856</v>
      </c>
      <c r="IUU97" s="1675" t="s">
        <v>856</v>
      </c>
      <c r="IUV97" s="1675" t="s">
        <v>856</v>
      </c>
      <c r="IUW97" s="1675" t="s">
        <v>856</v>
      </c>
      <c r="IUX97" s="1675" t="s">
        <v>856</v>
      </c>
      <c r="IUY97" s="1675" t="s">
        <v>856</v>
      </c>
      <c r="IUZ97" s="1675" t="s">
        <v>856</v>
      </c>
      <c r="IVA97" s="1675" t="s">
        <v>856</v>
      </c>
      <c r="IVB97" s="1675" t="s">
        <v>856</v>
      </c>
      <c r="IVC97" s="1675" t="s">
        <v>856</v>
      </c>
      <c r="IVD97" s="1675" t="s">
        <v>856</v>
      </c>
      <c r="IVE97" s="1675" t="s">
        <v>856</v>
      </c>
      <c r="IVF97" s="1675" t="s">
        <v>856</v>
      </c>
      <c r="IVG97" s="1675" t="s">
        <v>856</v>
      </c>
      <c r="IVH97" s="1675" t="s">
        <v>856</v>
      </c>
      <c r="IVI97" s="1675" t="s">
        <v>856</v>
      </c>
      <c r="IVJ97" s="1675" t="s">
        <v>856</v>
      </c>
      <c r="IVK97" s="1675" t="s">
        <v>856</v>
      </c>
      <c r="IVL97" s="1675" t="s">
        <v>856</v>
      </c>
      <c r="IVM97" s="1675" t="s">
        <v>856</v>
      </c>
      <c r="IVN97" s="1675" t="s">
        <v>856</v>
      </c>
      <c r="IVO97" s="1675" t="s">
        <v>856</v>
      </c>
      <c r="IVP97" s="1675" t="s">
        <v>856</v>
      </c>
      <c r="IVQ97" s="1675" t="s">
        <v>856</v>
      </c>
      <c r="IVR97" s="1675" t="s">
        <v>856</v>
      </c>
      <c r="IVS97" s="1675" t="s">
        <v>856</v>
      </c>
      <c r="IVT97" s="1675" t="s">
        <v>856</v>
      </c>
      <c r="IVU97" s="1675" t="s">
        <v>856</v>
      </c>
      <c r="IVV97" s="1675" t="s">
        <v>856</v>
      </c>
      <c r="IVW97" s="1675" t="s">
        <v>856</v>
      </c>
      <c r="IVX97" s="1675" t="s">
        <v>856</v>
      </c>
      <c r="IVY97" s="1675" t="s">
        <v>856</v>
      </c>
      <c r="IVZ97" s="1675" t="s">
        <v>856</v>
      </c>
      <c r="IWA97" s="1675" t="s">
        <v>856</v>
      </c>
      <c r="IWB97" s="1675" t="s">
        <v>856</v>
      </c>
      <c r="IWC97" s="1675" t="s">
        <v>856</v>
      </c>
      <c r="IWD97" s="1675" t="s">
        <v>856</v>
      </c>
      <c r="IWE97" s="1675" t="s">
        <v>856</v>
      </c>
      <c r="IWF97" s="1675" t="s">
        <v>856</v>
      </c>
      <c r="IWG97" s="1675" t="s">
        <v>856</v>
      </c>
      <c r="IWH97" s="1675" t="s">
        <v>856</v>
      </c>
      <c r="IWI97" s="1675" t="s">
        <v>856</v>
      </c>
      <c r="IWJ97" s="1675" t="s">
        <v>856</v>
      </c>
      <c r="IWK97" s="1675" t="s">
        <v>856</v>
      </c>
      <c r="IWL97" s="1675" t="s">
        <v>856</v>
      </c>
      <c r="IWM97" s="1675" t="s">
        <v>856</v>
      </c>
      <c r="IWN97" s="1675" t="s">
        <v>856</v>
      </c>
      <c r="IWO97" s="1675" t="s">
        <v>856</v>
      </c>
      <c r="IWP97" s="1675" t="s">
        <v>856</v>
      </c>
      <c r="IWQ97" s="1675" t="s">
        <v>856</v>
      </c>
      <c r="IWR97" s="1675" t="s">
        <v>856</v>
      </c>
      <c r="IWS97" s="1675" t="s">
        <v>856</v>
      </c>
      <c r="IWT97" s="1675" t="s">
        <v>856</v>
      </c>
      <c r="IWU97" s="1675" t="s">
        <v>856</v>
      </c>
      <c r="IWV97" s="1675" t="s">
        <v>856</v>
      </c>
      <c r="IWW97" s="1675" t="s">
        <v>856</v>
      </c>
      <c r="IWX97" s="1675" t="s">
        <v>856</v>
      </c>
      <c r="IWY97" s="1675" t="s">
        <v>856</v>
      </c>
      <c r="IWZ97" s="1675" t="s">
        <v>856</v>
      </c>
      <c r="IXA97" s="1675" t="s">
        <v>856</v>
      </c>
      <c r="IXB97" s="1675" t="s">
        <v>856</v>
      </c>
      <c r="IXC97" s="1675" t="s">
        <v>856</v>
      </c>
      <c r="IXD97" s="1675" t="s">
        <v>856</v>
      </c>
      <c r="IXE97" s="1675" t="s">
        <v>856</v>
      </c>
      <c r="IXF97" s="1675" t="s">
        <v>856</v>
      </c>
      <c r="IXG97" s="1675" t="s">
        <v>856</v>
      </c>
      <c r="IXH97" s="1675" t="s">
        <v>856</v>
      </c>
      <c r="IXI97" s="1675" t="s">
        <v>856</v>
      </c>
      <c r="IXJ97" s="1675" t="s">
        <v>856</v>
      </c>
      <c r="IXK97" s="1675" t="s">
        <v>856</v>
      </c>
      <c r="IXL97" s="1675" t="s">
        <v>856</v>
      </c>
      <c r="IXM97" s="1675" t="s">
        <v>856</v>
      </c>
      <c r="IXN97" s="1675" t="s">
        <v>856</v>
      </c>
      <c r="IXO97" s="1675" t="s">
        <v>856</v>
      </c>
      <c r="IXP97" s="1675" t="s">
        <v>856</v>
      </c>
      <c r="IXQ97" s="1675" t="s">
        <v>856</v>
      </c>
      <c r="IXR97" s="1675" t="s">
        <v>856</v>
      </c>
      <c r="IXS97" s="1675" t="s">
        <v>856</v>
      </c>
      <c r="IXT97" s="1675" t="s">
        <v>856</v>
      </c>
      <c r="IXU97" s="1675" t="s">
        <v>856</v>
      </c>
      <c r="IXV97" s="1675" t="s">
        <v>856</v>
      </c>
      <c r="IXW97" s="1675" t="s">
        <v>856</v>
      </c>
      <c r="IXX97" s="1675" t="s">
        <v>856</v>
      </c>
      <c r="IXY97" s="1675" t="s">
        <v>856</v>
      </c>
      <c r="IXZ97" s="1675" t="s">
        <v>856</v>
      </c>
      <c r="IYA97" s="1675" t="s">
        <v>856</v>
      </c>
      <c r="IYB97" s="1675" t="s">
        <v>856</v>
      </c>
      <c r="IYC97" s="1675" t="s">
        <v>856</v>
      </c>
      <c r="IYD97" s="1675" t="s">
        <v>856</v>
      </c>
      <c r="IYE97" s="1675" t="s">
        <v>856</v>
      </c>
      <c r="IYF97" s="1675" t="s">
        <v>856</v>
      </c>
      <c r="IYG97" s="1675" t="s">
        <v>856</v>
      </c>
      <c r="IYH97" s="1675" t="s">
        <v>856</v>
      </c>
      <c r="IYI97" s="1675" t="s">
        <v>856</v>
      </c>
      <c r="IYJ97" s="1675" t="s">
        <v>856</v>
      </c>
      <c r="IYK97" s="1675" t="s">
        <v>856</v>
      </c>
      <c r="IYL97" s="1675" t="s">
        <v>856</v>
      </c>
      <c r="IYM97" s="1675" t="s">
        <v>856</v>
      </c>
      <c r="IYN97" s="1675" t="s">
        <v>856</v>
      </c>
      <c r="IYO97" s="1675" t="s">
        <v>856</v>
      </c>
      <c r="IYP97" s="1675" t="s">
        <v>856</v>
      </c>
      <c r="IYQ97" s="1675" t="s">
        <v>856</v>
      </c>
      <c r="IYR97" s="1675" t="s">
        <v>856</v>
      </c>
      <c r="IYS97" s="1675" t="s">
        <v>856</v>
      </c>
      <c r="IYT97" s="1675" t="s">
        <v>856</v>
      </c>
      <c r="IYU97" s="1675" t="s">
        <v>856</v>
      </c>
      <c r="IYV97" s="1675" t="s">
        <v>856</v>
      </c>
      <c r="IYW97" s="1675" t="s">
        <v>856</v>
      </c>
      <c r="IYX97" s="1675" t="s">
        <v>856</v>
      </c>
      <c r="IYY97" s="1675" t="s">
        <v>856</v>
      </c>
      <c r="IYZ97" s="1675" t="s">
        <v>856</v>
      </c>
      <c r="IZA97" s="1675" t="s">
        <v>856</v>
      </c>
      <c r="IZB97" s="1675" t="s">
        <v>856</v>
      </c>
      <c r="IZC97" s="1675" t="s">
        <v>856</v>
      </c>
      <c r="IZD97" s="1675" t="s">
        <v>856</v>
      </c>
      <c r="IZE97" s="1675" t="s">
        <v>856</v>
      </c>
      <c r="IZF97" s="1675" t="s">
        <v>856</v>
      </c>
      <c r="IZG97" s="1675" t="s">
        <v>856</v>
      </c>
      <c r="IZH97" s="1675" t="s">
        <v>856</v>
      </c>
      <c r="IZI97" s="1675" t="s">
        <v>856</v>
      </c>
      <c r="IZJ97" s="1675" t="s">
        <v>856</v>
      </c>
      <c r="IZK97" s="1675" t="s">
        <v>856</v>
      </c>
      <c r="IZL97" s="1675" t="s">
        <v>856</v>
      </c>
      <c r="IZM97" s="1675" t="s">
        <v>856</v>
      </c>
      <c r="IZN97" s="1675" t="s">
        <v>856</v>
      </c>
      <c r="IZO97" s="1675" t="s">
        <v>856</v>
      </c>
      <c r="IZP97" s="1675" t="s">
        <v>856</v>
      </c>
      <c r="IZQ97" s="1675" t="s">
        <v>856</v>
      </c>
      <c r="IZR97" s="1675" t="s">
        <v>856</v>
      </c>
      <c r="IZS97" s="1675" t="s">
        <v>856</v>
      </c>
      <c r="IZT97" s="1675" t="s">
        <v>856</v>
      </c>
      <c r="IZU97" s="1675" t="s">
        <v>856</v>
      </c>
      <c r="IZV97" s="1675" t="s">
        <v>856</v>
      </c>
      <c r="IZW97" s="1675" t="s">
        <v>856</v>
      </c>
      <c r="IZX97" s="1675" t="s">
        <v>856</v>
      </c>
      <c r="IZY97" s="1675" t="s">
        <v>856</v>
      </c>
      <c r="IZZ97" s="1675" t="s">
        <v>856</v>
      </c>
      <c r="JAA97" s="1675" t="s">
        <v>856</v>
      </c>
      <c r="JAB97" s="1675" t="s">
        <v>856</v>
      </c>
      <c r="JAC97" s="1675" t="s">
        <v>856</v>
      </c>
      <c r="JAD97" s="1675" t="s">
        <v>856</v>
      </c>
      <c r="JAE97" s="1675" t="s">
        <v>856</v>
      </c>
      <c r="JAF97" s="1675" t="s">
        <v>856</v>
      </c>
      <c r="JAG97" s="1675" t="s">
        <v>856</v>
      </c>
      <c r="JAH97" s="1675" t="s">
        <v>856</v>
      </c>
      <c r="JAI97" s="1675" t="s">
        <v>856</v>
      </c>
      <c r="JAJ97" s="1675" t="s">
        <v>856</v>
      </c>
      <c r="JAK97" s="1675" t="s">
        <v>856</v>
      </c>
      <c r="JAL97" s="1675" t="s">
        <v>856</v>
      </c>
      <c r="JAM97" s="1675" t="s">
        <v>856</v>
      </c>
      <c r="JAN97" s="1675" t="s">
        <v>856</v>
      </c>
      <c r="JAO97" s="1675" t="s">
        <v>856</v>
      </c>
      <c r="JAP97" s="1675" t="s">
        <v>856</v>
      </c>
      <c r="JAQ97" s="1675" t="s">
        <v>856</v>
      </c>
      <c r="JAR97" s="1675" t="s">
        <v>856</v>
      </c>
      <c r="JAS97" s="1675" t="s">
        <v>856</v>
      </c>
      <c r="JAT97" s="1675" t="s">
        <v>856</v>
      </c>
      <c r="JAU97" s="1675" t="s">
        <v>856</v>
      </c>
      <c r="JAV97" s="1675" t="s">
        <v>856</v>
      </c>
      <c r="JAW97" s="1675" t="s">
        <v>856</v>
      </c>
      <c r="JAX97" s="1675" t="s">
        <v>856</v>
      </c>
      <c r="JAY97" s="1675" t="s">
        <v>856</v>
      </c>
      <c r="JAZ97" s="1675" t="s">
        <v>856</v>
      </c>
      <c r="JBA97" s="1675" t="s">
        <v>856</v>
      </c>
      <c r="JBB97" s="1675" t="s">
        <v>856</v>
      </c>
      <c r="JBC97" s="1675" t="s">
        <v>856</v>
      </c>
      <c r="JBD97" s="1675" t="s">
        <v>856</v>
      </c>
      <c r="JBE97" s="1675" t="s">
        <v>856</v>
      </c>
      <c r="JBF97" s="1675" t="s">
        <v>856</v>
      </c>
      <c r="JBG97" s="1675" t="s">
        <v>856</v>
      </c>
      <c r="JBH97" s="1675" t="s">
        <v>856</v>
      </c>
      <c r="JBI97" s="1675" t="s">
        <v>856</v>
      </c>
      <c r="JBJ97" s="1675" t="s">
        <v>856</v>
      </c>
      <c r="JBK97" s="1675" t="s">
        <v>856</v>
      </c>
      <c r="JBL97" s="1675" t="s">
        <v>856</v>
      </c>
      <c r="JBM97" s="1675" t="s">
        <v>856</v>
      </c>
      <c r="JBN97" s="1675" t="s">
        <v>856</v>
      </c>
      <c r="JBO97" s="1675" t="s">
        <v>856</v>
      </c>
      <c r="JBP97" s="1675" t="s">
        <v>856</v>
      </c>
      <c r="JBQ97" s="1675" t="s">
        <v>856</v>
      </c>
      <c r="JBR97" s="1675" t="s">
        <v>856</v>
      </c>
      <c r="JBS97" s="1675" t="s">
        <v>856</v>
      </c>
      <c r="JBT97" s="1675" t="s">
        <v>856</v>
      </c>
      <c r="JBU97" s="1675" t="s">
        <v>856</v>
      </c>
      <c r="JBV97" s="1675" t="s">
        <v>856</v>
      </c>
      <c r="JBW97" s="1675" t="s">
        <v>856</v>
      </c>
      <c r="JBX97" s="1675" t="s">
        <v>856</v>
      </c>
      <c r="JBY97" s="1675" t="s">
        <v>856</v>
      </c>
      <c r="JBZ97" s="1675" t="s">
        <v>856</v>
      </c>
      <c r="JCA97" s="1675" t="s">
        <v>856</v>
      </c>
      <c r="JCB97" s="1675" t="s">
        <v>856</v>
      </c>
      <c r="JCC97" s="1675" t="s">
        <v>856</v>
      </c>
      <c r="JCD97" s="1675" t="s">
        <v>856</v>
      </c>
      <c r="JCE97" s="1675" t="s">
        <v>856</v>
      </c>
      <c r="JCF97" s="1675" t="s">
        <v>856</v>
      </c>
      <c r="JCG97" s="1675" t="s">
        <v>856</v>
      </c>
      <c r="JCH97" s="1675" t="s">
        <v>856</v>
      </c>
      <c r="JCI97" s="1675" t="s">
        <v>856</v>
      </c>
      <c r="JCJ97" s="1675" t="s">
        <v>856</v>
      </c>
      <c r="JCK97" s="1675" t="s">
        <v>856</v>
      </c>
      <c r="JCL97" s="1675" t="s">
        <v>856</v>
      </c>
      <c r="JCM97" s="1675" t="s">
        <v>856</v>
      </c>
      <c r="JCN97" s="1675" t="s">
        <v>856</v>
      </c>
      <c r="JCO97" s="1675" t="s">
        <v>856</v>
      </c>
      <c r="JCP97" s="1675" t="s">
        <v>856</v>
      </c>
      <c r="JCQ97" s="1675" t="s">
        <v>856</v>
      </c>
      <c r="JCR97" s="1675" t="s">
        <v>856</v>
      </c>
      <c r="JCS97" s="1675" t="s">
        <v>856</v>
      </c>
      <c r="JCT97" s="1675" t="s">
        <v>856</v>
      </c>
      <c r="JCU97" s="1675" t="s">
        <v>856</v>
      </c>
      <c r="JCV97" s="1675" t="s">
        <v>856</v>
      </c>
      <c r="JCW97" s="1675" t="s">
        <v>856</v>
      </c>
      <c r="JCX97" s="1675" t="s">
        <v>856</v>
      </c>
      <c r="JCY97" s="1675" t="s">
        <v>856</v>
      </c>
      <c r="JCZ97" s="1675" t="s">
        <v>856</v>
      </c>
      <c r="JDA97" s="1675" t="s">
        <v>856</v>
      </c>
      <c r="JDB97" s="1675" t="s">
        <v>856</v>
      </c>
      <c r="JDC97" s="1675" t="s">
        <v>856</v>
      </c>
      <c r="JDD97" s="1675" t="s">
        <v>856</v>
      </c>
      <c r="JDE97" s="1675" t="s">
        <v>856</v>
      </c>
      <c r="JDF97" s="1675" t="s">
        <v>856</v>
      </c>
      <c r="JDG97" s="1675" t="s">
        <v>856</v>
      </c>
      <c r="JDH97" s="1675" t="s">
        <v>856</v>
      </c>
      <c r="JDI97" s="1675" t="s">
        <v>856</v>
      </c>
      <c r="JDJ97" s="1675" t="s">
        <v>856</v>
      </c>
      <c r="JDK97" s="1675" t="s">
        <v>856</v>
      </c>
      <c r="JDL97" s="1675" t="s">
        <v>856</v>
      </c>
      <c r="JDM97" s="1675" t="s">
        <v>856</v>
      </c>
      <c r="JDN97" s="1675" t="s">
        <v>856</v>
      </c>
      <c r="JDO97" s="1675" t="s">
        <v>856</v>
      </c>
      <c r="JDP97" s="1675" t="s">
        <v>856</v>
      </c>
      <c r="JDQ97" s="1675" t="s">
        <v>856</v>
      </c>
      <c r="JDR97" s="1675" t="s">
        <v>856</v>
      </c>
      <c r="JDS97" s="1675" t="s">
        <v>856</v>
      </c>
      <c r="JDT97" s="1675" t="s">
        <v>856</v>
      </c>
      <c r="JDU97" s="1675" t="s">
        <v>856</v>
      </c>
      <c r="JDV97" s="1675" t="s">
        <v>856</v>
      </c>
      <c r="JDW97" s="1675" t="s">
        <v>856</v>
      </c>
      <c r="JDX97" s="1675" t="s">
        <v>856</v>
      </c>
      <c r="JDY97" s="1675" t="s">
        <v>856</v>
      </c>
      <c r="JDZ97" s="1675" t="s">
        <v>856</v>
      </c>
      <c r="JEA97" s="1675" t="s">
        <v>856</v>
      </c>
      <c r="JEB97" s="1675" t="s">
        <v>856</v>
      </c>
      <c r="JEC97" s="1675" t="s">
        <v>856</v>
      </c>
      <c r="JED97" s="1675" t="s">
        <v>856</v>
      </c>
      <c r="JEE97" s="1675" t="s">
        <v>856</v>
      </c>
      <c r="JEF97" s="1675" t="s">
        <v>856</v>
      </c>
      <c r="JEG97" s="1675" t="s">
        <v>856</v>
      </c>
      <c r="JEH97" s="1675" t="s">
        <v>856</v>
      </c>
      <c r="JEI97" s="1675" t="s">
        <v>856</v>
      </c>
      <c r="JEJ97" s="1675" t="s">
        <v>856</v>
      </c>
      <c r="JEK97" s="1675" t="s">
        <v>856</v>
      </c>
      <c r="JEL97" s="1675" t="s">
        <v>856</v>
      </c>
      <c r="JEM97" s="1675" t="s">
        <v>856</v>
      </c>
      <c r="JEN97" s="1675" t="s">
        <v>856</v>
      </c>
      <c r="JEO97" s="1675" t="s">
        <v>856</v>
      </c>
      <c r="JEP97" s="1675" t="s">
        <v>856</v>
      </c>
      <c r="JEQ97" s="1675" t="s">
        <v>856</v>
      </c>
      <c r="JER97" s="1675" t="s">
        <v>856</v>
      </c>
      <c r="JES97" s="1675" t="s">
        <v>856</v>
      </c>
      <c r="JET97" s="1675" t="s">
        <v>856</v>
      </c>
      <c r="JEU97" s="1675" t="s">
        <v>856</v>
      </c>
      <c r="JEV97" s="1675" t="s">
        <v>856</v>
      </c>
      <c r="JEW97" s="1675" t="s">
        <v>856</v>
      </c>
      <c r="JEX97" s="1675" t="s">
        <v>856</v>
      </c>
      <c r="JEY97" s="1675" t="s">
        <v>856</v>
      </c>
      <c r="JEZ97" s="1675" t="s">
        <v>856</v>
      </c>
      <c r="JFA97" s="1675" t="s">
        <v>856</v>
      </c>
      <c r="JFB97" s="1675" t="s">
        <v>856</v>
      </c>
      <c r="JFC97" s="1675" t="s">
        <v>856</v>
      </c>
      <c r="JFD97" s="1675" t="s">
        <v>856</v>
      </c>
      <c r="JFE97" s="1675" t="s">
        <v>856</v>
      </c>
      <c r="JFF97" s="1675" t="s">
        <v>856</v>
      </c>
      <c r="JFG97" s="1675" t="s">
        <v>856</v>
      </c>
      <c r="JFH97" s="1675" t="s">
        <v>856</v>
      </c>
      <c r="JFI97" s="1675" t="s">
        <v>856</v>
      </c>
      <c r="JFJ97" s="1675" t="s">
        <v>856</v>
      </c>
      <c r="JFK97" s="1675" t="s">
        <v>856</v>
      </c>
      <c r="JFL97" s="1675" t="s">
        <v>856</v>
      </c>
      <c r="JFM97" s="1675" t="s">
        <v>856</v>
      </c>
      <c r="JFN97" s="1675" t="s">
        <v>856</v>
      </c>
      <c r="JFO97" s="1675" t="s">
        <v>856</v>
      </c>
      <c r="JFP97" s="1675" t="s">
        <v>856</v>
      </c>
      <c r="JFQ97" s="1675" t="s">
        <v>856</v>
      </c>
      <c r="JFR97" s="1675" t="s">
        <v>856</v>
      </c>
      <c r="JFS97" s="1675" t="s">
        <v>856</v>
      </c>
      <c r="JFT97" s="1675" t="s">
        <v>856</v>
      </c>
      <c r="JFU97" s="1675" t="s">
        <v>856</v>
      </c>
      <c r="JFV97" s="1675" t="s">
        <v>856</v>
      </c>
      <c r="JFW97" s="1675" t="s">
        <v>856</v>
      </c>
      <c r="JFX97" s="1675" t="s">
        <v>856</v>
      </c>
      <c r="JFY97" s="1675" t="s">
        <v>856</v>
      </c>
      <c r="JFZ97" s="1675" t="s">
        <v>856</v>
      </c>
      <c r="JGA97" s="1675" t="s">
        <v>856</v>
      </c>
      <c r="JGB97" s="1675" t="s">
        <v>856</v>
      </c>
      <c r="JGC97" s="1675" t="s">
        <v>856</v>
      </c>
      <c r="JGD97" s="1675" t="s">
        <v>856</v>
      </c>
      <c r="JGE97" s="1675" t="s">
        <v>856</v>
      </c>
      <c r="JGF97" s="1675" t="s">
        <v>856</v>
      </c>
      <c r="JGG97" s="1675" t="s">
        <v>856</v>
      </c>
      <c r="JGH97" s="1675" t="s">
        <v>856</v>
      </c>
      <c r="JGI97" s="1675" t="s">
        <v>856</v>
      </c>
      <c r="JGJ97" s="1675" t="s">
        <v>856</v>
      </c>
      <c r="JGK97" s="1675" t="s">
        <v>856</v>
      </c>
      <c r="JGL97" s="1675" t="s">
        <v>856</v>
      </c>
      <c r="JGM97" s="1675" t="s">
        <v>856</v>
      </c>
      <c r="JGN97" s="1675" t="s">
        <v>856</v>
      </c>
      <c r="JGO97" s="1675" t="s">
        <v>856</v>
      </c>
      <c r="JGP97" s="1675" t="s">
        <v>856</v>
      </c>
      <c r="JGQ97" s="1675" t="s">
        <v>856</v>
      </c>
      <c r="JGR97" s="1675" t="s">
        <v>856</v>
      </c>
      <c r="JGS97" s="1675" t="s">
        <v>856</v>
      </c>
      <c r="JGT97" s="1675" t="s">
        <v>856</v>
      </c>
      <c r="JGU97" s="1675" t="s">
        <v>856</v>
      </c>
      <c r="JGV97" s="1675" t="s">
        <v>856</v>
      </c>
      <c r="JGW97" s="1675" t="s">
        <v>856</v>
      </c>
      <c r="JGX97" s="1675" t="s">
        <v>856</v>
      </c>
      <c r="JGY97" s="1675" t="s">
        <v>856</v>
      </c>
      <c r="JGZ97" s="1675" t="s">
        <v>856</v>
      </c>
      <c r="JHA97" s="1675" t="s">
        <v>856</v>
      </c>
      <c r="JHB97" s="1675" t="s">
        <v>856</v>
      </c>
      <c r="JHC97" s="1675" t="s">
        <v>856</v>
      </c>
      <c r="JHD97" s="1675" t="s">
        <v>856</v>
      </c>
      <c r="JHE97" s="1675" t="s">
        <v>856</v>
      </c>
      <c r="JHF97" s="1675" t="s">
        <v>856</v>
      </c>
      <c r="JHG97" s="1675" t="s">
        <v>856</v>
      </c>
      <c r="JHH97" s="1675" t="s">
        <v>856</v>
      </c>
      <c r="JHI97" s="1675" t="s">
        <v>856</v>
      </c>
      <c r="JHJ97" s="1675" t="s">
        <v>856</v>
      </c>
      <c r="JHK97" s="1675" t="s">
        <v>856</v>
      </c>
      <c r="JHL97" s="1675" t="s">
        <v>856</v>
      </c>
      <c r="JHM97" s="1675" t="s">
        <v>856</v>
      </c>
      <c r="JHN97" s="1675" t="s">
        <v>856</v>
      </c>
      <c r="JHO97" s="1675" t="s">
        <v>856</v>
      </c>
      <c r="JHP97" s="1675" t="s">
        <v>856</v>
      </c>
      <c r="JHQ97" s="1675" t="s">
        <v>856</v>
      </c>
      <c r="JHR97" s="1675" t="s">
        <v>856</v>
      </c>
      <c r="JHS97" s="1675" t="s">
        <v>856</v>
      </c>
      <c r="JHT97" s="1675" t="s">
        <v>856</v>
      </c>
      <c r="JHU97" s="1675" t="s">
        <v>856</v>
      </c>
      <c r="JHV97" s="1675" t="s">
        <v>856</v>
      </c>
      <c r="JHW97" s="1675" t="s">
        <v>856</v>
      </c>
      <c r="JHX97" s="1675" t="s">
        <v>856</v>
      </c>
      <c r="JHY97" s="1675" t="s">
        <v>856</v>
      </c>
      <c r="JHZ97" s="1675" t="s">
        <v>856</v>
      </c>
      <c r="JIA97" s="1675" t="s">
        <v>856</v>
      </c>
      <c r="JIB97" s="1675" t="s">
        <v>856</v>
      </c>
      <c r="JIC97" s="1675" t="s">
        <v>856</v>
      </c>
      <c r="JID97" s="1675" t="s">
        <v>856</v>
      </c>
      <c r="JIE97" s="1675" t="s">
        <v>856</v>
      </c>
      <c r="JIF97" s="1675" t="s">
        <v>856</v>
      </c>
      <c r="JIG97" s="1675" t="s">
        <v>856</v>
      </c>
      <c r="JIH97" s="1675" t="s">
        <v>856</v>
      </c>
      <c r="JII97" s="1675" t="s">
        <v>856</v>
      </c>
      <c r="JIJ97" s="1675" t="s">
        <v>856</v>
      </c>
      <c r="JIK97" s="1675" t="s">
        <v>856</v>
      </c>
      <c r="JIL97" s="1675" t="s">
        <v>856</v>
      </c>
      <c r="JIM97" s="1675" t="s">
        <v>856</v>
      </c>
      <c r="JIN97" s="1675" t="s">
        <v>856</v>
      </c>
      <c r="JIO97" s="1675" t="s">
        <v>856</v>
      </c>
      <c r="JIP97" s="1675" t="s">
        <v>856</v>
      </c>
      <c r="JIQ97" s="1675" t="s">
        <v>856</v>
      </c>
      <c r="JIR97" s="1675" t="s">
        <v>856</v>
      </c>
      <c r="JIS97" s="1675" t="s">
        <v>856</v>
      </c>
      <c r="JIT97" s="1675" t="s">
        <v>856</v>
      </c>
      <c r="JIU97" s="1675" t="s">
        <v>856</v>
      </c>
      <c r="JIV97" s="1675" t="s">
        <v>856</v>
      </c>
      <c r="JIW97" s="1675" t="s">
        <v>856</v>
      </c>
      <c r="JIX97" s="1675" t="s">
        <v>856</v>
      </c>
      <c r="JIY97" s="1675" t="s">
        <v>856</v>
      </c>
      <c r="JIZ97" s="1675" t="s">
        <v>856</v>
      </c>
      <c r="JJA97" s="1675" t="s">
        <v>856</v>
      </c>
      <c r="JJB97" s="1675" t="s">
        <v>856</v>
      </c>
      <c r="JJC97" s="1675" t="s">
        <v>856</v>
      </c>
      <c r="JJD97" s="1675" t="s">
        <v>856</v>
      </c>
      <c r="JJE97" s="1675" t="s">
        <v>856</v>
      </c>
      <c r="JJF97" s="1675" t="s">
        <v>856</v>
      </c>
      <c r="JJG97" s="1675" t="s">
        <v>856</v>
      </c>
      <c r="JJH97" s="1675" t="s">
        <v>856</v>
      </c>
      <c r="JJI97" s="1675" t="s">
        <v>856</v>
      </c>
      <c r="JJJ97" s="1675" t="s">
        <v>856</v>
      </c>
      <c r="JJK97" s="1675" t="s">
        <v>856</v>
      </c>
      <c r="JJL97" s="1675" t="s">
        <v>856</v>
      </c>
      <c r="JJM97" s="1675" t="s">
        <v>856</v>
      </c>
      <c r="JJN97" s="1675" t="s">
        <v>856</v>
      </c>
      <c r="JJO97" s="1675" t="s">
        <v>856</v>
      </c>
      <c r="JJP97" s="1675" t="s">
        <v>856</v>
      </c>
      <c r="JJQ97" s="1675" t="s">
        <v>856</v>
      </c>
      <c r="JJR97" s="1675" t="s">
        <v>856</v>
      </c>
      <c r="JJS97" s="1675" t="s">
        <v>856</v>
      </c>
      <c r="JJT97" s="1675" t="s">
        <v>856</v>
      </c>
      <c r="JJU97" s="1675" t="s">
        <v>856</v>
      </c>
      <c r="JJV97" s="1675" t="s">
        <v>856</v>
      </c>
      <c r="JJW97" s="1675" t="s">
        <v>856</v>
      </c>
      <c r="JJX97" s="1675" t="s">
        <v>856</v>
      </c>
      <c r="JJY97" s="1675" t="s">
        <v>856</v>
      </c>
      <c r="JJZ97" s="1675" t="s">
        <v>856</v>
      </c>
      <c r="JKA97" s="1675" t="s">
        <v>856</v>
      </c>
      <c r="JKB97" s="1675" t="s">
        <v>856</v>
      </c>
      <c r="JKC97" s="1675" t="s">
        <v>856</v>
      </c>
      <c r="JKD97" s="1675" t="s">
        <v>856</v>
      </c>
      <c r="JKE97" s="1675" t="s">
        <v>856</v>
      </c>
      <c r="JKF97" s="1675" t="s">
        <v>856</v>
      </c>
      <c r="JKG97" s="1675" t="s">
        <v>856</v>
      </c>
      <c r="JKH97" s="1675" t="s">
        <v>856</v>
      </c>
      <c r="JKI97" s="1675" t="s">
        <v>856</v>
      </c>
      <c r="JKJ97" s="1675" t="s">
        <v>856</v>
      </c>
      <c r="JKK97" s="1675" t="s">
        <v>856</v>
      </c>
      <c r="JKL97" s="1675" t="s">
        <v>856</v>
      </c>
      <c r="JKM97" s="1675" t="s">
        <v>856</v>
      </c>
      <c r="JKN97" s="1675" t="s">
        <v>856</v>
      </c>
      <c r="JKO97" s="1675" t="s">
        <v>856</v>
      </c>
      <c r="JKP97" s="1675" t="s">
        <v>856</v>
      </c>
      <c r="JKQ97" s="1675" t="s">
        <v>856</v>
      </c>
      <c r="JKR97" s="1675" t="s">
        <v>856</v>
      </c>
      <c r="JKS97" s="1675" t="s">
        <v>856</v>
      </c>
      <c r="JKT97" s="1675" t="s">
        <v>856</v>
      </c>
      <c r="JKU97" s="1675" t="s">
        <v>856</v>
      </c>
      <c r="JKV97" s="1675" t="s">
        <v>856</v>
      </c>
      <c r="JKW97" s="1675" t="s">
        <v>856</v>
      </c>
      <c r="JKX97" s="1675" t="s">
        <v>856</v>
      </c>
      <c r="JKY97" s="1675" t="s">
        <v>856</v>
      </c>
      <c r="JKZ97" s="1675" t="s">
        <v>856</v>
      </c>
      <c r="JLA97" s="1675" t="s">
        <v>856</v>
      </c>
      <c r="JLB97" s="1675" t="s">
        <v>856</v>
      </c>
      <c r="JLC97" s="1675" t="s">
        <v>856</v>
      </c>
      <c r="JLD97" s="1675" t="s">
        <v>856</v>
      </c>
      <c r="JLE97" s="1675" t="s">
        <v>856</v>
      </c>
      <c r="JLF97" s="1675" t="s">
        <v>856</v>
      </c>
      <c r="JLG97" s="1675" t="s">
        <v>856</v>
      </c>
      <c r="JLH97" s="1675" t="s">
        <v>856</v>
      </c>
      <c r="JLI97" s="1675" t="s">
        <v>856</v>
      </c>
      <c r="JLJ97" s="1675" t="s">
        <v>856</v>
      </c>
      <c r="JLK97" s="1675" t="s">
        <v>856</v>
      </c>
      <c r="JLL97" s="1675" t="s">
        <v>856</v>
      </c>
      <c r="JLM97" s="1675" t="s">
        <v>856</v>
      </c>
      <c r="JLN97" s="1675" t="s">
        <v>856</v>
      </c>
      <c r="JLO97" s="1675" t="s">
        <v>856</v>
      </c>
      <c r="JLP97" s="1675" t="s">
        <v>856</v>
      </c>
      <c r="JLQ97" s="1675" t="s">
        <v>856</v>
      </c>
      <c r="JLR97" s="1675" t="s">
        <v>856</v>
      </c>
      <c r="JLS97" s="1675" t="s">
        <v>856</v>
      </c>
      <c r="JLT97" s="1675" t="s">
        <v>856</v>
      </c>
      <c r="JLU97" s="1675" t="s">
        <v>856</v>
      </c>
      <c r="JLV97" s="1675" t="s">
        <v>856</v>
      </c>
      <c r="JLW97" s="1675" t="s">
        <v>856</v>
      </c>
      <c r="JLX97" s="1675" t="s">
        <v>856</v>
      </c>
      <c r="JLY97" s="1675" t="s">
        <v>856</v>
      </c>
      <c r="JLZ97" s="1675" t="s">
        <v>856</v>
      </c>
      <c r="JMA97" s="1675" t="s">
        <v>856</v>
      </c>
      <c r="JMB97" s="1675" t="s">
        <v>856</v>
      </c>
      <c r="JMC97" s="1675" t="s">
        <v>856</v>
      </c>
      <c r="JMD97" s="1675" t="s">
        <v>856</v>
      </c>
      <c r="JME97" s="1675" t="s">
        <v>856</v>
      </c>
      <c r="JMF97" s="1675" t="s">
        <v>856</v>
      </c>
      <c r="JMG97" s="1675" t="s">
        <v>856</v>
      </c>
      <c r="JMH97" s="1675" t="s">
        <v>856</v>
      </c>
      <c r="JMI97" s="1675" t="s">
        <v>856</v>
      </c>
      <c r="JMJ97" s="1675" t="s">
        <v>856</v>
      </c>
      <c r="JMK97" s="1675" t="s">
        <v>856</v>
      </c>
      <c r="JML97" s="1675" t="s">
        <v>856</v>
      </c>
      <c r="JMM97" s="1675" t="s">
        <v>856</v>
      </c>
      <c r="JMN97" s="1675" t="s">
        <v>856</v>
      </c>
      <c r="JMO97" s="1675" t="s">
        <v>856</v>
      </c>
      <c r="JMP97" s="1675" t="s">
        <v>856</v>
      </c>
      <c r="JMQ97" s="1675" t="s">
        <v>856</v>
      </c>
      <c r="JMR97" s="1675" t="s">
        <v>856</v>
      </c>
      <c r="JMS97" s="1675" t="s">
        <v>856</v>
      </c>
      <c r="JMT97" s="1675" t="s">
        <v>856</v>
      </c>
      <c r="JMU97" s="1675" t="s">
        <v>856</v>
      </c>
      <c r="JMV97" s="1675" t="s">
        <v>856</v>
      </c>
      <c r="JMW97" s="1675" t="s">
        <v>856</v>
      </c>
      <c r="JMX97" s="1675" t="s">
        <v>856</v>
      </c>
      <c r="JMY97" s="1675" t="s">
        <v>856</v>
      </c>
      <c r="JMZ97" s="1675" t="s">
        <v>856</v>
      </c>
      <c r="JNA97" s="1675" t="s">
        <v>856</v>
      </c>
      <c r="JNB97" s="1675" t="s">
        <v>856</v>
      </c>
      <c r="JNC97" s="1675" t="s">
        <v>856</v>
      </c>
      <c r="JND97" s="1675" t="s">
        <v>856</v>
      </c>
      <c r="JNE97" s="1675" t="s">
        <v>856</v>
      </c>
      <c r="JNF97" s="1675" t="s">
        <v>856</v>
      </c>
      <c r="JNG97" s="1675" t="s">
        <v>856</v>
      </c>
      <c r="JNH97" s="1675" t="s">
        <v>856</v>
      </c>
      <c r="JNI97" s="1675" t="s">
        <v>856</v>
      </c>
      <c r="JNJ97" s="1675" t="s">
        <v>856</v>
      </c>
      <c r="JNK97" s="1675" t="s">
        <v>856</v>
      </c>
      <c r="JNL97" s="1675" t="s">
        <v>856</v>
      </c>
      <c r="JNM97" s="1675" t="s">
        <v>856</v>
      </c>
      <c r="JNN97" s="1675" t="s">
        <v>856</v>
      </c>
      <c r="JNO97" s="1675" t="s">
        <v>856</v>
      </c>
      <c r="JNP97" s="1675" t="s">
        <v>856</v>
      </c>
      <c r="JNQ97" s="1675" t="s">
        <v>856</v>
      </c>
      <c r="JNR97" s="1675" t="s">
        <v>856</v>
      </c>
      <c r="JNS97" s="1675" t="s">
        <v>856</v>
      </c>
      <c r="JNT97" s="1675" t="s">
        <v>856</v>
      </c>
      <c r="JNU97" s="1675" t="s">
        <v>856</v>
      </c>
      <c r="JNV97" s="1675" t="s">
        <v>856</v>
      </c>
      <c r="JNW97" s="1675" t="s">
        <v>856</v>
      </c>
      <c r="JNX97" s="1675" t="s">
        <v>856</v>
      </c>
      <c r="JNY97" s="1675" t="s">
        <v>856</v>
      </c>
      <c r="JNZ97" s="1675" t="s">
        <v>856</v>
      </c>
      <c r="JOA97" s="1675" t="s">
        <v>856</v>
      </c>
      <c r="JOB97" s="1675" t="s">
        <v>856</v>
      </c>
      <c r="JOC97" s="1675" t="s">
        <v>856</v>
      </c>
      <c r="JOD97" s="1675" t="s">
        <v>856</v>
      </c>
      <c r="JOE97" s="1675" t="s">
        <v>856</v>
      </c>
      <c r="JOF97" s="1675" t="s">
        <v>856</v>
      </c>
      <c r="JOG97" s="1675" t="s">
        <v>856</v>
      </c>
      <c r="JOH97" s="1675" t="s">
        <v>856</v>
      </c>
      <c r="JOI97" s="1675" t="s">
        <v>856</v>
      </c>
      <c r="JOJ97" s="1675" t="s">
        <v>856</v>
      </c>
      <c r="JOK97" s="1675" t="s">
        <v>856</v>
      </c>
      <c r="JOL97" s="1675" t="s">
        <v>856</v>
      </c>
      <c r="JOM97" s="1675" t="s">
        <v>856</v>
      </c>
      <c r="JON97" s="1675" t="s">
        <v>856</v>
      </c>
      <c r="JOO97" s="1675" t="s">
        <v>856</v>
      </c>
      <c r="JOP97" s="1675" t="s">
        <v>856</v>
      </c>
      <c r="JOQ97" s="1675" t="s">
        <v>856</v>
      </c>
      <c r="JOR97" s="1675" t="s">
        <v>856</v>
      </c>
      <c r="JOS97" s="1675" t="s">
        <v>856</v>
      </c>
      <c r="JOT97" s="1675" t="s">
        <v>856</v>
      </c>
      <c r="JOU97" s="1675" t="s">
        <v>856</v>
      </c>
      <c r="JOV97" s="1675" t="s">
        <v>856</v>
      </c>
      <c r="JOW97" s="1675" t="s">
        <v>856</v>
      </c>
      <c r="JOX97" s="1675" t="s">
        <v>856</v>
      </c>
      <c r="JOY97" s="1675" t="s">
        <v>856</v>
      </c>
      <c r="JOZ97" s="1675" t="s">
        <v>856</v>
      </c>
      <c r="JPA97" s="1675" t="s">
        <v>856</v>
      </c>
      <c r="JPB97" s="1675" t="s">
        <v>856</v>
      </c>
      <c r="JPC97" s="1675" t="s">
        <v>856</v>
      </c>
      <c r="JPD97" s="1675" t="s">
        <v>856</v>
      </c>
      <c r="JPE97" s="1675" t="s">
        <v>856</v>
      </c>
      <c r="JPF97" s="1675" t="s">
        <v>856</v>
      </c>
      <c r="JPG97" s="1675" t="s">
        <v>856</v>
      </c>
      <c r="JPH97" s="1675" t="s">
        <v>856</v>
      </c>
      <c r="JPI97" s="1675" t="s">
        <v>856</v>
      </c>
      <c r="JPJ97" s="1675" t="s">
        <v>856</v>
      </c>
      <c r="JPK97" s="1675" t="s">
        <v>856</v>
      </c>
      <c r="JPL97" s="1675" t="s">
        <v>856</v>
      </c>
      <c r="JPM97" s="1675" t="s">
        <v>856</v>
      </c>
      <c r="JPN97" s="1675" t="s">
        <v>856</v>
      </c>
      <c r="JPO97" s="1675" t="s">
        <v>856</v>
      </c>
      <c r="JPP97" s="1675" t="s">
        <v>856</v>
      </c>
      <c r="JPQ97" s="1675" t="s">
        <v>856</v>
      </c>
      <c r="JPR97" s="1675" t="s">
        <v>856</v>
      </c>
      <c r="JPS97" s="1675" t="s">
        <v>856</v>
      </c>
      <c r="JPT97" s="1675" t="s">
        <v>856</v>
      </c>
      <c r="JPU97" s="1675" t="s">
        <v>856</v>
      </c>
      <c r="JPV97" s="1675" t="s">
        <v>856</v>
      </c>
      <c r="JPW97" s="1675" t="s">
        <v>856</v>
      </c>
      <c r="JPX97" s="1675" t="s">
        <v>856</v>
      </c>
      <c r="JPY97" s="1675" t="s">
        <v>856</v>
      </c>
      <c r="JPZ97" s="1675" t="s">
        <v>856</v>
      </c>
      <c r="JQA97" s="1675" t="s">
        <v>856</v>
      </c>
      <c r="JQB97" s="1675" t="s">
        <v>856</v>
      </c>
      <c r="JQC97" s="1675" t="s">
        <v>856</v>
      </c>
      <c r="JQD97" s="1675" t="s">
        <v>856</v>
      </c>
      <c r="JQE97" s="1675" t="s">
        <v>856</v>
      </c>
      <c r="JQF97" s="1675" t="s">
        <v>856</v>
      </c>
      <c r="JQG97" s="1675" t="s">
        <v>856</v>
      </c>
      <c r="JQH97" s="1675" t="s">
        <v>856</v>
      </c>
      <c r="JQI97" s="1675" t="s">
        <v>856</v>
      </c>
      <c r="JQJ97" s="1675" t="s">
        <v>856</v>
      </c>
      <c r="JQK97" s="1675" t="s">
        <v>856</v>
      </c>
      <c r="JQL97" s="1675" t="s">
        <v>856</v>
      </c>
      <c r="JQM97" s="1675" t="s">
        <v>856</v>
      </c>
      <c r="JQN97" s="1675" t="s">
        <v>856</v>
      </c>
      <c r="JQO97" s="1675" t="s">
        <v>856</v>
      </c>
      <c r="JQP97" s="1675" t="s">
        <v>856</v>
      </c>
      <c r="JQQ97" s="1675" t="s">
        <v>856</v>
      </c>
      <c r="JQR97" s="1675" t="s">
        <v>856</v>
      </c>
      <c r="JQS97" s="1675" t="s">
        <v>856</v>
      </c>
      <c r="JQT97" s="1675" t="s">
        <v>856</v>
      </c>
      <c r="JQU97" s="1675" t="s">
        <v>856</v>
      </c>
      <c r="JQV97" s="1675" t="s">
        <v>856</v>
      </c>
      <c r="JQW97" s="1675" t="s">
        <v>856</v>
      </c>
      <c r="JQX97" s="1675" t="s">
        <v>856</v>
      </c>
      <c r="JQY97" s="1675" t="s">
        <v>856</v>
      </c>
      <c r="JQZ97" s="1675" t="s">
        <v>856</v>
      </c>
      <c r="JRA97" s="1675" t="s">
        <v>856</v>
      </c>
      <c r="JRB97" s="1675" t="s">
        <v>856</v>
      </c>
      <c r="JRC97" s="1675" t="s">
        <v>856</v>
      </c>
      <c r="JRD97" s="1675" t="s">
        <v>856</v>
      </c>
      <c r="JRE97" s="1675" t="s">
        <v>856</v>
      </c>
      <c r="JRF97" s="1675" t="s">
        <v>856</v>
      </c>
      <c r="JRG97" s="1675" t="s">
        <v>856</v>
      </c>
      <c r="JRH97" s="1675" t="s">
        <v>856</v>
      </c>
      <c r="JRI97" s="1675" t="s">
        <v>856</v>
      </c>
      <c r="JRJ97" s="1675" t="s">
        <v>856</v>
      </c>
      <c r="JRK97" s="1675" t="s">
        <v>856</v>
      </c>
      <c r="JRL97" s="1675" t="s">
        <v>856</v>
      </c>
      <c r="JRM97" s="1675" t="s">
        <v>856</v>
      </c>
      <c r="JRN97" s="1675" t="s">
        <v>856</v>
      </c>
      <c r="JRO97" s="1675" t="s">
        <v>856</v>
      </c>
      <c r="JRP97" s="1675" t="s">
        <v>856</v>
      </c>
      <c r="JRQ97" s="1675" t="s">
        <v>856</v>
      </c>
      <c r="JRR97" s="1675" t="s">
        <v>856</v>
      </c>
      <c r="JRS97" s="1675" t="s">
        <v>856</v>
      </c>
      <c r="JRT97" s="1675" t="s">
        <v>856</v>
      </c>
      <c r="JRU97" s="1675" t="s">
        <v>856</v>
      </c>
      <c r="JRV97" s="1675" t="s">
        <v>856</v>
      </c>
      <c r="JRW97" s="1675" t="s">
        <v>856</v>
      </c>
      <c r="JRX97" s="1675" t="s">
        <v>856</v>
      </c>
      <c r="JRY97" s="1675" t="s">
        <v>856</v>
      </c>
      <c r="JRZ97" s="1675" t="s">
        <v>856</v>
      </c>
      <c r="JSA97" s="1675" t="s">
        <v>856</v>
      </c>
      <c r="JSB97" s="1675" t="s">
        <v>856</v>
      </c>
      <c r="JSC97" s="1675" t="s">
        <v>856</v>
      </c>
      <c r="JSD97" s="1675" t="s">
        <v>856</v>
      </c>
      <c r="JSE97" s="1675" t="s">
        <v>856</v>
      </c>
      <c r="JSF97" s="1675" t="s">
        <v>856</v>
      </c>
      <c r="JSG97" s="1675" t="s">
        <v>856</v>
      </c>
      <c r="JSH97" s="1675" t="s">
        <v>856</v>
      </c>
      <c r="JSI97" s="1675" t="s">
        <v>856</v>
      </c>
      <c r="JSJ97" s="1675" t="s">
        <v>856</v>
      </c>
      <c r="JSK97" s="1675" t="s">
        <v>856</v>
      </c>
      <c r="JSL97" s="1675" t="s">
        <v>856</v>
      </c>
      <c r="JSM97" s="1675" t="s">
        <v>856</v>
      </c>
      <c r="JSN97" s="1675" t="s">
        <v>856</v>
      </c>
      <c r="JSO97" s="1675" t="s">
        <v>856</v>
      </c>
      <c r="JSP97" s="1675" t="s">
        <v>856</v>
      </c>
      <c r="JSQ97" s="1675" t="s">
        <v>856</v>
      </c>
      <c r="JSR97" s="1675" t="s">
        <v>856</v>
      </c>
      <c r="JSS97" s="1675" t="s">
        <v>856</v>
      </c>
      <c r="JST97" s="1675" t="s">
        <v>856</v>
      </c>
      <c r="JSU97" s="1675" t="s">
        <v>856</v>
      </c>
      <c r="JSV97" s="1675" t="s">
        <v>856</v>
      </c>
      <c r="JSW97" s="1675" t="s">
        <v>856</v>
      </c>
      <c r="JSX97" s="1675" t="s">
        <v>856</v>
      </c>
      <c r="JSY97" s="1675" t="s">
        <v>856</v>
      </c>
      <c r="JSZ97" s="1675" t="s">
        <v>856</v>
      </c>
      <c r="JTA97" s="1675" t="s">
        <v>856</v>
      </c>
      <c r="JTB97" s="1675" t="s">
        <v>856</v>
      </c>
      <c r="JTC97" s="1675" t="s">
        <v>856</v>
      </c>
      <c r="JTD97" s="1675" t="s">
        <v>856</v>
      </c>
      <c r="JTE97" s="1675" t="s">
        <v>856</v>
      </c>
      <c r="JTF97" s="1675" t="s">
        <v>856</v>
      </c>
      <c r="JTG97" s="1675" t="s">
        <v>856</v>
      </c>
      <c r="JTH97" s="1675" t="s">
        <v>856</v>
      </c>
      <c r="JTI97" s="1675" t="s">
        <v>856</v>
      </c>
      <c r="JTJ97" s="1675" t="s">
        <v>856</v>
      </c>
      <c r="JTK97" s="1675" t="s">
        <v>856</v>
      </c>
      <c r="JTL97" s="1675" t="s">
        <v>856</v>
      </c>
      <c r="JTM97" s="1675" t="s">
        <v>856</v>
      </c>
      <c r="JTN97" s="1675" t="s">
        <v>856</v>
      </c>
      <c r="JTO97" s="1675" t="s">
        <v>856</v>
      </c>
      <c r="JTP97" s="1675" t="s">
        <v>856</v>
      </c>
      <c r="JTQ97" s="1675" t="s">
        <v>856</v>
      </c>
      <c r="JTR97" s="1675" t="s">
        <v>856</v>
      </c>
      <c r="JTS97" s="1675" t="s">
        <v>856</v>
      </c>
      <c r="JTT97" s="1675" t="s">
        <v>856</v>
      </c>
      <c r="JTU97" s="1675" t="s">
        <v>856</v>
      </c>
      <c r="JTV97" s="1675" t="s">
        <v>856</v>
      </c>
      <c r="JTW97" s="1675" t="s">
        <v>856</v>
      </c>
      <c r="JTX97" s="1675" t="s">
        <v>856</v>
      </c>
      <c r="JTY97" s="1675" t="s">
        <v>856</v>
      </c>
      <c r="JTZ97" s="1675" t="s">
        <v>856</v>
      </c>
      <c r="JUA97" s="1675" t="s">
        <v>856</v>
      </c>
      <c r="JUB97" s="1675" t="s">
        <v>856</v>
      </c>
      <c r="JUC97" s="1675" t="s">
        <v>856</v>
      </c>
      <c r="JUD97" s="1675" t="s">
        <v>856</v>
      </c>
      <c r="JUE97" s="1675" t="s">
        <v>856</v>
      </c>
      <c r="JUF97" s="1675" t="s">
        <v>856</v>
      </c>
      <c r="JUG97" s="1675" t="s">
        <v>856</v>
      </c>
      <c r="JUH97" s="1675" t="s">
        <v>856</v>
      </c>
      <c r="JUI97" s="1675" t="s">
        <v>856</v>
      </c>
      <c r="JUJ97" s="1675" t="s">
        <v>856</v>
      </c>
      <c r="JUK97" s="1675" t="s">
        <v>856</v>
      </c>
      <c r="JUL97" s="1675" t="s">
        <v>856</v>
      </c>
      <c r="JUM97" s="1675" t="s">
        <v>856</v>
      </c>
      <c r="JUN97" s="1675" t="s">
        <v>856</v>
      </c>
      <c r="JUO97" s="1675" t="s">
        <v>856</v>
      </c>
      <c r="JUP97" s="1675" t="s">
        <v>856</v>
      </c>
      <c r="JUQ97" s="1675" t="s">
        <v>856</v>
      </c>
      <c r="JUR97" s="1675" t="s">
        <v>856</v>
      </c>
      <c r="JUS97" s="1675" t="s">
        <v>856</v>
      </c>
      <c r="JUT97" s="1675" t="s">
        <v>856</v>
      </c>
      <c r="JUU97" s="1675" t="s">
        <v>856</v>
      </c>
      <c r="JUV97" s="1675" t="s">
        <v>856</v>
      </c>
      <c r="JUW97" s="1675" t="s">
        <v>856</v>
      </c>
      <c r="JUX97" s="1675" t="s">
        <v>856</v>
      </c>
      <c r="JUY97" s="1675" t="s">
        <v>856</v>
      </c>
      <c r="JUZ97" s="1675" t="s">
        <v>856</v>
      </c>
      <c r="JVA97" s="1675" t="s">
        <v>856</v>
      </c>
      <c r="JVB97" s="1675" t="s">
        <v>856</v>
      </c>
      <c r="JVC97" s="1675" t="s">
        <v>856</v>
      </c>
      <c r="JVD97" s="1675" t="s">
        <v>856</v>
      </c>
      <c r="JVE97" s="1675" t="s">
        <v>856</v>
      </c>
      <c r="JVF97" s="1675" t="s">
        <v>856</v>
      </c>
      <c r="JVG97" s="1675" t="s">
        <v>856</v>
      </c>
      <c r="JVH97" s="1675" t="s">
        <v>856</v>
      </c>
      <c r="JVI97" s="1675" t="s">
        <v>856</v>
      </c>
      <c r="JVJ97" s="1675" t="s">
        <v>856</v>
      </c>
      <c r="JVK97" s="1675" t="s">
        <v>856</v>
      </c>
      <c r="JVL97" s="1675" t="s">
        <v>856</v>
      </c>
      <c r="JVM97" s="1675" t="s">
        <v>856</v>
      </c>
      <c r="JVN97" s="1675" t="s">
        <v>856</v>
      </c>
      <c r="JVO97" s="1675" t="s">
        <v>856</v>
      </c>
      <c r="JVP97" s="1675" t="s">
        <v>856</v>
      </c>
      <c r="JVQ97" s="1675" t="s">
        <v>856</v>
      </c>
      <c r="JVR97" s="1675" t="s">
        <v>856</v>
      </c>
      <c r="JVS97" s="1675" t="s">
        <v>856</v>
      </c>
      <c r="JVT97" s="1675" t="s">
        <v>856</v>
      </c>
      <c r="JVU97" s="1675" t="s">
        <v>856</v>
      </c>
      <c r="JVV97" s="1675" t="s">
        <v>856</v>
      </c>
      <c r="JVW97" s="1675" t="s">
        <v>856</v>
      </c>
      <c r="JVX97" s="1675" t="s">
        <v>856</v>
      </c>
      <c r="JVY97" s="1675" t="s">
        <v>856</v>
      </c>
      <c r="JVZ97" s="1675" t="s">
        <v>856</v>
      </c>
      <c r="JWA97" s="1675" t="s">
        <v>856</v>
      </c>
      <c r="JWB97" s="1675" t="s">
        <v>856</v>
      </c>
      <c r="JWC97" s="1675" t="s">
        <v>856</v>
      </c>
      <c r="JWD97" s="1675" t="s">
        <v>856</v>
      </c>
      <c r="JWE97" s="1675" t="s">
        <v>856</v>
      </c>
      <c r="JWF97" s="1675" t="s">
        <v>856</v>
      </c>
      <c r="JWG97" s="1675" t="s">
        <v>856</v>
      </c>
      <c r="JWH97" s="1675" t="s">
        <v>856</v>
      </c>
      <c r="JWI97" s="1675" t="s">
        <v>856</v>
      </c>
      <c r="JWJ97" s="1675" t="s">
        <v>856</v>
      </c>
      <c r="JWK97" s="1675" t="s">
        <v>856</v>
      </c>
      <c r="JWL97" s="1675" t="s">
        <v>856</v>
      </c>
      <c r="JWM97" s="1675" t="s">
        <v>856</v>
      </c>
      <c r="JWN97" s="1675" t="s">
        <v>856</v>
      </c>
      <c r="JWO97" s="1675" t="s">
        <v>856</v>
      </c>
      <c r="JWP97" s="1675" t="s">
        <v>856</v>
      </c>
      <c r="JWQ97" s="1675" t="s">
        <v>856</v>
      </c>
      <c r="JWR97" s="1675" t="s">
        <v>856</v>
      </c>
      <c r="JWS97" s="1675" t="s">
        <v>856</v>
      </c>
      <c r="JWT97" s="1675" t="s">
        <v>856</v>
      </c>
      <c r="JWU97" s="1675" t="s">
        <v>856</v>
      </c>
      <c r="JWV97" s="1675" t="s">
        <v>856</v>
      </c>
      <c r="JWW97" s="1675" t="s">
        <v>856</v>
      </c>
      <c r="JWX97" s="1675" t="s">
        <v>856</v>
      </c>
      <c r="JWY97" s="1675" t="s">
        <v>856</v>
      </c>
      <c r="JWZ97" s="1675" t="s">
        <v>856</v>
      </c>
      <c r="JXA97" s="1675" t="s">
        <v>856</v>
      </c>
      <c r="JXB97" s="1675" t="s">
        <v>856</v>
      </c>
      <c r="JXC97" s="1675" t="s">
        <v>856</v>
      </c>
      <c r="JXD97" s="1675" t="s">
        <v>856</v>
      </c>
      <c r="JXE97" s="1675" t="s">
        <v>856</v>
      </c>
      <c r="JXF97" s="1675" t="s">
        <v>856</v>
      </c>
      <c r="JXG97" s="1675" t="s">
        <v>856</v>
      </c>
      <c r="JXH97" s="1675" t="s">
        <v>856</v>
      </c>
      <c r="JXI97" s="1675" t="s">
        <v>856</v>
      </c>
      <c r="JXJ97" s="1675" t="s">
        <v>856</v>
      </c>
      <c r="JXK97" s="1675" t="s">
        <v>856</v>
      </c>
      <c r="JXL97" s="1675" t="s">
        <v>856</v>
      </c>
      <c r="JXM97" s="1675" t="s">
        <v>856</v>
      </c>
      <c r="JXN97" s="1675" t="s">
        <v>856</v>
      </c>
      <c r="JXO97" s="1675" t="s">
        <v>856</v>
      </c>
      <c r="JXP97" s="1675" t="s">
        <v>856</v>
      </c>
      <c r="JXQ97" s="1675" t="s">
        <v>856</v>
      </c>
      <c r="JXR97" s="1675" t="s">
        <v>856</v>
      </c>
      <c r="JXS97" s="1675" t="s">
        <v>856</v>
      </c>
      <c r="JXT97" s="1675" t="s">
        <v>856</v>
      </c>
      <c r="JXU97" s="1675" t="s">
        <v>856</v>
      </c>
      <c r="JXV97" s="1675" t="s">
        <v>856</v>
      </c>
      <c r="JXW97" s="1675" t="s">
        <v>856</v>
      </c>
      <c r="JXX97" s="1675" t="s">
        <v>856</v>
      </c>
      <c r="JXY97" s="1675" t="s">
        <v>856</v>
      </c>
      <c r="JXZ97" s="1675" t="s">
        <v>856</v>
      </c>
      <c r="JYA97" s="1675" t="s">
        <v>856</v>
      </c>
      <c r="JYB97" s="1675" t="s">
        <v>856</v>
      </c>
      <c r="JYC97" s="1675" t="s">
        <v>856</v>
      </c>
      <c r="JYD97" s="1675" t="s">
        <v>856</v>
      </c>
      <c r="JYE97" s="1675" t="s">
        <v>856</v>
      </c>
      <c r="JYF97" s="1675" t="s">
        <v>856</v>
      </c>
      <c r="JYG97" s="1675" t="s">
        <v>856</v>
      </c>
      <c r="JYH97" s="1675" t="s">
        <v>856</v>
      </c>
      <c r="JYI97" s="1675" t="s">
        <v>856</v>
      </c>
      <c r="JYJ97" s="1675" t="s">
        <v>856</v>
      </c>
      <c r="JYK97" s="1675" t="s">
        <v>856</v>
      </c>
      <c r="JYL97" s="1675" t="s">
        <v>856</v>
      </c>
      <c r="JYM97" s="1675" t="s">
        <v>856</v>
      </c>
      <c r="JYN97" s="1675" t="s">
        <v>856</v>
      </c>
      <c r="JYO97" s="1675" t="s">
        <v>856</v>
      </c>
      <c r="JYP97" s="1675" t="s">
        <v>856</v>
      </c>
      <c r="JYQ97" s="1675" t="s">
        <v>856</v>
      </c>
      <c r="JYR97" s="1675" t="s">
        <v>856</v>
      </c>
      <c r="JYS97" s="1675" t="s">
        <v>856</v>
      </c>
      <c r="JYT97" s="1675" t="s">
        <v>856</v>
      </c>
      <c r="JYU97" s="1675" t="s">
        <v>856</v>
      </c>
      <c r="JYV97" s="1675" t="s">
        <v>856</v>
      </c>
      <c r="JYW97" s="1675" t="s">
        <v>856</v>
      </c>
      <c r="JYX97" s="1675" t="s">
        <v>856</v>
      </c>
      <c r="JYY97" s="1675" t="s">
        <v>856</v>
      </c>
      <c r="JYZ97" s="1675" t="s">
        <v>856</v>
      </c>
      <c r="JZA97" s="1675" t="s">
        <v>856</v>
      </c>
      <c r="JZB97" s="1675" t="s">
        <v>856</v>
      </c>
      <c r="JZC97" s="1675" t="s">
        <v>856</v>
      </c>
      <c r="JZD97" s="1675" t="s">
        <v>856</v>
      </c>
      <c r="JZE97" s="1675" t="s">
        <v>856</v>
      </c>
      <c r="JZF97" s="1675" t="s">
        <v>856</v>
      </c>
      <c r="JZG97" s="1675" t="s">
        <v>856</v>
      </c>
      <c r="JZH97" s="1675" t="s">
        <v>856</v>
      </c>
      <c r="JZI97" s="1675" t="s">
        <v>856</v>
      </c>
      <c r="JZJ97" s="1675" t="s">
        <v>856</v>
      </c>
      <c r="JZK97" s="1675" t="s">
        <v>856</v>
      </c>
      <c r="JZL97" s="1675" t="s">
        <v>856</v>
      </c>
      <c r="JZM97" s="1675" t="s">
        <v>856</v>
      </c>
      <c r="JZN97" s="1675" t="s">
        <v>856</v>
      </c>
      <c r="JZO97" s="1675" t="s">
        <v>856</v>
      </c>
      <c r="JZP97" s="1675" t="s">
        <v>856</v>
      </c>
      <c r="JZQ97" s="1675" t="s">
        <v>856</v>
      </c>
      <c r="JZR97" s="1675" t="s">
        <v>856</v>
      </c>
      <c r="JZS97" s="1675" t="s">
        <v>856</v>
      </c>
      <c r="JZT97" s="1675" t="s">
        <v>856</v>
      </c>
      <c r="JZU97" s="1675" t="s">
        <v>856</v>
      </c>
      <c r="JZV97" s="1675" t="s">
        <v>856</v>
      </c>
      <c r="JZW97" s="1675" t="s">
        <v>856</v>
      </c>
      <c r="JZX97" s="1675" t="s">
        <v>856</v>
      </c>
      <c r="JZY97" s="1675" t="s">
        <v>856</v>
      </c>
      <c r="JZZ97" s="1675" t="s">
        <v>856</v>
      </c>
      <c r="KAA97" s="1675" t="s">
        <v>856</v>
      </c>
      <c r="KAB97" s="1675" t="s">
        <v>856</v>
      </c>
      <c r="KAC97" s="1675" t="s">
        <v>856</v>
      </c>
      <c r="KAD97" s="1675" t="s">
        <v>856</v>
      </c>
      <c r="KAE97" s="1675" t="s">
        <v>856</v>
      </c>
      <c r="KAF97" s="1675" t="s">
        <v>856</v>
      </c>
      <c r="KAG97" s="1675" t="s">
        <v>856</v>
      </c>
      <c r="KAH97" s="1675" t="s">
        <v>856</v>
      </c>
      <c r="KAI97" s="1675" t="s">
        <v>856</v>
      </c>
      <c r="KAJ97" s="1675" t="s">
        <v>856</v>
      </c>
      <c r="KAK97" s="1675" t="s">
        <v>856</v>
      </c>
      <c r="KAL97" s="1675" t="s">
        <v>856</v>
      </c>
      <c r="KAM97" s="1675" t="s">
        <v>856</v>
      </c>
      <c r="KAN97" s="1675" t="s">
        <v>856</v>
      </c>
      <c r="KAO97" s="1675" t="s">
        <v>856</v>
      </c>
      <c r="KAP97" s="1675" t="s">
        <v>856</v>
      </c>
      <c r="KAQ97" s="1675" t="s">
        <v>856</v>
      </c>
      <c r="KAR97" s="1675" t="s">
        <v>856</v>
      </c>
      <c r="KAS97" s="1675" t="s">
        <v>856</v>
      </c>
      <c r="KAT97" s="1675" t="s">
        <v>856</v>
      </c>
      <c r="KAU97" s="1675" t="s">
        <v>856</v>
      </c>
      <c r="KAV97" s="1675" t="s">
        <v>856</v>
      </c>
      <c r="KAW97" s="1675" t="s">
        <v>856</v>
      </c>
      <c r="KAX97" s="1675" t="s">
        <v>856</v>
      </c>
      <c r="KAY97" s="1675" t="s">
        <v>856</v>
      </c>
      <c r="KAZ97" s="1675" t="s">
        <v>856</v>
      </c>
      <c r="KBA97" s="1675" t="s">
        <v>856</v>
      </c>
      <c r="KBB97" s="1675" t="s">
        <v>856</v>
      </c>
      <c r="KBC97" s="1675" t="s">
        <v>856</v>
      </c>
      <c r="KBD97" s="1675" t="s">
        <v>856</v>
      </c>
      <c r="KBE97" s="1675" t="s">
        <v>856</v>
      </c>
      <c r="KBF97" s="1675" t="s">
        <v>856</v>
      </c>
      <c r="KBG97" s="1675" t="s">
        <v>856</v>
      </c>
      <c r="KBH97" s="1675" t="s">
        <v>856</v>
      </c>
      <c r="KBI97" s="1675" t="s">
        <v>856</v>
      </c>
      <c r="KBJ97" s="1675" t="s">
        <v>856</v>
      </c>
      <c r="KBK97" s="1675" t="s">
        <v>856</v>
      </c>
      <c r="KBL97" s="1675" t="s">
        <v>856</v>
      </c>
      <c r="KBM97" s="1675" t="s">
        <v>856</v>
      </c>
      <c r="KBN97" s="1675" t="s">
        <v>856</v>
      </c>
      <c r="KBO97" s="1675" t="s">
        <v>856</v>
      </c>
      <c r="KBP97" s="1675" t="s">
        <v>856</v>
      </c>
      <c r="KBQ97" s="1675" t="s">
        <v>856</v>
      </c>
      <c r="KBR97" s="1675" t="s">
        <v>856</v>
      </c>
      <c r="KBS97" s="1675" t="s">
        <v>856</v>
      </c>
      <c r="KBT97" s="1675" t="s">
        <v>856</v>
      </c>
      <c r="KBU97" s="1675" t="s">
        <v>856</v>
      </c>
      <c r="KBV97" s="1675" t="s">
        <v>856</v>
      </c>
      <c r="KBW97" s="1675" t="s">
        <v>856</v>
      </c>
      <c r="KBX97" s="1675" t="s">
        <v>856</v>
      </c>
      <c r="KBY97" s="1675" t="s">
        <v>856</v>
      </c>
      <c r="KBZ97" s="1675" t="s">
        <v>856</v>
      </c>
      <c r="KCA97" s="1675" t="s">
        <v>856</v>
      </c>
      <c r="KCB97" s="1675" t="s">
        <v>856</v>
      </c>
      <c r="KCC97" s="1675" t="s">
        <v>856</v>
      </c>
      <c r="KCD97" s="1675" t="s">
        <v>856</v>
      </c>
      <c r="KCE97" s="1675" t="s">
        <v>856</v>
      </c>
      <c r="KCF97" s="1675" t="s">
        <v>856</v>
      </c>
      <c r="KCG97" s="1675" t="s">
        <v>856</v>
      </c>
      <c r="KCH97" s="1675" t="s">
        <v>856</v>
      </c>
      <c r="KCI97" s="1675" t="s">
        <v>856</v>
      </c>
      <c r="KCJ97" s="1675" t="s">
        <v>856</v>
      </c>
      <c r="KCK97" s="1675" t="s">
        <v>856</v>
      </c>
      <c r="KCL97" s="1675" t="s">
        <v>856</v>
      </c>
      <c r="KCM97" s="1675" t="s">
        <v>856</v>
      </c>
      <c r="KCN97" s="1675" t="s">
        <v>856</v>
      </c>
      <c r="KCO97" s="1675" t="s">
        <v>856</v>
      </c>
      <c r="KCP97" s="1675" t="s">
        <v>856</v>
      </c>
      <c r="KCQ97" s="1675" t="s">
        <v>856</v>
      </c>
      <c r="KCR97" s="1675" t="s">
        <v>856</v>
      </c>
      <c r="KCS97" s="1675" t="s">
        <v>856</v>
      </c>
      <c r="KCT97" s="1675" t="s">
        <v>856</v>
      </c>
      <c r="KCU97" s="1675" t="s">
        <v>856</v>
      </c>
      <c r="KCV97" s="1675" t="s">
        <v>856</v>
      </c>
      <c r="KCW97" s="1675" t="s">
        <v>856</v>
      </c>
      <c r="KCX97" s="1675" t="s">
        <v>856</v>
      </c>
      <c r="KCY97" s="1675" t="s">
        <v>856</v>
      </c>
      <c r="KCZ97" s="1675" t="s">
        <v>856</v>
      </c>
      <c r="KDA97" s="1675" t="s">
        <v>856</v>
      </c>
      <c r="KDB97" s="1675" t="s">
        <v>856</v>
      </c>
      <c r="KDC97" s="1675" t="s">
        <v>856</v>
      </c>
      <c r="KDD97" s="1675" t="s">
        <v>856</v>
      </c>
      <c r="KDE97" s="1675" t="s">
        <v>856</v>
      </c>
      <c r="KDF97" s="1675" t="s">
        <v>856</v>
      </c>
      <c r="KDG97" s="1675" t="s">
        <v>856</v>
      </c>
      <c r="KDH97" s="1675" t="s">
        <v>856</v>
      </c>
      <c r="KDI97" s="1675" t="s">
        <v>856</v>
      </c>
      <c r="KDJ97" s="1675" t="s">
        <v>856</v>
      </c>
      <c r="KDK97" s="1675" t="s">
        <v>856</v>
      </c>
      <c r="KDL97" s="1675" t="s">
        <v>856</v>
      </c>
      <c r="KDM97" s="1675" t="s">
        <v>856</v>
      </c>
      <c r="KDN97" s="1675" t="s">
        <v>856</v>
      </c>
      <c r="KDO97" s="1675" t="s">
        <v>856</v>
      </c>
      <c r="KDP97" s="1675" t="s">
        <v>856</v>
      </c>
      <c r="KDQ97" s="1675" t="s">
        <v>856</v>
      </c>
      <c r="KDR97" s="1675" t="s">
        <v>856</v>
      </c>
      <c r="KDS97" s="1675" t="s">
        <v>856</v>
      </c>
      <c r="KDT97" s="1675" t="s">
        <v>856</v>
      </c>
      <c r="KDU97" s="1675" t="s">
        <v>856</v>
      </c>
      <c r="KDV97" s="1675" t="s">
        <v>856</v>
      </c>
      <c r="KDW97" s="1675" t="s">
        <v>856</v>
      </c>
      <c r="KDX97" s="1675" t="s">
        <v>856</v>
      </c>
      <c r="KDY97" s="1675" t="s">
        <v>856</v>
      </c>
      <c r="KDZ97" s="1675" t="s">
        <v>856</v>
      </c>
      <c r="KEA97" s="1675" t="s">
        <v>856</v>
      </c>
      <c r="KEB97" s="1675" t="s">
        <v>856</v>
      </c>
      <c r="KEC97" s="1675" t="s">
        <v>856</v>
      </c>
      <c r="KED97" s="1675" t="s">
        <v>856</v>
      </c>
      <c r="KEE97" s="1675" t="s">
        <v>856</v>
      </c>
      <c r="KEF97" s="1675" t="s">
        <v>856</v>
      </c>
      <c r="KEG97" s="1675" t="s">
        <v>856</v>
      </c>
      <c r="KEH97" s="1675" t="s">
        <v>856</v>
      </c>
      <c r="KEI97" s="1675" t="s">
        <v>856</v>
      </c>
      <c r="KEJ97" s="1675" t="s">
        <v>856</v>
      </c>
      <c r="KEK97" s="1675" t="s">
        <v>856</v>
      </c>
      <c r="KEL97" s="1675" t="s">
        <v>856</v>
      </c>
      <c r="KEM97" s="1675" t="s">
        <v>856</v>
      </c>
      <c r="KEN97" s="1675" t="s">
        <v>856</v>
      </c>
      <c r="KEO97" s="1675" t="s">
        <v>856</v>
      </c>
      <c r="KEP97" s="1675" t="s">
        <v>856</v>
      </c>
      <c r="KEQ97" s="1675" t="s">
        <v>856</v>
      </c>
      <c r="KER97" s="1675" t="s">
        <v>856</v>
      </c>
      <c r="KES97" s="1675" t="s">
        <v>856</v>
      </c>
      <c r="KET97" s="1675" t="s">
        <v>856</v>
      </c>
      <c r="KEU97" s="1675" t="s">
        <v>856</v>
      </c>
      <c r="KEV97" s="1675" t="s">
        <v>856</v>
      </c>
      <c r="KEW97" s="1675" t="s">
        <v>856</v>
      </c>
      <c r="KEX97" s="1675" t="s">
        <v>856</v>
      </c>
      <c r="KEY97" s="1675" t="s">
        <v>856</v>
      </c>
      <c r="KEZ97" s="1675" t="s">
        <v>856</v>
      </c>
      <c r="KFA97" s="1675" t="s">
        <v>856</v>
      </c>
      <c r="KFB97" s="1675" t="s">
        <v>856</v>
      </c>
      <c r="KFC97" s="1675" t="s">
        <v>856</v>
      </c>
      <c r="KFD97" s="1675" t="s">
        <v>856</v>
      </c>
      <c r="KFE97" s="1675" t="s">
        <v>856</v>
      </c>
      <c r="KFF97" s="1675" t="s">
        <v>856</v>
      </c>
      <c r="KFG97" s="1675" t="s">
        <v>856</v>
      </c>
      <c r="KFH97" s="1675" t="s">
        <v>856</v>
      </c>
      <c r="KFI97" s="1675" t="s">
        <v>856</v>
      </c>
      <c r="KFJ97" s="1675" t="s">
        <v>856</v>
      </c>
      <c r="KFK97" s="1675" t="s">
        <v>856</v>
      </c>
      <c r="KFL97" s="1675" t="s">
        <v>856</v>
      </c>
      <c r="KFM97" s="1675" t="s">
        <v>856</v>
      </c>
      <c r="KFN97" s="1675" t="s">
        <v>856</v>
      </c>
      <c r="KFO97" s="1675" t="s">
        <v>856</v>
      </c>
      <c r="KFP97" s="1675" t="s">
        <v>856</v>
      </c>
      <c r="KFQ97" s="1675" t="s">
        <v>856</v>
      </c>
      <c r="KFR97" s="1675" t="s">
        <v>856</v>
      </c>
      <c r="KFS97" s="1675" t="s">
        <v>856</v>
      </c>
      <c r="KFT97" s="1675" t="s">
        <v>856</v>
      </c>
      <c r="KFU97" s="1675" t="s">
        <v>856</v>
      </c>
      <c r="KFV97" s="1675" t="s">
        <v>856</v>
      </c>
      <c r="KFW97" s="1675" t="s">
        <v>856</v>
      </c>
      <c r="KFX97" s="1675" t="s">
        <v>856</v>
      </c>
      <c r="KFY97" s="1675" t="s">
        <v>856</v>
      </c>
      <c r="KFZ97" s="1675" t="s">
        <v>856</v>
      </c>
      <c r="KGA97" s="1675" t="s">
        <v>856</v>
      </c>
      <c r="KGB97" s="1675" t="s">
        <v>856</v>
      </c>
      <c r="KGC97" s="1675" t="s">
        <v>856</v>
      </c>
      <c r="KGD97" s="1675" t="s">
        <v>856</v>
      </c>
      <c r="KGE97" s="1675" t="s">
        <v>856</v>
      </c>
      <c r="KGF97" s="1675" t="s">
        <v>856</v>
      </c>
      <c r="KGG97" s="1675" t="s">
        <v>856</v>
      </c>
      <c r="KGH97" s="1675" t="s">
        <v>856</v>
      </c>
      <c r="KGI97" s="1675" t="s">
        <v>856</v>
      </c>
      <c r="KGJ97" s="1675" t="s">
        <v>856</v>
      </c>
      <c r="KGK97" s="1675" t="s">
        <v>856</v>
      </c>
      <c r="KGL97" s="1675" t="s">
        <v>856</v>
      </c>
      <c r="KGM97" s="1675" t="s">
        <v>856</v>
      </c>
      <c r="KGN97" s="1675" t="s">
        <v>856</v>
      </c>
      <c r="KGO97" s="1675" t="s">
        <v>856</v>
      </c>
      <c r="KGP97" s="1675" t="s">
        <v>856</v>
      </c>
      <c r="KGQ97" s="1675" t="s">
        <v>856</v>
      </c>
      <c r="KGR97" s="1675" t="s">
        <v>856</v>
      </c>
      <c r="KGS97" s="1675" t="s">
        <v>856</v>
      </c>
      <c r="KGT97" s="1675" t="s">
        <v>856</v>
      </c>
      <c r="KGU97" s="1675" t="s">
        <v>856</v>
      </c>
      <c r="KGV97" s="1675" t="s">
        <v>856</v>
      </c>
      <c r="KGW97" s="1675" t="s">
        <v>856</v>
      </c>
      <c r="KGX97" s="1675" t="s">
        <v>856</v>
      </c>
      <c r="KGY97" s="1675" t="s">
        <v>856</v>
      </c>
      <c r="KGZ97" s="1675" t="s">
        <v>856</v>
      </c>
      <c r="KHA97" s="1675" t="s">
        <v>856</v>
      </c>
      <c r="KHB97" s="1675" t="s">
        <v>856</v>
      </c>
      <c r="KHC97" s="1675" t="s">
        <v>856</v>
      </c>
      <c r="KHD97" s="1675" t="s">
        <v>856</v>
      </c>
      <c r="KHE97" s="1675" t="s">
        <v>856</v>
      </c>
      <c r="KHF97" s="1675" t="s">
        <v>856</v>
      </c>
      <c r="KHG97" s="1675" t="s">
        <v>856</v>
      </c>
      <c r="KHH97" s="1675" t="s">
        <v>856</v>
      </c>
      <c r="KHI97" s="1675" t="s">
        <v>856</v>
      </c>
      <c r="KHJ97" s="1675" t="s">
        <v>856</v>
      </c>
      <c r="KHK97" s="1675" t="s">
        <v>856</v>
      </c>
      <c r="KHL97" s="1675" t="s">
        <v>856</v>
      </c>
      <c r="KHM97" s="1675" t="s">
        <v>856</v>
      </c>
      <c r="KHN97" s="1675" t="s">
        <v>856</v>
      </c>
      <c r="KHO97" s="1675" t="s">
        <v>856</v>
      </c>
      <c r="KHP97" s="1675" t="s">
        <v>856</v>
      </c>
      <c r="KHQ97" s="1675" t="s">
        <v>856</v>
      </c>
      <c r="KHR97" s="1675" t="s">
        <v>856</v>
      </c>
      <c r="KHS97" s="1675" t="s">
        <v>856</v>
      </c>
      <c r="KHT97" s="1675" t="s">
        <v>856</v>
      </c>
      <c r="KHU97" s="1675" t="s">
        <v>856</v>
      </c>
      <c r="KHV97" s="1675" t="s">
        <v>856</v>
      </c>
      <c r="KHW97" s="1675" t="s">
        <v>856</v>
      </c>
      <c r="KHX97" s="1675" t="s">
        <v>856</v>
      </c>
      <c r="KHY97" s="1675" t="s">
        <v>856</v>
      </c>
      <c r="KHZ97" s="1675" t="s">
        <v>856</v>
      </c>
      <c r="KIA97" s="1675" t="s">
        <v>856</v>
      </c>
      <c r="KIB97" s="1675" t="s">
        <v>856</v>
      </c>
      <c r="KIC97" s="1675" t="s">
        <v>856</v>
      </c>
      <c r="KID97" s="1675" t="s">
        <v>856</v>
      </c>
      <c r="KIE97" s="1675" t="s">
        <v>856</v>
      </c>
      <c r="KIF97" s="1675" t="s">
        <v>856</v>
      </c>
      <c r="KIG97" s="1675" t="s">
        <v>856</v>
      </c>
      <c r="KIH97" s="1675" t="s">
        <v>856</v>
      </c>
      <c r="KII97" s="1675" t="s">
        <v>856</v>
      </c>
      <c r="KIJ97" s="1675" t="s">
        <v>856</v>
      </c>
      <c r="KIK97" s="1675" t="s">
        <v>856</v>
      </c>
      <c r="KIL97" s="1675" t="s">
        <v>856</v>
      </c>
      <c r="KIM97" s="1675" t="s">
        <v>856</v>
      </c>
      <c r="KIN97" s="1675" t="s">
        <v>856</v>
      </c>
      <c r="KIO97" s="1675" t="s">
        <v>856</v>
      </c>
      <c r="KIP97" s="1675" t="s">
        <v>856</v>
      </c>
      <c r="KIQ97" s="1675" t="s">
        <v>856</v>
      </c>
      <c r="KIR97" s="1675" t="s">
        <v>856</v>
      </c>
      <c r="KIS97" s="1675" t="s">
        <v>856</v>
      </c>
      <c r="KIT97" s="1675" t="s">
        <v>856</v>
      </c>
      <c r="KIU97" s="1675" t="s">
        <v>856</v>
      </c>
      <c r="KIV97" s="1675" t="s">
        <v>856</v>
      </c>
      <c r="KIW97" s="1675" t="s">
        <v>856</v>
      </c>
      <c r="KIX97" s="1675" t="s">
        <v>856</v>
      </c>
      <c r="KIY97" s="1675" t="s">
        <v>856</v>
      </c>
      <c r="KIZ97" s="1675" t="s">
        <v>856</v>
      </c>
      <c r="KJA97" s="1675" t="s">
        <v>856</v>
      </c>
      <c r="KJB97" s="1675" t="s">
        <v>856</v>
      </c>
      <c r="KJC97" s="1675" t="s">
        <v>856</v>
      </c>
      <c r="KJD97" s="1675" t="s">
        <v>856</v>
      </c>
      <c r="KJE97" s="1675" t="s">
        <v>856</v>
      </c>
      <c r="KJF97" s="1675" t="s">
        <v>856</v>
      </c>
      <c r="KJG97" s="1675" t="s">
        <v>856</v>
      </c>
      <c r="KJH97" s="1675" t="s">
        <v>856</v>
      </c>
      <c r="KJI97" s="1675" t="s">
        <v>856</v>
      </c>
      <c r="KJJ97" s="1675" t="s">
        <v>856</v>
      </c>
      <c r="KJK97" s="1675" t="s">
        <v>856</v>
      </c>
      <c r="KJL97" s="1675" t="s">
        <v>856</v>
      </c>
      <c r="KJM97" s="1675" t="s">
        <v>856</v>
      </c>
      <c r="KJN97" s="1675" t="s">
        <v>856</v>
      </c>
      <c r="KJO97" s="1675" t="s">
        <v>856</v>
      </c>
      <c r="KJP97" s="1675" t="s">
        <v>856</v>
      </c>
      <c r="KJQ97" s="1675" t="s">
        <v>856</v>
      </c>
      <c r="KJR97" s="1675" t="s">
        <v>856</v>
      </c>
      <c r="KJS97" s="1675" t="s">
        <v>856</v>
      </c>
      <c r="KJT97" s="1675" t="s">
        <v>856</v>
      </c>
      <c r="KJU97" s="1675" t="s">
        <v>856</v>
      </c>
      <c r="KJV97" s="1675" t="s">
        <v>856</v>
      </c>
      <c r="KJW97" s="1675" t="s">
        <v>856</v>
      </c>
      <c r="KJX97" s="1675" t="s">
        <v>856</v>
      </c>
      <c r="KJY97" s="1675" t="s">
        <v>856</v>
      </c>
      <c r="KJZ97" s="1675" t="s">
        <v>856</v>
      </c>
      <c r="KKA97" s="1675" t="s">
        <v>856</v>
      </c>
      <c r="KKB97" s="1675" t="s">
        <v>856</v>
      </c>
      <c r="KKC97" s="1675" t="s">
        <v>856</v>
      </c>
      <c r="KKD97" s="1675" t="s">
        <v>856</v>
      </c>
      <c r="KKE97" s="1675" t="s">
        <v>856</v>
      </c>
      <c r="KKF97" s="1675" t="s">
        <v>856</v>
      </c>
      <c r="KKG97" s="1675" t="s">
        <v>856</v>
      </c>
      <c r="KKH97" s="1675" t="s">
        <v>856</v>
      </c>
      <c r="KKI97" s="1675" t="s">
        <v>856</v>
      </c>
      <c r="KKJ97" s="1675" t="s">
        <v>856</v>
      </c>
      <c r="KKK97" s="1675" t="s">
        <v>856</v>
      </c>
      <c r="KKL97" s="1675" t="s">
        <v>856</v>
      </c>
      <c r="KKM97" s="1675" t="s">
        <v>856</v>
      </c>
      <c r="KKN97" s="1675" t="s">
        <v>856</v>
      </c>
      <c r="KKO97" s="1675" t="s">
        <v>856</v>
      </c>
      <c r="KKP97" s="1675" t="s">
        <v>856</v>
      </c>
      <c r="KKQ97" s="1675" t="s">
        <v>856</v>
      </c>
      <c r="KKR97" s="1675" t="s">
        <v>856</v>
      </c>
      <c r="KKS97" s="1675" t="s">
        <v>856</v>
      </c>
      <c r="KKT97" s="1675" t="s">
        <v>856</v>
      </c>
      <c r="KKU97" s="1675" t="s">
        <v>856</v>
      </c>
      <c r="KKV97" s="1675" t="s">
        <v>856</v>
      </c>
      <c r="KKW97" s="1675" t="s">
        <v>856</v>
      </c>
      <c r="KKX97" s="1675" t="s">
        <v>856</v>
      </c>
      <c r="KKY97" s="1675" t="s">
        <v>856</v>
      </c>
      <c r="KKZ97" s="1675" t="s">
        <v>856</v>
      </c>
      <c r="KLA97" s="1675" t="s">
        <v>856</v>
      </c>
      <c r="KLB97" s="1675" t="s">
        <v>856</v>
      </c>
      <c r="KLC97" s="1675" t="s">
        <v>856</v>
      </c>
      <c r="KLD97" s="1675" t="s">
        <v>856</v>
      </c>
      <c r="KLE97" s="1675" t="s">
        <v>856</v>
      </c>
      <c r="KLF97" s="1675" t="s">
        <v>856</v>
      </c>
      <c r="KLG97" s="1675" t="s">
        <v>856</v>
      </c>
      <c r="KLH97" s="1675" t="s">
        <v>856</v>
      </c>
      <c r="KLI97" s="1675" t="s">
        <v>856</v>
      </c>
      <c r="KLJ97" s="1675" t="s">
        <v>856</v>
      </c>
      <c r="KLK97" s="1675" t="s">
        <v>856</v>
      </c>
      <c r="KLL97" s="1675" t="s">
        <v>856</v>
      </c>
      <c r="KLM97" s="1675" t="s">
        <v>856</v>
      </c>
      <c r="KLN97" s="1675" t="s">
        <v>856</v>
      </c>
      <c r="KLO97" s="1675" t="s">
        <v>856</v>
      </c>
      <c r="KLP97" s="1675" t="s">
        <v>856</v>
      </c>
      <c r="KLQ97" s="1675" t="s">
        <v>856</v>
      </c>
      <c r="KLR97" s="1675" t="s">
        <v>856</v>
      </c>
      <c r="KLS97" s="1675" t="s">
        <v>856</v>
      </c>
      <c r="KLT97" s="1675" t="s">
        <v>856</v>
      </c>
      <c r="KLU97" s="1675" t="s">
        <v>856</v>
      </c>
      <c r="KLV97" s="1675" t="s">
        <v>856</v>
      </c>
      <c r="KLW97" s="1675" t="s">
        <v>856</v>
      </c>
      <c r="KLX97" s="1675" t="s">
        <v>856</v>
      </c>
      <c r="KLY97" s="1675" t="s">
        <v>856</v>
      </c>
      <c r="KLZ97" s="1675" t="s">
        <v>856</v>
      </c>
      <c r="KMA97" s="1675" t="s">
        <v>856</v>
      </c>
      <c r="KMB97" s="1675" t="s">
        <v>856</v>
      </c>
      <c r="KMC97" s="1675" t="s">
        <v>856</v>
      </c>
      <c r="KMD97" s="1675" t="s">
        <v>856</v>
      </c>
      <c r="KME97" s="1675" t="s">
        <v>856</v>
      </c>
      <c r="KMF97" s="1675" t="s">
        <v>856</v>
      </c>
      <c r="KMG97" s="1675" t="s">
        <v>856</v>
      </c>
      <c r="KMH97" s="1675" t="s">
        <v>856</v>
      </c>
      <c r="KMI97" s="1675" t="s">
        <v>856</v>
      </c>
      <c r="KMJ97" s="1675" t="s">
        <v>856</v>
      </c>
      <c r="KMK97" s="1675" t="s">
        <v>856</v>
      </c>
      <c r="KML97" s="1675" t="s">
        <v>856</v>
      </c>
      <c r="KMM97" s="1675" t="s">
        <v>856</v>
      </c>
      <c r="KMN97" s="1675" t="s">
        <v>856</v>
      </c>
      <c r="KMO97" s="1675" t="s">
        <v>856</v>
      </c>
      <c r="KMP97" s="1675" t="s">
        <v>856</v>
      </c>
      <c r="KMQ97" s="1675" t="s">
        <v>856</v>
      </c>
      <c r="KMR97" s="1675" t="s">
        <v>856</v>
      </c>
      <c r="KMS97" s="1675" t="s">
        <v>856</v>
      </c>
      <c r="KMT97" s="1675" t="s">
        <v>856</v>
      </c>
      <c r="KMU97" s="1675" t="s">
        <v>856</v>
      </c>
      <c r="KMV97" s="1675" t="s">
        <v>856</v>
      </c>
      <c r="KMW97" s="1675" t="s">
        <v>856</v>
      </c>
      <c r="KMX97" s="1675" t="s">
        <v>856</v>
      </c>
      <c r="KMY97" s="1675" t="s">
        <v>856</v>
      </c>
      <c r="KMZ97" s="1675" t="s">
        <v>856</v>
      </c>
      <c r="KNA97" s="1675" t="s">
        <v>856</v>
      </c>
      <c r="KNB97" s="1675" t="s">
        <v>856</v>
      </c>
      <c r="KNC97" s="1675" t="s">
        <v>856</v>
      </c>
      <c r="KND97" s="1675" t="s">
        <v>856</v>
      </c>
      <c r="KNE97" s="1675" t="s">
        <v>856</v>
      </c>
      <c r="KNF97" s="1675" t="s">
        <v>856</v>
      </c>
      <c r="KNG97" s="1675" t="s">
        <v>856</v>
      </c>
      <c r="KNH97" s="1675" t="s">
        <v>856</v>
      </c>
      <c r="KNI97" s="1675" t="s">
        <v>856</v>
      </c>
      <c r="KNJ97" s="1675" t="s">
        <v>856</v>
      </c>
      <c r="KNK97" s="1675" t="s">
        <v>856</v>
      </c>
      <c r="KNL97" s="1675" t="s">
        <v>856</v>
      </c>
      <c r="KNM97" s="1675" t="s">
        <v>856</v>
      </c>
      <c r="KNN97" s="1675" t="s">
        <v>856</v>
      </c>
      <c r="KNO97" s="1675" t="s">
        <v>856</v>
      </c>
      <c r="KNP97" s="1675" t="s">
        <v>856</v>
      </c>
      <c r="KNQ97" s="1675" t="s">
        <v>856</v>
      </c>
      <c r="KNR97" s="1675" t="s">
        <v>856</v>
      </c>
      <c r="KNS97" s="1675" t="s">
        <v>856</v>
      </c>
      <c r="KNT97" s="1675" t="s">
        <v>856</v>
      </c>
      <c r="KNU97" s="1675" t="s">
        <v>856</v>
      </c>
      <c r="KNV97" s="1675" t="s">
        <v>856</v>
      </c>
      <c r="KNW97" s="1675" t="s">
        <v>856</v>
      </c>
      <c r="KNX97" s="1675" t="s">
        <v>856</v>
      </c>
      <c r="KNY97" s="1675" t="s">
        <v>856</v>
      </c>
      <c r="KNZ97" s="1675" t="s">
        <v>856</v>
      </c>
      <c r="KOA97" s="1675" t="s">
        <v>856</v>
      </c>
      <c r="KOB97" s="1675" t="s">
        <v>856</v>
      </c>
      <c r="KOC97" s="1675" t="s">
        <v>856</v>
      </c>
      <c r="KOD97" s="1675" t="s">
        <v>856</v>
      </c>
      <c r="KOE97" s="1675" t="s">
        <v>856</v>
      </c>
      <c r="KOF97" s="1675" t="s">
        <v>856</v>
      </c>
      <c r="KOG97" s="1675" t="s">
        <v>856</v>
      </c>
      <c r="KOH97" s="1675" t="s">
        <v>856</v>
      </c>
      <c r="KOI97" s="1675" t="s">
        <v>856</v>
      </c>
      <c r="KOJ97" s="1675" t="s">
        <v>856</v>
      </c>
      <c r="KOK97" s="1675" t="s">
        <v>856</v>
      </c>
      <c r="KOL97" s="1675" t="s">
        <v>856</v>
      </c>
      <c r="KOM97" s="1675" t="s">
        <v>856</v>
      </c>
      <c r="KON97" s="1675" t="s">
        <v>856</v>
      </c>
      <c r="KOO97" s="1675" t="s">
        <v>856</v>
      </c>
      <c r="KOP97" s="1675" t="s">
        <v>856</v>
      </c>
      <c r="KOQ97" s="1675" t="s">
        <v>856</v>
      </c>
      <c r="KOR97" s="1675" t="s">
        <v>856</v>
      </c>
      <c r="KOS97" s="1675" t="s">
        <v>856</v>
      </c>
      <c r="KOT97" s="1675" t="s">
        <v>856</v>
      </c>
      <c r="KOU97" s="1675" t="s">
        <v>856</v>
      </c>
      <c r="KOV97" s="1675" t="s">
        <v>856</v>
      </c>
      <c r="KOW97" s="1675" t="s">
        <v>856</v>
      </c>
      <c r="KOX97" s="1675" t="s">
        <v>856</v>
      </c>
      <c r="KOY97" s="1675" t="s">
        <v>856</v>
      </c>
      <c r="KOZ97" s="1675" t="s">
        <v>856</v>
      </c>
      <c r="KPA97" s="1675" t="s">
        <v>856</v>
      </c>
      <c r="KPB97" s="1675" t="s">
        <v>856</v>
      </c>
      <c r="KPC97" s="1675" t="s">
        <v>856</v>
      </c>
      <c r="KPD97" s="1675" t="s">
        <v>856</v>
      </c>
      <c r="KPE97" s="1675" t="s">
        <v>856</v>
      </c>
      <c r="KPF97" s="1675" t="s">
        <v>856</v>
      </c>
      <c r="KPG97" s="1675" t="s">
        <v>856</v>
      </c>
      <c r="KPH97" s="1675" t="s">
        <v>856</v>
      </c>
      <c r="KPI97" s="1675" t="s">
        <v>856</v>
      </c>
      <c r="KPJ97" s="1675" t="s">
        <v>856</v>
      </c>
      <c r="KPK97" s="1675" t="s">
        <v>856</v>
      </c>
      <c r="KPL97" s="1675" t="s">
        <v>856</v>
      </c>
      <c r="KPM97" s="1675" t="s">
        <v>856</v>
      </c>
      <c r="KPN97" s="1675" t="s">
        <v>856</v>
      </c>
      <c r="KPO97" s="1675" t="s">
        <v>856</v>
      </c>
      <c r="KPP97" s="1675" t="s">
        <v>856</v>
      </c>
      <c r="KPQ97" s="1675" t="s">
        <v>856</v>
      </c>
      <c r="KPR97" s="1675" t="s">
        <v>856</v>
      </c>
      <c r="KPS97" s="1675" t="s">
        <v>856</v>
      </c>
      <c r="KPT97" s="1675" t="s">
        <v>856</v>
      </c>
      <c r="KPU97" s="1675" t="s">
        <v>856</v>
      </c>
      <c r="KPV97" s="1675" t="s">
        <v>856</v>
      </c>
      <c r="KPW97" s="1675" t="s">
        <v>856</v>
      </c>
      <c r="KPX97" s="1675" t="s">
        <v>856</v>
      </c>
      <c r="KPY97" s="1675" t="s">
        <v>856</v>
      </c>
      <c r="KPZ97" s="1675" t="s">
        <v>856</v>
      </c>
      <c r="KQA97" s="1675" t="s">
        <v>856</v>
      </c>
      <c r="KQB97" s="1675" t="s">
        <v>856</v>
      </c>
      <c r="KQC97" s="1675" t="s">
        <v>856</v>
      </c>
      <c r="KQD97" s="1675" t="s">
        <v>856</v>
      </c>
      <c r="KQE97" s="1675" t="s">
        <v>856</v>
      </c>
      <c r="KQF97" s="1675" t="s">
        <v>856</v>
      </c>
      <c r="KQG97" s="1675" t="s">
        <v>856</v>
      </c>
      <c r="KQH97" s="1675" t="s">
        <v>856</v>
      </c>
      <c r="KQI97" s="1675" t="s">
        <v>856</v>
      </c>
      <c r="KQJ97" s="1675" t="s">
        <v>856</v>
      </c>
      <c r="KQK97" s="1675" t="s">
        <v>856</v>
      </c>
      <c r="KQL97" s="1675" t="s">
        <v>856</v>
      </c>
      <c r="KQM97" s="1675" t="s">
        <v>856</v>
      </c>
      <c r="KQN97" s="1675" t="s">
        <v>856</v>
      </c>
      <c r="KQO97" s="1675" t="s">
        <v>856</v>
      </c>
      <c r="KQP97" s="1675" t="s">
        <v>856</v>
      </c>
      <c r="KQQ97" s="1675" t="s">
        <v>856</v>
      </c>
      <c r="KQR97" s="1675" t="s">
        <v>856</v>
      </c>
      <c r="KQS97" s="1675" t="s">
        <v>856</v>
      </c>
      <c r="KQT97" s="1675" t="s">
        <v>856</v>
      </c>
      <c r="KQU97" s="1675" t="s">
        <v>856</v>
      </c>
      <c r="KQV97" s="1675" t="s">
        <v>856</v>
      </c>
      <c r="KQW97" s="1675" t="s">
        <v>856</v>
      </c>
      <c r="KQX97" s="1675" t="s">
        <v>856</v>
      </c>
      <c r="KQY97" s="1675" t="s">
        <v>856</v>
      </c>
      <c r="KQZ97" s="1675" t="s">
        <v>856</v>
      </c>
      <c r="KRA97" s="1675" t="s">
        <v>856</v>
      </c>
      <c r="KRB97" s="1675" t="s">
        <v>856</v>
      </c>
      <c r="KRC97" s="1675" t="s">
        <v>856</v>
      </c>
      <c r="KRD97" s="1675" t="s">
        <v>856</v>
      </c>
      <c r="KRE97" s="1675" t="s">
        <v>856</v>
      </c>
      <c r="KRF97" s="1675" t="s">
        <v>856</v>
      </c>
      <c r="KRG97" s="1675" t="s">
        <v>856</v>
      </c>
      <c r="KRH97" s="1675" t="s">
        <v>856</v>
      </c>
      <c r="KRI97" s="1675" t="s">
        <v>856</v>
      </c>
      <c r="KRJ97" s="1675" t="s">
        <v>856</v>
      </c>
      <c r="KRK97" s="1675" t="s">
        <v>856</v>
      </c>
      <c r="KRL97" s="1675" t="s">
        <v>856</v>
      </c>
      <c r="KRM97" s="1675" t="s">
        <v>856</v>
      </c>
      <c r="KRN97" s="1675" t="s">
        <v>856</v>
      </c>
      <c r="KRO97" s="1675" t="s">
        <v>856</v>
      </c>
      <c r="KRP97" s="1675" t="s">
        <v>856</v>
      </c>
      <c r="KRQ97" s="1675" t="s">
        <v>856</v>
      </c>
      <c r="KRR97" s="1675" t="s">
        <v>856</v>
      </c>
      <c r="KRS97" s="1675" t="s">
        <v>856</v>
      </c>
      <c r="KRT97" s="1675" t="s">
        <v>856</v>
      </c>
      <c r="KRU97" s="1675" t="s">
        <v>856</v>
      </c>
      <c r="KRV97" s="1675" t="s">
        <v>856</v>
      </c>
      <c r="KRW97" s="1675" t="s">
        <v>856</v>
      </c>
      <c r="KRX97" s="1675" t="s">
        <v>856</v>
      </c>
      <c r="KRY97" s="1675" t="s">
        <v>856</v>
      </c>
      <c r="KRZ97" s="1675" t="s">
        <v>856</v>
      </c>
      <c r="KSA97" s="1675" t="s">
        <v>856</v>
      </c>
      <c r="KSB97" s="1675" t="s">
        <v>856</v>
      </c>
      <c r="KSC97" s="1675" t="s">
        <v>856</v>
      </c>
      <c r="KSD97" s="1675" t="s">
        <v>856</v>
      </c>
      <c r="KSE97" s="1675" t="s">
        <v>856</v>
      </c>
      <c r="KSF97" s="1675" t="s">
        <v>856</v>
      </c>
      <c r="KSG97" s="1675" t="s">
        <v>856</v>
      </c>
      <c r="KSH97" s="1675" t="s">
        <v>856</v>
      </c>
      <c r="KSI97" s="1675" t="s">
        <v>856</v>
      </c>
      <c r="KSJ97" s="1675" t="s">
        <v>856</v>
      </c>
      <c r="KSK97" s="1675" t="s">
        <v>856</v>
      </c>
      <c r="KSL97" s="1675" t="s">
        <v>856</v>
      </c>
      <c r="KSM97" s="1675" t="s">
        <v>856</v>
      </c>
      <c r="KSN97" s="1675" t="s">
        <v>856</v>
      </c>
      <c r="KSO97" s="1675" t="s">
        <v>856</v>
      </c>
      <c r="KSP97" s="1675" t="s">
        <v>856</v>
      </c>
      <c r="KSQ97" s="1675" t="s">
        <v>856</v>
      </c>
      <c r="KSR97" s="1675" t="s">
        <v>856</v>
      </c>
      <c r="KSS97" s="1675" t="s">
        <v>856</v>
      </c>
      <c r="KST97" s="1675" t="s">
        <v>856</v>
      </c>
      <c r="KSU97" s="1675" t="s">
        <v>856</v>
      </c>
      <c r="KSV97" s="1675" t="s">
        <v>856</v>
      </c>
      <c r="KSW97" s="1675" t="s">
        <v>856</v>
      </c>
      <c r="KSX97" s="1675" t="s">
        <v>856</v>
      </c>
      <c r="KSY97" s="1675" t="s">
        <v>856</v>
      </c>
      <c r="KSZ97" s="1675" t="s">
        <v>856</v>
      </c>
      <c r="KTA97" s="1675" t="s">
        <v>856</v>
      </c>
      <c r="KTB97" s="1675" t="s">
        <v>856</v>
      </c>
      <c r="KTC97" s="1675" t="s">
        <v>856</v>
      </c>
      <c r="KTD97" s="1675" t="s">
        <v>856</v>
      </c>
      <c r="KTE97" s="1675" t="s">
        <v>856</v>
      </c>
      <c r="KTF97" s="1675" t="s">
        <v>856</v>
      </c>
      <c r="KTG97" s="1675" t="s">
        <v>856</v>
      </c>
      <c r="KTH97" s="1675" t="s">
        <v>856</v>
      </c>
      <c r="KTI97" s="1675" t="s">
        <v>856</v>
      </c>
      <c r="KTJ97" s="1675" t="s">
        <v>856</v>
      </c>
      <c r="KTK97" s="1675" t="s">
        <v>856</v>
      </c>
      <c r="KTL97" s="1675" t="s">
        <v>856</v>
      </c>
      <c r="KTM97" s="1675" t="s">
        <v>856</v>
      </c>
      <c r="KTN97" s="1675" t="s">
        <v>856</v>
      </c>
      <c r="KTO97" s="1675" t="s">
        <v>856</v>
      </c>
      <c r="KTP97" s="1675" t="s">
        <v>856</v>
      </c>
      <c r="KTQ97" s="1675" t="s">
        <v>856</v>
      </c>
      <c r="KTR97" s="1675" t="s">
        <v>856</v>
      </c>
      <c r="KTS97" s="1675" t="s">
        <v>856</v>
      </c>
      <c r="KTT97" s="1675" t="s">
        <v>856</v>
      </c>
      <c r="KTU97" s="1675" t="s">
        <v>856</v>
      </c>
      <c r="KTV97" s="1675" t="s">
        <v>856</v>
      </c>
      <c r="KTW97" s="1675" t="s">
        <v>856</v>
      </c>
      <c r="KTX97" s="1675" t="s">
        <v>856</v>
      </c>
      <c r="KTY97" s="1675" t="s">
        <v>856</v>
      </c>
      <c r="KTZ97" s="1675" t="s">
        <v>856</v>
      </c>
      <c r="KUA97" s="1675" t="s">
        <v>856</v>
      </c>
      <c r="KUB97" s="1675" t="s">
        <v>856</v>
      </c>
      <c r="KUC97" s="1675" t="s">
        <v>856</v>
      </c>
      <c r="KUD97" s="1675" t="s">
        <v>856</v>
      </c>
      <c r="KUE97" s="1675" t="s">
        <v>856</v>
      </c>
      <c r="KUF97" s="1675" t="s">
        <v>856</v>
      </c>
      <c r="KUG97" s="1675" t="s">
        <v>856</v>
      </c>
      <c r="KUH97" s="1675" t="s">
        <v>856</v>
      </c>
      <c r="KUI97" s="1675" t="s">
        <v>856</v>
      </c>
      <c r="KUJ97" s="1675" t="s">
        <v>856</v>
      </c>
      <c r="KUK97" s="1675" t="s">
        <v>856</v>
      </c>
      <c r="KUL97" s="1675" t="s">
        <v>856</v>
      </c>
      <c r="KUM97" s="1675" t="s">
        <v>856</v>
      </c>
      <c r="KUN97" s="1675" t="s">
        <v>856</v>
      </c>
      <c r="KUO97" s="1675" t="s">
        <v>856</v>
      </c>
      <c r="KUP97" s="1675" t="s">
        <v>856</v>
      </c>
      <c r="KUQ97" s="1675" t="s">
        <v>856</v>
      </c>
      <c r="KUR97" s="1675" t="s">
        <v>856</v>
      </c>
      <c r="KUS97" s="1675" t="s">
        <v>856</v>
      </c>
      <c r="KUT97" s="1675" t="s">
        <v>856</v>
      </c>
      <c r="KUU97" s="1675" t="s">
        <v>856</v>
      </c>
      <c r="KUV97" s="1675" t="s">
        <v>856</v>
      </c>
      <c r="KUW97" s="1675" t="s">
        <v>856</v>
      </c>
      <c r="KUX97" s="1675" t="s">
        <v>856</v>
      </c>
      <c r="KUY97" s="1675" t="s">
        <v>856</v>
      </c>
      <c r="KUZ97" s="1675" t="s">
        <v>856</v>
      </c>
      <c r="KVA97" s="1675" t="s">
        <v>856</v>
      </c>
      <c r="KVB97" s="1675" t="s">
        <v>856</v>
      </c>
      <c r="KVC97" s="1675" t="s">
        <v>856</v>
      </c>
      <c r="KVD97" s="1675" t="s">
        <v>856</v>
      </c>
      <c r="KVE97" s="1675" t="s">
        <v>856</v>
      </c>
      <c r="KVF97" s="1675" t="s">
        <v>856</v>
      </c>
      <c r="KVG97" s="1675" t="s">
        <v>856</v>
      </c>
      <c r="KVH97" s="1675" t="s">
        <v>856</v>
      </c>
      <c r="KVI97" s="1675" t="s">
        <v>856</v>
      </c>
      <c r="KVJ97" s="1675" t="s">
        <v>856</v>
      </c>
      <c r="KVK97" s="1675" t="s">
        <v>856</v>
      </c>
      <c r="KVL97" s="1675" t="s">
        <v>856</v>
      </c>
      <c r="KVM97" s="1675" t="s">
        <v>856</v>
      </c>
      <c r="KVN97" s="1675" t="s">
        <v>856</v>
      </c>
      <c r="KVO97" s="1675" t="s">
        <v>856</v>
      </c>
      <c r="KVP97" s="1675" t="s">
        <v>856</v>
      </c>
      <c r="KVQ97" s="1675" t="s">
        <v>856</v>
      </c>
      <c r="KVR97" s="1675" t="s">
        <v>856</v>
      </c>
      <c r="KVS97" s="1675" t="s">
        <v>856</v>
      </c>
      <c r="KVT97" s="1675" t="s">
        <v>856</v>
      </c>
      <c r="KVU97" s="1675" t="s">
        <v>856</v>
      </c>
      <c r="KVV97" s="1675" t="s">
        <v>856</v>
      </c>
      <c r="KVW97" s="1675" t="s">
        <v>856</v>
      </c>
      <c r="KVX97" s="1675" t="s">
        <v>856</v>
      </c>
      <c r="KVY97" s="1675" t="s">
        <v>856</v>
      </c>
      <c r="KVZ97" s="1675" t="s">
        <v>856</v>
      </c>
      <c r="KWA97" s="1675" t="s">
        <v>856</v>
      </c>
      <c r="KWB97" s="1675" t="s">
        <v>856</v>
      </c>
      <c r="KWC97" s="1675" t="s">
        <v>856</v>
      </c>
      <c r="KWD97" s="1675" t="s">
        <v>856</v>
      </c>
      <c r="KWE97" s="1675" t="s">
        <v>856</v>
      </c>
      <c r="KWF97" s="1675" t="s">
        <v>856</v>
      </c>
      <c r="KWG97" s="1675" t="s">
        <v>856</v>
      </c>
      <c r="KWH97" s="1675" t="s">
        <v>856</v>
      </c>
      <c r="KWI97" s="1675" t="s">
        <v>856</v>
      </c>
      <c r="KWJ97" s="1675" t="s">
        <v>856</v>
      </c>
      <c r="KWK97" s="1675" t="s">
        <v>856</v>
      </c>
      <c r="KWL97" s="1675" t="s">
        <v>856</v>
      </c>
      <c r="KWM97" s="1675" t="s">
        <v>856</v>
      </c>
      <c r="KWN97" s="1675" t="s">
        <v>856</v>
      </c>
      <c r="KWO97" s="1675" t="s">
        <v>856</v>
      </c>
      <c r="KWP97" s="1675" t="s">
        <v>856</v>
      </c>
      <c r="KWQ97" s="1675" t="s">
        <v>856</v>
      </c>
      <c r="KWR97" s="1675" t="s">
        <v>856</v>
      </c>
      <c r="KWS97" s="1675" t="s">
        <v>856</v>
      </c>
      <c r="KWT97" s="1675" t="s">
        <v>856</v>
      </c>
      <c r="KWU97" s="1675" t="s">
        <v>856</v>
      </c>
      <c r="KWV97" s="1675" t="s">
        <v>856</v>
      </c>
      <c r="KWW97" s="1675" t="s">
        <v>856</v>
      </c>
      <c r="KWX97" s="1675" t="s">
        <v>856</v>
      </c>
      <c r="KWY97" s="1675" t="s">
        <v>856</v>
      </c>
      <c r="KWZ97" s="1675" t="s">
        <v>856</v>
      </c>
      <c r="KXA97" s="1675" t="s">
        <v>856</v>
      </c>
      <c r="KXB97" s="1675" t="s">
        <v>856</v>
      </c>
      <c r="KXC97" s="1675" t="s">
        <v>856</v>
      </c>
      <c r="KXD97" s="1675" t="s">
        <v>856</v>
      </c>
      <c r="KXE97" s="1675" t="s">
        <v>856</v>
      </c>
      <c r="KXF97" s="1675" t="s">
        <v>856</v>
      </c>
      <c r="KXG97" s="1675" t="s">
        <v>856</v>
      </c>
      <c r="KXH97" s="1675" t="s">
        <v>856</v>
      </c>
      <c r="KXI97" s="1675" t="s">
        <v>856</v>
      </c>
      <c r="KXJ97" s="1675" t="s">
        <v>856</v>
      </c>
      <c r="KXK97" s="1675" t="s">
        <v>856</v>
      </c>
      <c r="KXL97" s="1675" t="s">
        <v>856</v>
      </c>
      <c r="KXM97" s="1675" t="s">
        <v>856</v>
      </c>
      <c r="KXN97" s="1675" t="s">
        <v>856</v>
      </c>
      <c r="KXO97" s="1675" t="s">
        <v>856</v>
      </c>
      <c r="KXP97" s="1675" t="s">
        <v>856</v>
      </c>
      <c r="KXQ97" s="1675" t="s">
        <v>856</v>
      </c>
      <c r="KXR97" s="1675" t="s">
        <v>856</v>
      </c>
      <c r="KXS97" s="1675" t="s">
        <v>856</v>
      </c>
      <c r="KXT97" s="1675" t="s">
        <v>856</v>
      </c>
      <c r="KXU97" s="1675" t="s">
        <v>856</v>
      </c>
      <c r="KXV97" s="1675" t="s">
        <v>856</v>
      </c>
      <c r="KXW97" s="1675" t="s">
        <v>856</v>
      </c>
      <c r="KXX97" s="1675" t="s">
        <v>856</v>
      </c>
      <c r="KXY97" s="1675" t="s">
        <v>856</v>
      </c>
      <c r="KXZ97" s="1675" t="s">
        <v>856</v>
      </c>
      <c r="KYA97" s="1675" t="s">
        <v>856</v>
      </c>
      <c r="KYB97" s="1675" t="s">
        <v>856</v>
      </c>
      <c r="KYC97" s="1675" t="s">
        <v>856</v>
      </c>
      <c r="KYD97" s="1675" t="s">
        <v>856</v>
      </c>
      <c r="KYE97" s="1675" t="s">
        <v>856</v>
      </c>
      <c r="KYF97" s="1675" t="s">
        <v>856</v>
      </c>
      <c r="KYG97" s="1675" t="s">
        <v>856</v>
      </c>
      <c r="KYH97" s="1675" t="s">
        <v>856</v>
      </c>
      <c r="KYI97" s="1675" t="s">
        <v>856</v>
      </c>
      <c r="KYJ97" s="1675" t="s">
        <v>856</v>
      </c>
      <c r="KYK97" s="1675" t="s">
        <v>856</v>
      </c>
      <c r="KYL97" s="1675" t="s">
        <v>856</v>
      </c>
      <c r="KYM97" s="1675" t="s">
        <v>856</v>
      </c>
      <c r="KYN97" s="1675" t="s">
        <v>856</v>
      </c>
      <c r="KYO97" s="1675" t="s">
        <v>856</v>
      </c>
      <c r="KYP97" s="1675" t="s">
        <v>856</v>
      </c>
      <c r="KYQ97" s="1675" t="s">
        <v>856</v>
      </c>
      <c r="KYR97" s="1675" t="s">
        <v>856</v>
      </c>
      <c r="KYS97" s="1675" t="s">
        <v>856</v>
      </c>
      <c r="KYT97" s="1675" t="s">
        <v>856</v>
      </c>
      <c r="KYU97" s="1675" t="s">
        <v>856</v>
      </c>
      <c r="KYV97" s="1675" t="s">
        <v>856</v>
      </c>
      <c r="KYW97" s="1675" t="s">
        <v>856</v>
      </c>
      <c r="KYX97" s="1675" t="s">
        <v>856</v>
      </c>
      <c r="KYY97" s="1675" t="s">
        <v>856</v>
      </c>
      <c r="KYZ97" s="1675" t="s">
        <v>856</v>
      </c>
      <c r="KZA97" s="1675" t="s">
        <v>856</v>
      </c>
      <c r="KZB97" s="1675" t="s">
        <v>856</v>
      </c>
      <c r="KZC97" s="1675" t="s">
        <v>856</v>
      </c>
      <c r="KZD97" s="1675" t="s">
        <v>856</v>
      </c>
      <c r="KZE97" s="1675" t="s">
        <v>856</v>
      </c>
      <c r="KZF97" s="1675" t="s">
        <v>856</v>
      </c>
      <c r="KZG97" s="1675" t="s">
        <v>856</v>
      </c>
      <c r="KZH97" s="1675" t="s">
        <v>856</v>
      </c>
      <c r="KZI97" s="1675" t="s">
        <v>856</v>
      </c>
      <c r="KZJ97" s="1675" t="s">
        <v>856</v>
      </c>
      <c r="KZK97" s="1675" t="s">
        <v>856</v>
      </c>
      <c r="KZL97" s="1675" t="s">
        <v>856</v>
      </c>
      <c r="KZM97" s="1675" t="s">
        <v>856</v>
      </c>
      <c r="KZN97" s="1675" t="s">
        <v>856</v>
      </c>
      <c r="KZO97" s="1675" t="s">
        <v>856</v>
      </c>
      <c r="KZP97" s="1675" t="s">
        <v>856</v>
      </c>
      <c r="KZQ97" s="1675" t="s">
        <v>856</v>
      </c>
      <c r="KZR97" s="1675" t="s">
        <v>856</v>
      </c>
      <c r="KZS97" s="1675" t="s">
        <v>856</v>
      </c>
      <c r="KZT97" s="1675" t="s">
        <v>856</v>
      </c>
      <c r="KZU97" s="1675" t="s">
        <v>856</v>
      </c>
      <c r="KZV97" s="1675" t="s">
        <v>856</v>
      </c>
      <c r="KZW97" s="1675" t="s">
        <v>856</v>
      </c>
      <c r="KZX97" s="1675" t="s">
        <v>856</v>
      </c>
      <c r="KZY97" s="1675" t="s">
        <v>856</v>
      </c>
      <c r="KZZ97" s="1675" t="s">
        <v>856</v>
      </c>
      <c r="LAA97" s="1675" t="s">
        <v>856</v>
      </c>
      <c r="LAB97" s="1675" t="s">
        <v>856</v>
      </c>
      <c r="LAC97" s="1675" t="s">
        <v>856</v>
      </c>
      <c r="LAD97" s="1675" t="s">
        <v>856</v>
      </c>
      <c r="LAE97" s="1675" t="s">
        <v>856</v>
      </c>
      <c r="LAF97" s="1675" t="s">
        <v>856</v>
      </c>
      <c r="LAG97" s="1675" t="s">
        <v>856</v>
      </c>
      <c r="LAH97" s="1675" t="s">
        <v>856</v>
      </c>
      <c r="LAI97" s="1675" t="s">
        <v>856</v>
      </c>
      <c r="LAJ97" s="1675" t="s">
        <v>856</v>
      </c>
      <c r="LAK97" s="1675" t="s">
        <v>856</v>
      </c>
      <c r="LAL97" s="1675" t="s">
        <v>856</v>
      </c>
      <c r="LAM97" s="1675" t="s">
        <v>856</v>
      </c>
      <c r="LAN97" s="1675" t="s">
        <v>856</v>
      </c>
      <c r="LAO97" s="1675" t="s">
        <v>856</v>
      </c>
      <c r="LAP97" s="1675" t="s">
        <v>856</v>
      </c>
      <c r="LAQ97" s="1675" t="s">
        <v>856</v>
      </c>
      <c r="LAR97" s="1675" t="s">
        <v>856</v>
      </c>
      <c r="LAS97" s="1675" t="s">
        <v>856</v>
      </c>
      <c r="LAT97" s="1675" t="s">
        <v>856</v>
      </c>
      <c r="LAU97" s="1675" t="s">
        <v>856</v>
      </c>
      <c r="LAV97" s="1675" t="s">
        <v>856</v>
      </c>
      <c r="LAW97" s="1675" t="s">
        <v>856</v>
      </c>
      <c r="LAX97" s="1675" t="s">
        <v>856</v>
      </c>
      <c r="LAY97" s="1675" t="s">
        <v>856</v>
      </c>
      <c r="LAZ97" s="1675" t="s">
        <v>856</v>
      </c>
      <c r="LBA97" s="1675" t="s">
        <v>856</v>
      </c>
      <c r="LBB97" s="1675" t="s">
        <v>856</v>
      </c>
      <c r="LBC97" s="1675" t="s">
        <v>856</v>
      </c>
      <c r="LBD97" s="1675" t="s">
        <v>856</v>
      </c>
      <c r="LBE97" s="1675" t="s">
        <v>856</v>
      </c>
      <c r="LBF97" s="1675" t="s">
        <v>856</v>
      </c>
      <c r="LBG97" s="1675" t="s">
        <v>856</v>
      </c>
      <c r="LBH97" s="1675" t="s">
        <v>856</v>
      </c>
      <c r="LBI97" s="1675" t="s">
        <v>856</v>
      </c>
      <c r="LBJ97" s="1675" t="s">
        <v>856</v>
      </c>
      <c r="LBK97" s="1675" t="s">
        <v>856</v>
      </c>
      <c r="LBL97" s="1675" t="s">
        <v>856</v>
      </c>
      <c r="LBM97" s="1675" t="s">
        <v>856</v>
      </c>
      <c r="LBN97" s="1675" t="s">
        <v>856</v>
      </c>
      <c r="LBO97" s="1675" t="s">
        <v>856</v>
      </c>
      <c r="LBP97" s="1675" t="s">
        <v>856</v>
      </c>
      <c r="LBQ97" s="1675" t="s">
        <v>856</v>
      </c>
      <c r="LBR97" s="1675" t="s">
        <v>856</v>
      </c>
      <c r="LBS97" s="1675" t="s">
        <v>856</v>
      </c>
      <c r="LBT97" s="1675" t="s">
        <v>856</v>
      </c>
      <c r="LBU97" s="1675" t="s">
        <v>856</v>
      </c>
      <c r="LBV97" s="1675" t="s">
        <v>856</v>
      </c>
      <c r="LBW97" s="1675" t="s">
        <v>856</v>
      </c>
      <c r="LBX97" s="1675" t="s">
        <v>856</v>
      </c>
      <c r="LBY97" s="1675" t="s">
        <v>856</v>
      </c>
      <c r="LBZ97" s="1675" t="s">
        <v>856</v>
      </c>
      <c r="LCA97" s="1675" t="s">
        <v>856</v>
      </c>
      <c r="LCB97" s="1675" t="s">
        <v>856</v>
      </c>
      <c r="LCC97" s="1675" t="s">
        <v>856</v>
      </c>
      <c r="LCD97" s="1675" t="s">
        <v>856</v>
      </c>
      <c r="LCE97" s="1675" t="s">
        <v>856</v>
      </c>
      <c r="LCF97" s="1675" t="s">
        <v>856</v>
      </c>
      <c r="LCG97" s="1675" t="s">
        <v>856</v>
      </c>
      <c r="LCH97" s="1675" t="s">
        <v>856</v>
      </c>
      <c r="LCI97" s="1675" t="s">
        <v>856</v>
      </c>
      <c r="LCJ97" s="1675" t="s">
        <v>856</v>
      </c>
      <c r="LCK97" s="1675" t="s">
        <v>856</v>
      </c>
      <c r="LCL97" s="1675" t="s">
        <v>856</v>
      </c>
      <c r="LCM97" s="1675" t="s">
        <v>856</v>
      </c>
      <c r="LCN97" s="1675" t="s">
        <v>856</v>
      </c>
      <c r="LCO97" s="1675" t="s">
        <v>856</v>
      </c>
      <c r="LCP97" s="1675" t="s">
        <v>856</v>
      </c>
      <c r="LCQ97" s="1675" t="s">
        <v>856</v>
      </c>
      <c r="LCR97" s="1675" t="s">
        <v>856</v>
      </c>
      <c r="LCS97" s="1675" t="s">
        <v>856</v>
      </c>
      <c r="LCT97" s="1675" t="s">
        <v>856</v>
      </c>
      <c r="LCU97" s="1675" t="s">
        <v>856</v>
      </c>
      <c r="LCV97" s="1675" t="s">
        <v>856</v>
      </c>
      <c r="LCW97" s="1675" t="s">
        <v>856</v>
      </c>
      <c r="LCX97" s="1675" t="s">
        <v>856</v>
      </c>
      <c r="LCY97" s="1675" t="s">
        <v>856</v>
      </c>
      <c r="LCZ97" s="1675" t="s">
        <v>856</v>
      </c>
      <c r="LDA97" s="1675" t="s">
        <v>856</v>
      </c>
      <c r="LDB97" s="1675" t="s">
        <v>856</v>
      </c>
      <c r="LDC97" s="1675" t="s">
        <v>856</v>
      </c>
      <c r="LDD97" s="1675" t="s">
        <v>856</v>
      </c>
      <c r="LDE97" s="1675" t="s">
        <v>856</v>
      </c>
      <c r="LDF97" s="1675" t="s">
        <v>856</v>
      </c>
      <c r="LDG97" s="1675" t="s">
        <v>856</v>
      </c>
      <c r="LDH97" s="1675" t="s">
        <v>856</v>
      </c>
      <c r="LDI97" s="1675" t="s">
        <v>856</v>
      </c>
      <c r="LDJ97" s="1675" t="s">
        <v>856</v>
      </c>
      <c r="LDK97" s="1675" t="s">
        <v>856</v>
      </c>
      <c r="LDL97" s="1675" t="s">
        <v>856</v>
      </c>
      <c r="LDM97" s="1675" t="s">
        <v>856</v>
      </c>
      <c r="LDN97" s="1675" t="s">
        <v>856</v>
      </c>
      <c r="LDO97" s="1675" t="s">
        <v>856</v>
      </c>
      <c r="LDP97" s="1675" t="s">
        <v>856</v>
      </c>
      <c r="LDQ97" s="1675" t="s">
        <v>856</v>
      </c>
      <c r="LDR97" s="1675" t="s">
        <v>856</v>
      </c>
      <c r="LDS97" s="1675" t="s">
        <v>856</v>
      </c>
      <c r="LDT97" s="1675" t="s">
        <v>856</v>
      </c>
      <c r="LDU97" s="1675" t="s">
        <v>856</v>
      </c>
      <c r="LDV97" s="1675" t="s">
        <v>856</v>
      </c>
      <c r="LDW97" s="1675" t="s">
        <v>856</v>
      </c>
      <c r="LDX97" s="1675" t="s">
        <v>856</v>
      </c>
      <c r="LDY97" s="1675" t="s">
        <v>856</v>
      </c>
      <c r="LDZ97" s="1675" t="s">
        <v>856</v>
      </c>
      <c r="LEA97" s="1675" t="s">
        <v>856</v>
      </c>
      <c r="LEB97" s="1675" t="s">
        <v>856</v>
      </c>
      <c r="LEC97" s="1675" t="s">
        <v>856</v>
      </c>
      <c r="LED97" s="1675" t="s">
        <v>856</v>
      </c>
      <c r="LEE97" s="1675" t="s">
        <v>856</v>
      </c>
      <c r="LEF97" s="1675" t="s">
        <v>856</v>
      </c>
      <c r="LEG97" s="1675" t="s">
        <v>856</v>
      </c>
      <c r="LEH97" s="1675" t="s">
        <v>856</v>
      </c>
      <c r="LEI97" s="1675" t="s">
        <v>856</v>
      </c>
      <c r="LEJ97" s="1675" t="s">
        <v>856</v>
      </c>
      <c r="LEK97" s="1675" t="s">
        <v>856</v>
      </c>
      <c r="LEL97" s="1675" t="s">
        <v>856</v>
      </c>
      <c r="LEM97" s="1675" t="s">
        <v>856</v>
      </c>
      <c r="LEN97" s="1675" t="s">
        <v>856</v>
      </c>
      <c r="LEO97" s="1675" t="s">
        <v>856</v>
      </c>
      <c r="LEP97" s="1675" t="s">
        <v>856</v>
      </c>
      <c r="LEQ97" s="1675" t="s">
        <v>856</v>
      </c>
      <c r="LER97" s="1675" t="s">
        <v>856</v>
      </c>
      <c r="LES97" s="1675" t="s">
        <v>856</v>
      </c>
      <c r="LET97" s="1675" t="s">
        <v>856</v>
      </c>
      <c r="LEU97" s="1675" t="s">
        <v>856</v>
      </c>
      <c r="LEV97" s="1675" t="s">
        <v>856</v>
      </c>
      <c r="LEW97" s="1675" t="s">
        <v>856</v>
      </c>
      <c r="LEX97" s="1675" t="s">
        <v>856</v>
      </c>
      <c r="LEY97" s="1675" t="s">
        <v>856</v>
      </c>
      <c r="LEZ97" s="1675" t="s">
        <v>856</v>
      </c>
      <c r="LFA97" s="1675" t="s">
        <v>856</v>
      </c>
      <c r="LFB97" s="1675" t="s">
        <v>856</v>
      </c>
      <c r="LFC97" s="1675" t="s">
        <v>856</v>
      </c>
      <c r="LFD97" s="1675" t="s">
        <v>856</v>
      </c>
      <c r="LFE97" s="1675" t="s">
        <v>856</v>
      </c>
      <c r="LFF97" s="1675" t="s">
        <v>856</v>
      </c>
      <c r="LFG97" s="1675" t="s">
        <v>856</v>
      </c>
      <c r="LFH97" s="1675" t="s">
        <v>856</v>
      </c>
      <c r="LFI97" s="1675" t="s">
        <v>856</v>
      </c>
      <c r="LFJ97" s="1675" t="s">
        <v>856</v>
      </c>
      <c r="LFK97" s="1675" t="s">
        <v>856</v>
      </c>
      <c r="LFL97" s="1675" t="s">
        <v>856</v>
      </c>
      <c r="LFM97" s="1675" t="s">
        <v>856</v>
      </c>
      <c r="LFN97" s="1675" t="s">
        <v>856</v>
      </c>
      <c r="LFO97" s="1675" t="s">
        <v>856</v>
      </c>
      <c r="LFP97" s="1675" t="s">
        <v>856</v>
      </c>
      <c r="LFQ97" s="1675" t="s">
        <v>856</v>
      </c>
      <c r="LFR97" s="1675" t="s">
        <v>856</v>
      </c>
      <c r="LFS97" s="1675" t="s">
        <v>856</v>
      </c>
      <c r="LFT97" s="1675" t="s">
        <v>856</v>
      </c>
      <c r="LFU97" s="1675" t="s">
        <v>856</v>
      </c>
      <c r="LFV97" s="1675" t="s">
        <v>856</v>
      </c>
      <c r="LFW97" s="1675" t="s">
        <v>856</v>
      </c>
      <c r="LFX97" s="1675" t="s">
        <v>856</v>
      </c>
      <c r="LFY97" s="1675" t="s">
        <v>856</v>
      </c>
      <c r="LFZ97" s="1675" t="s">
        <v>856</v>
      </c>
      <c r="LGA97" s="1675" t="s">
        <v>856</v>
      </c>
      <c r="LGB97" s="1675" t="s">
        <v>856</v>
      </c>
      <c r="LGC97" s="1675" t="s">
        <v>856</v>
      </c>
      <c r="LGD97" s="1675" t="s">
        <v>856</v>
      </c>
      <c r="LGE97" s="1675" t="s">
        <v>856</v>
      </c>
      <c r="LGF97" s="1675" t="s">
        <v>856</v>
      </c>
      <c r="LGG97" s="1675" t="s">
        <v>856</v>
      </c>
      <c r="LGH97" s="1675" t="s">
        <v>856</v>
      </c>
      <c r="LGI97" s="1675" t="s">
        <v>856</v>
      </c>
      <c r="LGJ97" s="1675" t="s">
        <v>856</v>
      </c>
      <c r="LGK97" s="1675" t="s">
        <v>856</v>
      </c>
      <c r="LGL97" s="1675" t="s">
        <v>856</v>
      </c>
      <c r="LGM97" s="1675" t="s">
        <v>856</v>
      </c>
      <c r="LGN97" s="1675" t="s">
        <v>856</v>
      </c>
      <c r="LGO97" s="1675" t="s">
        <v>856</v>
      </c>
      <c r="LGP97" s="1675" t="s">
        <v>856</v>
      </c>
      <c r="LGQ97" s="1675" t="s">
        <v>856</v>
      </c>
      <c r="LGR97" s="1675" t="s">
        <v>856</v>
      </c>
      <c r="LGS97" s="1675" t="s">
        <v>856</v>
      </c>
      <c r="LGT97" s="1675" t="s">
        <v>856</v>
      </c>
      <c r="LGU97" s="1675" t="s">
        <v>856</v>
      </c>
      <c r="LGV97" s="1675" t="s">
        <v>856</v>
      </c>
      <c r="LGW97" s="1675" t="s">
        <v>856</v>
      </c>
      <c r="LGX97" s="1675" t="s">
        <v>856</v>
      </c>
      <c r="LGY97" s="1675" t="s">
        <v>856</v>
      </c>
      <c r="LGZ97" s="1675" t="s">
        <v>856</v>
      </c>
      <c r="LHA97" s="1675" t="s">
        <v>856</v>
      </c>
      <c r="LHB97" s="1675" t="s">
        <v>856</v>
      </c>
      <c r="LHC97" s="1675" t="s">
        <v>856</v>
      </c>
      <c r="LHD97" s="1675" t="s">
        <v>856</v>
      </c>
      <c r="LHE97" s="1675" t="s">
        <v>856</v>
      </c>
      <c r="LHF97" s="1675" t="s">
        <v>856</v>
      </c>
      <c r="LHG97" s="1675" t="s">
        <v>856</v>
      </c>
      <c r="LHH97" s="1675" t="s">
        <v>856</v>
      </c>
      <c r="LHI97" s="1675" t="s">
        <v>856</v>
      </c>
      <c r="LHJ97" s="1675" t="s">
        <v>856</v>
      </c>
      <c r="LHK97" s="1675" t="s">
        <v>856</v>
      </c>
      <c r="LHL97" s="1675" t="s">
        <v>856</v>
      </c>
      <c r="LHM97" s="1675" t="s">
        <v>856</v>
      </c>
      <c r="LHN97" s="1675" t="s">
        <v>856</v>
      </c>
      <c r="LHO97" s="1675" t="s">
        <v>856</v>
      </c>
      <c r="LHP97" s="1675" t="s">
        <v>856</v>
      </c>
      <c r="LHQ97" s="1675" t="s">
        <v>856</v>
      </c>
      <c r="LHR97" s="1675" t="s">
        <v>856</v>
      </c>
      <c r="LHS97" s="1675" t="s">
        <v>856</v>
      </c>
      <c r="LHT97" s="1675" t="s">
        <v>856</v>
      </c>
      <c r="LHU97" s="1675" t="s">
        <v>856</v>
      </c>
      <c r="LHV97" s="1675" t="s">
        <v>856</v>
      </c>
      <c r="LHW97" s="1675" t="s">
        <v>856</v>
      </c>
      <c r="LHX97" s="1675" t="s">
        <v>856</v>
      </c>
      <c r="LHY97" s="1675" t="s">
        <v>856</v>
      </c>
      <c r="LHZ97" s="1675" t="s">
        <v>856</v>
      </c>
      <c r="LIA97" s="1675" t="s">
        <v>856</v>
      </c>
      <c r="LIB97" s="1675" t="s">
        <v>856</v>
      </c>
      <c r="LIC97" s="1675" t="s">
        <v>856</v>
      </c>
      <c r="LID97" s="1675" t="s">
        <v>856</v>
      </c>
      <c r="LIE97" s="1675" t="s">
        <v>856</v>
      </c>
      <c r="LIF97" s="1675" t="s">
        <v>856</v>
      </c>
      <c r="LIG97" s="1675" t="s">
        <v>856</v>
      </c>
      <c r="LIH97" s="1675" t="s">
        <v>856</v>
      </c>
      <c r="LII97" s="1675" t="s">
        <v>856</v>
      </c>
      <c r="LIJ97" s="1675" t="s">
        <v>856</v>
      </c>
      <c r="LIK97" s="1675" t="s">
        <v>856</v>
      </c>
      <c r="LIL97" s="1675" t="s">
        <v>856</v>
      </c>
      <c r="LIM97" s="1675" t="s">
        <v>856</v>
      </c>
      <c r="LIN97" s="1675" t="s">
        <v>856</v>
      </c>
      <c r="LIO97" s="1675" t="s">
        <v>856</v>
      </c>
      <c r="LIP97" s="1675" t="s">
        <v>856</v>
      </c>
      <c r="LIQ97" s="1675" t="s">
        <v>856</v>
      </c>
      <c r="LIR97" s="1675" t="s">
        <v>856</v>
      </c>
      <c r="LIS97" s="1675" t="s">
        <v>856</v>
      </c>
      <c r="LIT97" s="1675" t="s">
        <v>856</v>
      </c>
      <c r="LIU97" s="1675" t="s">
        <v>856</v>
      </c>
      <c r="LIV97" s="1675" t="s">
        <v>856</v>
      </c>
      <c r="LIW97" s="1675" t="s">
        <v>856</v>
      </c>
      <c r="LIX97" s="1675" t="s">
        <v>856</v>
      </c>
      <c r="LIY97" s="1675" t="s">
        <v>856</v>
      </c>
      <c r="LIZ97" s="1675" t="s">
        <v>856</v>
      </c>
      <c r="LJA97" s="1675" t="s">
        <v>856</v>
      </c>
      <c r="LJB97" s="1675" t="s">
        <v>856</v>
      </c>
      <c r="LJC97" s="1675" t="s">
        <v>856</v>
      </c>
      <c r="LJD97" s="1675" t="s">
        <v>856</v>
      </c>
      <c r="LJE97" s="1675" t="s">
        <v>856</v>
      </c>
      <c r="LJF97" s="1675" t="s">
        <v>856</v>
      </c>
      <c r="LJG97" s="1675" t="s">
        <v>856</v>
      </c>
      <c r="LJH97" s="1675" t="s">
        <v>856</v>
      </c>
      <c r="LJI97" s="1675" t="s">
        <v>856</v>
      </c>
      <c r="LJJ97" s="1675" t="s">
        <v>856</v>
      </c>
      <c r="LJK97" s="1675" t="s">
        <v>856</v>
      </c>
      <c r="LJL97" s="1675" t="s">
        <v>856</v>
      </c>
      <c r="LJM97" s="1675" t="s">
        <v>856</v>
      </c>
      <c r="LJN97" s="1675" t="s">
        <v>856</v>
      </c>
      <c r="LJO97" s="1675" t="s">
        <v>856</v>
      </c>
      <c r="LJP97" s="1675" t="s">
        <v>856</v>
      </c>
      <c r="LJQ97" s="1675" t="s">
        <v>856</v>
      </c>
      <c r="LJR97" s="1675" t="s">
        <v>856</v>
      </c>
      <c r="LJS97" s="1675" t="s">
        <v>856</v>
      </c>
      <c r="LJT97" s="1675" t="s">
        <v>856</v>
      </c>
      <c r="LJU97" s="1675" t="s">
        <v>856</v>
      </c>
      <c r="LJV97" s="1675" t="s">
        <v>856</v>
      </c>
      <c r="LJW97" s="1675" t="s">
        <v>856</v>
      </c>
      <c r="LJX97" s="1675" t="s">
        <v>856</v>
      </c>
      <c r="LJY97" s="1675" t="s">
        <v>856</v>
      </c>
      <c r="LJZ97" s="1675" t="s">
        <v>856</v>
      </c>
      <c r="LKA97" s="1675" t="s">
        <v>856</v>
      </c>
      <c r="LKB97" s="1675" t="s">
        <v>856</v>
      </c>
      <c r="LKC97" s="1675" t="s">
        <v>856</v>
      </c>
      <c r="LKD97" s="1675" t="s">
        <v>856</v>
      </c>
      <c r="LKE97" s="1675" t="s">
        <v>856</v>
      </c>
      <c r="LKF97" s="1675" t="s">
        <v>856</v>
      </c>
      <c r="LKG97" s="1675" t="s">
        <v>856</v>
      </c>
      <c r="LKH97" s="1675" t="s">
        <v>856</v>
      </c>
      <c r="LKI97" s="1675" t="s">
        <v>856</v>
      </c>
      <c r="LKJ97" s="1675" t="s">
        <v>856</v>
      </c>
      <c r="LKK97" s="1675" t="s">
        <v>856</v>
      </c>
      <c r="LKL97" s="1675" t="s">
        <v>856</v>
      </c>
      <c r="LKM97" s="1675" t="s">
        <v>856</v>
      </c>
      <c r="LKN97" s="1675" t="s">
        <v>856</v>
      </c>
      <c r="LKO97" s="1675" t="s">
        <v>856</v>
      </c>
      <c r="LKP97" s="1675" t="s">
        <v>856</v>
      </c>
      <c r="LKQ97" s="1675" t="s">
        <v>856</v>
      </c>
      <c r="LKR97" s="1675" t="s">
        <v>856</v>
      </c>
      <c r="LKS97" s="1675" t="s">
        <v>856</v>
      </c>
      <c r="LKT97" s="1675" t="s">
        <v>856</v>
      </c>
      <c r="LKU97" s="1675" t="s">
        <v>856</v>
      </c>
      <c r="LKV97" s="1675" t="s">
        <v>856</v>
      </c>
      <c r="LKW97" s="1675" t="s">
        <v>856</v>
      </c>
      <c r="LKX97" s="1675" t="s">
        <v>856</v>
      </c>
      <c r="LKY97" s="1675" t="s">
        <v>856</v>
      </c>
      <c r="LKZ97" s="1675" t="s">
        <v>856</v>
      </c>
      <c r="LLA97" s="1675" t="s">
        <v>856</v>
      </c>
      <c r="LLB97" s="1675" t="s">
        <v>856</v>
      </c>
      <c r="LLC97" s="1675" t="s">
        <v>856</v>
      </c>
      <c r="LLD97" s="1675" t="s">
        <v>856</v>
      </c>
      <c r="LLE97" s="1675" t="s">
        <v>856</v>
      </c>
      <c r="LLF97" s="1675" t="s">
        <v>856</v>
      </c>
      <c r="LLG97" s="1675" t="s">
        <v>856</v>
      </c>
      <c r="LLH97" s="1675" t="s">
        <v>856</v>
      </c>
      <c r="LLI97" s="1675" t="s">
        <v>856</v>
      </c>
      <c r="LLJ97" s="1675" t="s">
        <v>856</v>
      </c>
      <c r="LLK97" s="1675" t="s">
        <v>856</v>
      </c>
      <c r="LLL97" s="1675" t="s">
        <v>856</v>
      </c>
      <c r="LLM97" s="1675" t="s">
        <v>856</v>
      </c>
      <c r="LLN97" s="1675" t="s">
        <v>856</v>
      </c>
      <c r="LLO97" s="1675" t="s">
        <v>856</v>
      </c>
      <c r="LLP97" s="1675" t="s">
        <v>856</v>
      </c>
      <c r="LLQ97" s="1675" t="s">
        <v>856</v>
      </c>
      <c r="LLR97" s="1675" t="s">
        <v>856</v>
      </c>
      <c r="LLS97" s="1675" t="s">
        <v>856</v>
      </c>
      <c r="LLT97" s="1675" t="s">
        <v>856</v>
      </c>
      <c r="LLU97" s="1675" t="s">
        <v>856</v>
      </c>
      <c r="LLV97" s="1675" t="s">
        <v>856</v>
      </c>
      <c r="LLW97" s="1675" t="s">
        <v>856</v>
      </c>
      <c r="LLX97" s="1675" t="s">
        <v>856</v>
      </c>
      <c r="LLY97" s="1675" t="s">
        <v>856</v>
      </c>
      <c r="LLZ97" s="1675" t="s">
        <v>856</v>
      </c>
      <c r="LMA97" s="1675" t="s">
        <v>856</v>
      </c>
      <c r="LMB97" s="1675" t="s">
        <v>856</v>
      </c>
      <c r="LMC97" s="1675" t="s">
        <v>856</v>
      </c>
      <c r="LMD97" s="1675" t="s">
        <v>856</v>
      </c>
      <c r="LME97" s="1675" t="s">
        <v>856</v>
      </c>
      <c r="LMF97" s="1675" t="s">
        <v>856</v>
      </c>
      <c r="LMG97" s="1675" t="s">
        <v>856</v>
      </c>
      <c r="LMH97" s="1675" t="s">
        <v>856</v>
      </c>
      <c r="LMI97" s="1675" t="s">
        <v>856</v>
      </c>
      <c r="LMJ97" s="1675" t="s">
        <v>856</v>
      </c>
      <c r="LMK97" s="1675" t="s">
        <v>856</v>
      </c>
      <c r="LML97" s="1675" t="s">
        <v>856</v>
      </c>
      <c r="LMM97" s="1675" t="s">
        <v>856</v>
      </c>
      <c r="LMN97" s="1675" t="s">
        <v>856</v>
      </c>
      <c r="LMO97" s="1675" t="s">
        <v>856</v>
      </c>
      <c r="LMP97" s="1675" t="s">
        <v>856</v>
      </c>
      <c r="LMQ97" s="1675" t="s">
        <v>856</v>
      </c>
      <c r="LMR97" s="1675" t="s">
        <v>856</v>
      </c>
      <c r="LMS97" s="1675" t="s">
        <v>856</v>
      </c>
      <c r="LMT97" s="1675" t="s">
        <v>856</v>
      </c>
      <c r="LMU97" s="1675" t="s">
        <v>856</v>
      </c>
      <c r="LMV97" s="1675" t="s">
        <v>856</v>
      </c>
      <c r="LMW97" s="1675" t="s">
        <v>856</v>
      </c>
      <c r="LMX97" s="1675" t="s">
        <v>856</v>
      </c>
      <c r="LMY97" s="1675" t="s">
        <v>856</v>
      </c>
      <c r="LMZ97" s="1675" t="s">
        <v>856</v>
      </c>
      <c r="LNA97" s="1675" t="s">
        <v>856</v>
      </c>
      <c r="LNB97" s="1675" t="s">
        <v>856</v>
      </c>
      <c r="LNC97" s="1675" t="s">
        <v>856</v>
      </c>
      <c r="LND97" s="1675" t="s">
        <v>856</v>
      </c>
      <c r="LNE97" s="1675" t="s">
        <v>856</v>
      </c>
      <c r="LNF97" s="1675" t="s">
        <v>856</v>
      </c>
      <c r="LNG97" s="1675" t="s">
        <v>856</v>
      </c>
      <c r="LNH97" s="1675" t="s">
        <v>856</v>
      </c>
      <c r="LNI97" s="1675" t="s">
        <v>856</v>
      </c>
      <c r="LNJ97" s="1675" t="s">
        <v>856</v>
      </c>
      <c r="LNK97" s="1675" t="s">
        <v>856</v>
      </c>
      <c r="LNL97" s="1675" t="s">
        <v>856</v>
      </c>
      <c r="LNM97" s="1675" t="s">
        <v>856</v>
      </c>
      <c r="LNN97" s="1675" t="s">
        <v>856</v>
      </c>
      <c r="LNO97" s="1675" t="s">
        <v>856</v>
      </c>
      <c r="LNP97" s="1675" t="s">
        <v>856</v>
      </c>
      <c r="LNQ97" s="1675" t="s">
        <v>856</v>
      </c>
      <c r="LNR97" s="1675" t="s">
        <v>856</v>
      </c>
      <c r="LNS97" s="1675" t="s">
        <v>856</v>
      </c>
      <c r="LNT97" s="1675" t="s">
        <v>856</v>
      </c>
      <c r="LNU97" s="1675" t="s">
        <v>856</v>
      </c>
      <c r="LNV97" s="1675" t="s">
        <v>856</v>
      </c>
      <c r="LNW97" s="1675" t="s">
        <v>856</v>
      </c>
      <c r="LNX97" s="1675" t="s">
        <v>856</v>
      </c>
      <c r="LNY97" s="1675" t="s">
        <v>856</v>
      </c>
      <c r="LNZ97" s="1675" t="s">
        <v>856</v>
      </c>
      <c r="LOA97" s="1675" t="s">
        <v>856</v>
      </c>
      <c r="LOB97" s="1675" t="s">
        <v>856</v>
      </c>
      <c r="LOC97" s="1675" t="s">
        <v>856</v>
      </c>
      <c r="LOD97" s="1675" t="s">
        <v>856</v>
      </c>
      <c r="LOE97" s="1675" t="s">
        <v>856</v>
      </c>
      <c r="LOF97" s="1675" t="s">
        <v>856</v>
      </c>
      <c r="LOG97" s="1675" t="s">
        <v>856</v>
      </c>
      <c r="LOH97" s="1675" t="s">
        <v>856</v>
      </c>
      <c r="LOI97" s="1675" t="s">
        <v>856</v>
      </c>
      <c r="LOJ97" s="1675" t="s">
        <v>856</v>
      </c>
      <c r="LOK97" s="1675" t="s">
        <v>856</v>
      </c>
      <c r="LOL97" s="1675" t="s">
        <v>856</v>
      </c>
      <c r="LOM97" s="1675" t="s">
        <v>856</v>
      </c>
      <c r="LON97" s="1675" t="s">
        <v>856</v>
      </c>
      <c r="LOO97" s="1675" t="s">
        <v>856</v>
      </c>
      <c r="LOP97" s="1675" t="s">
        <v>856</v>
      </c>
      <c r="LOQ97" s="1675" t="s">
        <v>856</v>
      </c>
      <c r="LOR97" s="1675" t="s">
        <v>856</v>
      </c>
      <c r="LOS97" s="1675" t="s">
        <v>856</v>
      </c>
      <c r="LOT97" s="1675" t="s">
        <v>856</v>
      </c>
      <c r="LOU97" s="1675" t="s">
        <v>856</v>
      </c>
      <c r="LOV97" s="1675" t="s">
        <v>856</v>
      </c>
      <c r="LOW97" s="1675" t="s">
        <v>856</v>
      </c>
      <c r="LOX97" s="1675" t="s">
        <v>856</v>
      </c>
      <c r="LOY97" s="1675" t="s">
        <v>856</v>
      </c>
      <c r="LOZ97" s="1675" t="s">
        <v>856</v>
      </c>
      <c r="LPA97" s="1675" t="s">
        <v>856</v>
      </c>
      <c r="LPB97" s="1675" t="s">
        <v>856</v>
      </c>
      <c r="LPC97" s="1675" t="s">
        <v>856</v>
      </c>
      <c r="LPD97" s="1675" t="s">
        <v>856</v>
      </c>
      <c r="LPE97" s="1675" t="s">
        <v>856</v>
      </c>
      <c r="LPF97" s="1675" t="s">
        <v>856</v>
      </c>
      <c r="LPG97" s="1675" t="s">
        <v>856</v>
      </c>
      <c r="LPH97" s="1675" t="s">
        <v>856</v>
      </c>
      <c r="LPI97" s="1675" t="s">
        <v>856</v>
      </c>
      <c r="LPJ97" s="1675" t="s">
        <v>856</v>
      </c>
      <c r="LPK97" s="1675" t="s">
        <v>856</v>
      </c>
      <c r="LPL97" s="1675" t="s">
        <v>856</v>
      </c>
      <c r="LPM97" s="1675" t="s">
        <v>856</v>
      </c>
      <c r="LPN97" s="1675" t="s">
        <v>856</v>
      </c>
      <c r="LPO97" s="1675" t="s">
        <v>856</v>
      </c>
      <c r="LPP97" s="1675" t="s">
        <v>856</v>
      </c>
      <c r="LPQ97" s="1675" t="s">
        <v>856</v>
      </c>
      <c r="LPR97" s="1675" t="s">
        <v>856</v>
      </c>
      <c r="LPS97" s="1675" t="s">
        <v>856</v>
      </c>
      <c r="LPT97" s="1675" t="s">
        <v>856</v>
      </c>
      <c r="LPU97" s="1675" t="s">
        <v>856</v>
      </c>
      <c r="LPV97" s="1675" t="s">
        <v>856</v>
      </c>
      <c r="LPW97" s="1675" t="s">
        <v>856</v>
      </c>
      <c r="LPX97" s="1675" t="s">
        <v>856</v>
      </c>
      <c r="LPY97" s="1675" t="s">
        <v>856</v>
      </c>
      <c r="LPZ97" s="1675" t="s">
        <v>856</v>
      </c>
      <c r="LQA97" s="1675" t="s">
        <v>856</v>
      </c>
      <c r="LQB97" s="1675" t="s">
        <v>856</v>
      </c>
      <c r="LQC97" s="1675" t="s">
        <v>856</v>
      </c>
      <c r="LQD97" s="1675" t="s">
        <v>856</v>
      </c>
      <c r="LQE97" s="1675" t="s">
        <v>856</v>
      </c>
      <c r="LQF97" s="1675" t="s">
        <v>856</v>
      </c>
      <c r="LQG97" s="1675" t="s">
        <v>856</v>
      </c>
      <c r="LQH97" s="1675" t="s">
        <v>856</v>
      </c>
      <c r="LQI97" s="1675" t="s">
        <v>856</v>
      </c>
      <c r="LQJ97" s="1675" t="s">
        <v>856</v>
      </c>
      <c r="LQK97" s="1675" t="s">
        <v>856</v>
      </c>
      <c r="LQL97" s="1675" t="s">
        <v>856</v>
      </c>
      <c r="LQM97" s="1675" t="s">
        <v>856</v>
      </c>
      <c r="LQN97" s="1675" t="s">
        <v>856</v>
      </c>
      <c r="LQO97" s="1675" t="s">
        <v>856</v>
      </c>
      <c r="LQP97" s="1675" t="s">
        <v>856</v>
      </c>
      <c r="LQQ97" s="1675" t="s">
        <v>856</v>
      </c>
      <c r="LQR97" s="1675" t="s">
        <v>856</v>
      </c>
      <c r="LQS97" s="1675" t="s">
        <v>856</v>
      </c>
      <c r="LQT97" s="1675" t="s">
        <v>856</v>
      </c>
      <c r="LQU97" s="1675" t="s">
        <v>856</v>
      </c>
      <c r="LQV97" s="1675" t="s">
        <v>856</v>
      </c>
      <c r="LQW97" s="1675" t="s">
        <v>856</v>
      </c>
      <c r="LQX97" s="1675" t="s">
        <v>856</v>
      </c>
      <c r="LQY97" s="1675" t="s">
        <v>856</v>
      </c>
      <c r="LQZ97" s="1675" t="s">
        <v>856</v>
      </c>
      <c r="LRA97" s="1675" t="s">
        <v>856</v>
      </c>
      <c r="LRB97" s="1675" t="s">
        <v>856</v>
      </c>
      <c r="LRC97" s="1675" t="s">
        <v>856</v>
      </c>
      <c r="LRD97" s="1675" t="s">
        <v>856</v>
      </c>
      <c r="LRE97" s="1675" t="s">
        <v>856</v>
      </c>
      <c r="LRF97" s="1675" t="s">
        <v>856</v>
      </c>
      <c r="LRG97" s="1675" t="s">
        <v>856</v>
      </c>
      <c r="LRH97" s="1675" t="s">
        <v>856</v>
      </c>
      <c r="LRI97" s="1675" t="s">
        <v>856</v>
      </c>
      <c r="LRJ97" s="1675" t="s">
        <v>856</v>
      </c>
      <c r="LRK97" s="1675" t="s">
        <v>856</v>
      </c>
      <c r="LRL97" s="1675" t="s">
        <v>856</v>
      </c>
      <c r="LRM97" s="1675" t="s">
        <v>856</v>
      </c>
      <c r="LRN97" s="1675" t="s">
        <v>856</v>
      </c>
      <c r="LRO97" s="1675" t="s">
        <v>856</v>
      </c>
      <c r="LRP97" s="1675" t="s">
        <v>856</v>
      </c>
      <c r="LRQ97" s="1675" t="s">
        <v>856</v>
      </c>
      <c r="LRR97" s="1675" t="s">
        <v>856</v>
      </c>
      <c r="LRS97" s="1675" t="s">
        <v>856</v>
      </c>
      <c r="LRT97" s="1675" t="s">
        <v>856</v>
      </c>
      <c r="LRU97" s="1675" t="s">
        <v>856</v>
      </c>
      <c r="LRV97" s="1675" t="s">
        <v>856</v>
      </c>
      <c r="LRW97" s="1675" t="s">
        <v>856</v>
      </c>
      <c r="LRX97" s="1675" t="s">
        <v>856</v>
      </c>
      <c r="LRY97" s="1675" t="s">
        <v>856</v>
      </c>
      <c r="LRZ97" s="1675" t="s">
        <v>856</v>
      </c>
      <c r="LSA97" s="1675" t="s">
        <v>856</v>
      </c>
      <c r="LSB97" s="1675" t="s">
        <v>856</v>
      </c>
      <c r="LSC97" s="1675" t="s">
        <v>856</v>
      </c>
      <c r="LSD97" s="1675" t="s">
        <v>856</v>
      </c>
      <c r="LSE97" s="1675" t="s">
        <v>856</v>
      </c>
      <c r="LSF97" s="1675" t="s">
        <v>856</v>
      </c>
      <c r="LSG97" s="1675" t="s">
        <v>856</v>
      </c>
      <c r="LSH97" s="1675" t="s">
        <v>856</v>
      </c>
      <c r="LSI97" s="1675" t="s">
        <v>856</v>
      </c>
      <c r="LSJ97" s="1675" t="s">
        <v>856</v>
      </c>
      <c r="LSK97" s="1675" t="s">
        <v>856</v>
      </c>
      <c r="LSL97" s="1675" t="s">
        <v>856</v>
      </c>
      <c r="LSM97" s="1675" t="s">
        <v>856</v>
      </c>
      <c r="LSN97" s="1675" t="s">
        <v>856</v>
      </c>
      <c r="LSO97" s="1675" t="s">
        <v>856</v>
      </c>
      <c r="LSP97" s="1675" t="s">
        <v>856</v>
      </c>
      <c r="LSQ97" s="1675" t="s">
        <v>856</v>
      </c>
      <c r="LSR97" s="1675" t="s">
        <v>856</v>
      </c>
      <c r="LSS97" s="1675" t="s">
        <v>856</v>
      </c>
      <c r="LST97" s="1675" t="s">
        <v>856</v>
      </c>
      <c r="LSU97" s="1675" t="s">
        <v>856</v>
      </c>
      <c r="LSV97" s="1675" t="s">
        <v>856</v>
      </c>
      <c r="LSW97" s="1675" t="s">
        <v>856</v>
      </c>
      <c r="LSX97" s="1675" t="s">
        <v>856</v>
      </c>
      <c r="LSY97" s="1675" t="s">
        <v>856</v>
      </c>
      <c r="LSZ97" s="1675" t="s">
        <v>856</v>
      </c>
      <c r="LTA97" s="1675" t="s">
        <v>856</v>
      </c>
      <c r="LTB97" s="1675" t="s">
        <v>856</v>
      </c>
      <c r="LTC97" s="1675" t="s">
        <v>856</v>
      </c>
      <c r="LTD97" s="1675" t="s">
        <v>856</v>
      </c>
      <c r="LTE97" s="1675" t="s">
        <v>856</v>
      </c>
      <c r="LTF97" s="1675" t="s">
        <v>856</v>
      </c>
      <c r="LTG97" s="1675" t="s">
        <v>856</v>
      </c>
      <c r="LTH97" s="1675" t="s">
        <v>856</v>
      </c>
      <c r="LTI97" s="1675" t="s">
        <v>856</v>
      </c>
      <c r="LTJ97" s="1675" t="s">
        <v>856</v>
      </c>
      <c r="LTK97" s="1675" t="s">
        <v>856</v>
      </c>
      <c r="LTL97" s="1675" t="s">
        <v>856</v>
      </c>
      <c r="LTM97" s="1675" t="s">
        <v>856</v>
      </c>
      <c r="LTN97" s="1675" t="s">
        <v>856</v>
      </c>
      <c r="LTO97" s="1675" t="s">
        <v>856</v>
      </c>
      <c r="LTP97" s="1675" t="s">
        <v>856</v>
      </c>
      <c r="LTQ97" s="1675" t="s">
        <v>856</v>
      </c>
      <c r="LTR97" s="1675" t="s">
        <v>856</v>
      </c>
      <c r="LTS97" s="1675" t="s">
        <v>856</v>
      </c>
      <c r="LTT97" s="1675" t="s">
        <v>856</v>
      </c>
      <c r="LTU97" s="1675" t="s">
        <v>856</v>
      </c>
      <c r="LTV97" s="1675" t="s">
        <v>856</v>
      </c>
      <c r="LTW97" s="1675" t="s">
        <v>856</v>
      </c>
      <c r="LTX97" s="1675" t="s">
        <v>856</v>
      </c>
      <c r="LTY97" s="1675" t="s">
        <v>856</v>
      </c>
      <c r="LTZ97" s="1675" t="s">
        <v>856</v>
      </c>
      <c r="LUA97" s="1675" t="s">
        <v>856</v>
      </c>
      <c r="LUB97" s="1675" t="s">
        <v>856</v>
      </c>
      <c r="LUC97" s="1675" t="s">
        <v>856</v>
      </c>
      <c r="LUD97" s="1675" t="s">
        <v>856</v>
      </c>
      <c r="LUE97" s="1675" t="s">
        <v>856</v>
      </c>
      <c r="LUF97" s="1675" t="s">
        <v>856</v>
      </c>
      <c r="LUG97" s="1675" t="s">
        <v>856</v>
      </c>
      <c r="LUH97" s="1675" t="s">
        <v>856</v>
      </c>
      <c r="LUI97" s="1675" t="s">
        <v>856</v>
      </c>
      <c r="LUJ97" s="1675" t="s">
        <v>856</v>
      </c>
      <c r="LUK97" s="1675" t="s">
        <v>856</v>
      </c>
      <c r="LUL97" s="1675" t="s">
        <v>856</v>
      </c>
      <c r="LUM97" s="1675" t="s">
        <v>856</v>
      </c>
      <c r="LUN97" s="1675" t="s">
        <v>856</v>
      </c>
      <c r="LUO97" s="1675" t="s">
        <v>856</v>
      </c>
      <c r="LUP97" s="1675" t="s">
        <v>856</v>
      </c>
      <c r="LUQ97" s="1675" t="s">
        <v>856</v>
      </c>
      <c r="LUR97" s="1675" t="s">
        <v>856</v>
      </c>
      <c r="LUS97" s="1675" t="s">
        <v>856</v>
      </c>
      <c r="LUT97" s="1675" t="s">
        <v>856</v>
      </c>
      <c r="LUU97" s="1675" t="s">
        <v>856</v>
      </c>
      <c r="LUV97" s="1675" t="s">
        <v>856</v>
      </c>
      <c r="LUW97" s="1675" t="s">
        <v>856</v>
      </c>
      <c r="LUX97" s="1675" t="s">
        <v>856</v>
      </c>
      <c r="LUY97" s="1675" t="s">
        <v>856</v>
      </c>
      <c r="LUZ97" s="1675" t="s">
        <v>856</v>
      </c>
      <c r="LVA97" s="1675" t="s">
        <v>856</v>
      </c>
      <c r="LVB97" s="1675" t="s">
        <v>856</v>
      </c>
      <c r="LVC97" s="1675" t="s">
        <v>856</v>
      </c>
      <c r="LVD97" s="1675" t="s">
        <v>856</v>
      </c>
      <c r="LVE97" s="1675" t="s">
        <v>856</v>
      </c>
      <c r="LVF97" s="1675" t="s">
        <v>856</v>
      </c>
      <c r="LVG97" s="1675" t="s">
        <v>856</v>
      </c>
      <c r="LVH97" s="1675" t="s">
        <v>856</v>
      </c>
      <c r="LVI97" s="1675" t="s">
        <v>856</v>
      </c>
      <c r="LVJ97" s="1675" t="s">
        <v>856</v>
      </c>
      <c r="LVK97" s="1675" t="s">
        <v>856</v>
      </c>
      <c r="LVL97" s="1675" t="s">
        <v>856</v>
      </c>
      <c r="LVM97" s="1675" t="s">
        <v>856</v>
      </c>
      <c r="LVN97" s="1675" t="s">
        <v>856</v>
      </c>
      <c r="LVO97" s="1675" t="s">
        <v>856</v>
      </c>
      <c r="LVP97" s="1675" t="s">
        <v>856</v>
      </c>
      <c r="LVQ97" s="1675" t="s">
        <v>856</v>
      </c>
      <c r="LVR97" s="1675" t="s">
        <v>856</v>
      </c>
      <c r="LVS97" s="1675" t="s">
        <v>856</v>
      </c>
      <c r="LVT97" s="1675" t="s">
        <v>856</v>
      </c>
      <c r="LVU97" s="1675" t="s">
        <v>856</v>
      </c>
      <c r="LVV97" s="1675" t="s">
        <v>856</v>
      </c>
      <c r="LVW97" s="1675" t="s">
        <v>856</v>
      </c>
      <c r="LVX97" s="1675" t="s">
        <v>856</v>
      </c>
      <c r="LVY97" s="1675" t="s">
        <v>856</v>
      </c>
      <c r="LVZ97" s="1675" t="s">
        <v>856</v>
      </c>
      <c r="LWA97" s="1675" t="s">
        <v>856</v>
      </c>
      <c r="LWB97" s="1675" t="s">
        <v>856</v>
      </c>
      <c r="LWC97" s="1675" t="s">
        <v>856</v>
      </c>
      <c r="LWD97" s="1675" t="s">
        <v>856</v>
      </c>
      <c r="LWE97" s="1675" t="s">
        <v>856</v>
      </c>
      <c r="LWF97" s="1675" t="s">
        <v>856</v>
      </c>
      <c r="LWG97" s="1675" t="s">
        <v>856</v>
      </c>
      <c r="LWH97" s="1675" t="s">
        <v>856</v>
      </c>
      <c r="LWI97" s="1675" t="s">
        <v>856</v>
      </c>
      <c r="LWJ97" s="1675" t="s">
        <v>856</v>
      </c>
      <c r="LWK97" s="1675" t="s">
        <v>856</v>
      </c>
      <c r="LWL97" s="1675" t="s">
        <v>856</v>
      </c>
      <c r="LWM97" s="1675" t="s">
        <v>856</v>
      </c>
      <c r="LWN97" s="1675" t="s">
        <v>856</v>
      </c>
      <c r="LWO97" s="1675" t="s">
        <v>856</v>
      </c>
      <c r="LWP97" s="1675" t="s">
        <v>856</v>
      </c>
      <c r="LWQ97" s="1675" t="s">
        <v>856</v>
      </c>
      <c r="LWR97" s="1675" t="s">
        <v>856</v>
      </c>
      <c r="LWS97" s="1675" t="s">
        <v>856</v>
      </c>
      <c r="LWT97" s="1675" t="s">
        <v>856</v>
      </c>
      <c r="LWU97" s="1675" t="s">
        <v>856</v>
      </c>
      <c r="LWV97" s="1675" t="s">
        <v>856</v>
      </c>
      <c r="LWW97" s="1675" t="s">
        <v>856</v>
      </c>
      <c r="LWX97" s="1675" t="s">
        <v>856</v>
      </c>
      <c r="LWY97" s="1675" t="s">
        <v>856</v>
      </c>
      <c r="LWZ97" s="1675" t="s">
        <v>856</v>
      </c>
      <c r="LXA97" s="1675" t="s">
        <v>856</v>
      </c>
      <c r="LXB97" s="1675" t="s">
        <v>856</v>
      </c>
      <c r="LXC97" s="1675" t="s">
        <v>856</v>
      </c>
      <c r="LXD97" s="1675" t="s">
        <v>856</v>
      </c>
      <c r="LXE97" s="1675" t="s">
        <v>856</v>
      </c>
      <c r="LXF97" s="1675" t="s">
        <v>856</v>
      </c>
      <c r="LXG97" s="1675" t="s">
        <v>856</v>
      </c>
      <c r="LXH97" s="1675" t="s">
        <v>856</v>
      </c>
      <c r="LXI97" s="1675" t="s">
        <v>856</v>
      </c>
      <c r="LXJ97" s="1675" t="s">
        <v>856</v>
      </c>
      <c r="LXK97" s="1675" t="s">
        <v>856</v>
      </c>
      <c r="LXL97" s="1675" t="s">
        <v>856</v>
      </c>
      <c r="LXM97" s="1675" t="s">
        <v>856</v>
      </c>
      <c r="LXN97" s="1675" t="s">
        <v>856</v>
      </c>
      <c r="LXO97" s="1675" t="s">
        <v>856</v>
      </c>
      <c r="LXP97" s="1675" t="s">
        <v>856</v>
      </c>
      <c r="LXQ97" s="1675" t="s">
        <v>856</v>
      </c>
      <c r="LXR97" s="1675" t="s">
        <v>856</v>
      </c>
      <c r="LXS97" s="1675" t="s">
        <v>856</v>
      </c>
      <c r="LXT97" s="1675" t="s">
        <v>856</v>
      </c>
      <c r="LXU97" s="1675" t="s">
        <v>856</v>
      </c>
      <c r="LXV97" s="1675" t="s">
        <v>856</v>
      </c>
      <c r="LXW97" s="1675" t="s">
        <v>856</v>
      </c>
      <c r="LXX97" s="1675" t="s">
        <v>856</v>
      </c>
      <c r="LXY97" s="1675" t="s">
        <v>856</v>
      </c>
      <c r="LXZ97" s="1675" t="s">
        <v>856</v>
      </c>
      <c r="LYA97" s="1675" t="s">
        <v>856</v>
      </c>
      <c r="LYB97" s="1675" t="s">
        <v>856</v>
      </c>
      <c r="LYC97" s="1675" t="s">
        <v>856</v>
      </c>
      <c r="LYD97" s="1675" t="s">
        <v>856</v>
      </c>
      <c r="LYE97" s="1675" t="s">
        <v>856</v>
      </c>
      <c r="LYF97" s="1675" t="s">
        <v>856</v>
      </c>
      <c r="LYG97" s="1675" t="s">
        <v>856</v>
      </c>
      <c r="LYH97" s="1675" t="s">
        <v>856</v>
      </c>
      <c r="LYI97" s="1675" t="s">
        <v>856</v>
      </c>
      <c r="LYJ97" s="1675" t="s">
        <v>856</v>
      </c>
      <c r="LYK97" s="1675" t="s">
        <v>856</v>
      </c>
      <c r="LYL97" s="1675" t="s">
        <v>856</v>
      </c>
      <c r="LYM97" s="1675" t="s">
        <v>856</v>
      </c>
      <c r="LYN97" s="1675" t="s">
        <v>856</v>
      </c>
      <c r="LYO97" s="1675" t="s">
        <v>856</v>
      </c>
      <c r="LYP97" s="1675" t="s">
        <v>856</v>
      </c>
      <c r="LYQ97" s="1675" t="s">
        <v>856</v>
      </c>
      <c r="LYR97" s="1675" t="s">
        <v>856</v>
      </c>
      <c r="LYS97" s="1675" t="s">
        <v>856</v>
      </c>
      <c r="LYT97" s="1675" t="s">
        <v>856</v>
      </c>
      <c r="LYU97" s="1675" t="s">
        <v>856</v>
      </c>
      <c r="LYV97" s="1675" t="s">
        <v>856</v>
      </c>
      <c r="LYW97" s="1675" t="s">
        <v>856</v>
      </c>
      <c r="LYX97" s="1675" t="s">
        <v>856</v>
      </c>
      <c r="LYY97" s="1675" t="s">
        <v>856</v>
      </c>
      <c r="LYZ97" s="1675" t="s">
        <v>856</v>
      </c>
      <c r="LZA97" s="1675" t="s">
        <v>856</v>
      </c>
      <c r="LZB97" s="1675" t="s">
        <v>856</v>
      </c>
      <c r="LZC97" s="1675" t="s">
        <v>856</v>
      </c>
      <c r="LZD97" s="1675" t="s">
        <v>856</v>
      </c>
      <c r="LZE97" s="1675" t="s">
        <v>856</v>
      </c>
      <c r="LZF97" s="1675" t="s">
        <v>856</v>
      </c>
      <c r="LZG97" s="1675" t="s">
        <v>856</v>
      </c>
      <c r="LZH97" s="1675" t="s">
        <v>856</v>
      </c>
      <c r="LZI97" s="1675" t="s">
        <v>856</v>
      </c>
      <c r="LZJ97" s="1675" t="s">
        <v>856</v>
      </c>
      <c r="LZK97" s="1675" t="s">
        <v>856</v>
      </c>
      <c r="LZL97" s="1675" t="s">
        <v>856</v>
      </c>
      <c r="LZM97" s="1675" t="s">
        <v>856</v>
      </c>
      <c r="LZN97" s="1675" t="s">
        <v>856</v>
      </c>
      <c r="LZO97" s="1675" t="s">
        <v>856</v>
      </c>
      <c r="LZP97" s="1675" t="s">
        <v>856</v>
      </c>
      <c r="LZQ97" s="1675" t="s">
        <v>856</v>
      </c>
      <c r="LZR97" s="1675" t="s">
        <v>856</v>
      </c>
      <c r="LZS97" s="1675" t="s">
        <v>856</v>
      </c>
      <c r="LZT97" s="1675" t="s">
        <v>856</v>
      </c>
      <c r="LZU97" s="1675" t="s">
        <v>856</v>
      </c>
      <c r="LZV97" s="1675" t="s">
        <v>856</v>
      </c>
      <c r="LZW97" s="1675" t="s">
        <v>856</v>
      </c>
      <c r="LZX97" s="1675" t="s">
        <v>856</v>
      </c>
      <c r="LZY97" s="1675" t="s">
        <v>856</v>
      </c>
      <c r="LZZ97" s="1675" t="s">
        <v>856</v>
      </c>
      <c r="MAA97" s="1675" t="s">
        <v>856</v>
      </c>
      <c r="MAB97" s="1675" t="s">
        <v>856</v>
      </c>
      <c r="MAC97" s="1675" t="s">
        <v>856</v>
      </c>
      <c r="MAD97" s="1675" t="s">
        <v>856</v>
      </c>
      <c r="MAE97" s="1675" t="s">
        <v>856</v>
      </c>
      <c r="MAF97" s="1675" t="s">
        <v>856</v>
      </c>
      <c r="MAG97" s="1675" t="s">
        <v>856</v>
      </c>
      <c r="MAH97" s="1675" t="s">
        <v>856</v>
      </c>
      <c r="MAI97" s="1675" t="s">
        <v>856</v>
      </c>
      <c r="MAJ97" s="1675" t="s">
        <v>856</v>
      </c>
      <c r="MAK97" s="1675" t="s">
        <v>856</v>
      </c>
      <c r="MAL97" s="1675" t="s">
        <v>856</v>
      </c>
      <c r="MAM97" s="1675" t="s">
        <v>856</v>
      </c>
      <c r="MAN97" s="1675" t="s">
        <v>856</v>
      </c>
      <c r="MAO97" s="1675" t="s">
        <v>856</v>
      </c>
      <c r="MAP97" s="1675" t="s">
        <v>856</v>
      </c>
      <c r="MAQ97" s="1675" t="s">
        <v>856</v>
      </c>
      <c r="MAR97" s="1675" t="s">
        <v>856</v>
      </c>
      <c r="MAS97" s="1675" t="s">
        <v>856</v>
      </c>
      <c r="MAT97" s="1675" t="s">
        <v>856</v>
      </c>
      <c r="MAU97" s="1675" t="s">
        <v>856</v>
      </c>
      <c r="MAV97" s="1675" t="s">
        <v>856</v>
      </c>
      <c r="MAW97" s="1675" t="s">
        <v>856</v>
      </c>
      <c r="MAX97" s="1675" t="s">
        <v>856</v>
      </c>
      <c r="MAY97" s="1675" t="s">
        <v>856</v>
      </c>
      <c r="MAZ97" s="1675" t="s">
        <v>856</v>
      </c>
      <c r="MBA97" s="1675" t="s">
        <v>856</v>
      </c>
      <c r="MBB97" s="1675" t="s">
        <v>856</v>
      </c>
      <c r="MBC97" s="1675" t="s">
        <v>856</v>
      </c>
      <c r="MBD97" s="1675" t="s">
        <v>856</v>
      </c>
      <c r="MBE97" s="1675" t="s">
        <v>856</v>
      </c>
      <c r="MBF97" s="1675" t="s">
        <v>856</v>
      </c>
      <c r="MBG97" s="1675" t="s">
        <v>856</v>
      </c>
      <c r="MBH97" s="1675" t="s">
        <v>856</v>
      </c>
      <c r="MBI97" s="1675" t="s">
        <v>856</v>
      </c>
      <c r="MBJ97" s="1675" t="s">
        <v>856</v>
      </c>
      <c r="MBK97" s="1675" t="s">
        <v>856</v>
      </c>
      <c r="MBL97" s="1675" t="s">
        <v>856</v>
      </c>
      <c r="MBM97" s="1675" t="s">
        <v>856</v>
      </c>
      <c r="MBN97" s="1675" t="s">
        <v>856</v>
      </c>
      <c r="MBO97" s="1675" t="s">
        <v>856</v>
      </c>
      <c r="MBP97" s="1675" t="s">
        <v>856</v>
      </c>
      <c r="MBQ97" s="1675" t="s">
        <v>856</v>
      </c>
      <c r="MBR97" s="1675" t="s">
        <v>856</v>
      </c>
      <c r="MBS97" s="1675" t="s">
        <v>856</v>
      </c>
      <c r="MBT97" s="1675" t="s">
        <v>856</v>
      </c>
      <c r="MBU97" s="1675" t="s">
        <v>856</v>
      </c>
      <c r="MBV97" s="1675" t="s">
        <v>856</v>
      </c>
      <c r="MBW97" s="1675" t="s">
        <v>856</v>
      </c>
      <c r="MBX97" s="1675" t="s">
        <v>856</v>
      </c>
      <c r="MBY97" s="1675" t="s">
        <v>856</v>
      </c>
      <c r="MBZ97" s="1675" t="s">
        <v>856</v>
      </c>
      <c r="MCA97" s="1675" t="s">
        <v>856</v>
      </c>
      <c r="MCB97" s="1675" t="s">
        <v>856</v>
      </c>
      <c r="MCC97" s="1675" t="s">
        <v>856</v>
      </c>
      <c r="MCD97" s="1675" t="s">
        <v>856</v>
      </c>
      <c r="MCE97" s="1675" t="s">
        <v>856</v>
      </c>
      <c r="MCF97" s="1675" t="s">
        <v>856</v>
      </c>
      <c r="MCG97" s="1675" t="s">
        <v>856</v>
      </c>
      <c r="MCH97" s="1675" t="s">
        <v>856</v>
      </c>
      <c r="MCI97" s="1675" t="s">
        <v>856</v>
      </c>
      <c r="MCJ97" s="1675" t="s">
        <v>856</v>
      </c>
      <c r="MCK97" s="1675" t="s">
        <v>856</v>
      </c>
      <c r="MCL97" s="1675" t="s">
        <v>856</v>
      </c>
      <c r="MCM97" s="1675" t="s">
        <v>856</v>
      </c>
      <c r="MCN97" s="1675" t="s">
        <v>856</v>
      </c>
      <c r="MCO97" s="1675" t="s">
        <v>856</v>
      </c>
      <c r="MCP97" s="1675" t="s">
        <v>856</v>
      </c>
      <c r="MCQ97" s="1675" t="s">
        <v>856</v>
      </c>
      <c r="MCR97" s="1675" t="s">
        <v>856</v>
      </c>
      <c r="MCS97" s="1675" t="s">
        <v>856</v>
      </c>
      <c r="MCT97" s="1675" t="s">
        <v>856</v>
      </c>
      <c r="MCU97" s="1675" t="s">
        <v>856</v>
      </c>
      <c r="MCV97" s="1675" t="s">
        <v>856</v>
      </c>
      <c r="MCW97" s="1675" t="s">
        <v>856</v>
      </c>
      <c r="MCX97" s="1675" t="s">
        <v>856</v>
      </c>
      <c r="MCY97" s="1675" t="s">
        <v>856</v>
      </c>
      <c r="MCZ97" s="1675" t="s">
        <v>856</v>
      </c>
      <c r="MDA97" s="1675" t="s">
        <v>856</v>
      </c>
      <c r="MDB97" s="1675" t="s">
        <v>856</v>
      </c>
      <c r="MDC97" s="1675" t="s">
        <v>856</v>
      </c>
      <c r="MDD97" s="1675" t="s">
        <v>856</v>
      </c>
      <c r="MDE97" s="1675" t="s">
        <v>856</v>
      </c>
      <c r="MDF97" s="1675" t="s">
        <v>856</v>
      </c>
      <c r="MDG97" s="1675" t="s">
        <v>856</v>
      </c>
      <c r="MDH97" s="1675" t="s">
        <v>856</v>
      </c>
      <c r="MDI97" s="1675" t="s">
        <v>856</v>
      </c>
      <c r="MDJ97" s="1675" t="s">
        <v>856</v>
      </c>
      <c r="MDK97" s="1675" t="s">
        <v>856</v>
      </c>
      <c r="MDL97" s="1675" t="s">
        <v>856</v>
      </c>
      <c r="MDM97" s="1675" t="s">
        <v>856</v>
      </c>
      <c r="MDN97" s="1675" t="s">
        <v>856</v>
      </c>
      <c r="MDO97" s="1675" t="s">
        <v>856</v>
      </c>
      <c r="MDP97" s="1675" t="s">
        <v>856</v>
      </c>
      <c r="MDQ97" s="1675" t="s">
        <v>856</v>
      </c>
      <c r="MDR97" s="1675" t="s">
        <v>856</v>
      </c>
      <c r="MDS97" s="1675" t="s">
        <v>856</v>
      </c>
      <c r="MDT97" s="1675" t="s">
        <v>856</v>
      </c>
      <c r="MDU97" s="1675" t="s">
        <v>856</v>
      </c>
      <c r="MDV97" s="1675" t="s">
        <v>856</v>
      </c>
      <c r="MDW97" s="1675" t="s">
        <v>856</v>
      </c>
      <c r="MDX97" s="1675" t="s">
        <v>856</v>
      </c>
      <c r="MDY97" s="1675" t="s">
        <v>856</v>
      </c>
      <c r="MDZ97" s="1675" t="s">
        <v>856</v>
      </c>
      <c r="MEA97" s="1675" t="s">
        <v>856</v>
      </c>
      <c r="MEB97" s="1675" t="s">
        <v>856</v>
      </c>
      <c r="MEC97" s="1675" t="s">
        <v>856</v>
      </c>
      <c r="MED97" s="1675" t="s">
        <v>856</v>
      </c>
      <c r="MEE97" s="1675" t="s">
        <v>856</v>
      </c>
      <c r="MEF97" s="1675" t="s">
        <v>856</v>
      </c>
      <c r="MEG97" s="1675" t="s">
        <v>856</v>
      </c>
      <c r="MEH97" s="1675" t="s">
        <v>856</v>
      </c>
      <c r="MEI97" s="1675" t="s">
        <v>856</v>
      </c>
      <c r="MEJ97" s="1675" t="s">
        <v>856</v>
      </c>
      <c r="MEK97" s="1675" t="s">
        <v>856</v>
      </c>
      <c r="MEL97" s="1675" t="s">
        <v>856</v>
      </c>
      <c r="MEM97" s="1675" t="s">
        <v>856</v>
      </c>
      <c r="MEN97" s="1675" t="s">
        <v>856</v>
      </c>
      <c r="MEO97" s="1675" t="s">
        <v>856</v>
      </c>
      <c r="MEP97" s="1675" t="s">
        <v>856</v>
      </c>
      <c r="MEQ97" s="1675" t="s">
        <v>856</v>
      </c>
      <c r="MER97" s="1675" t="s">
        <v>856</v>
      </c>
      <c r="MES97" s="1675" t="s">
        <v>856</v>
      </c>
      <c r="MET97" s="1675" t="s">
        <v>856</v>
      </c>
      <c r="MEU97" s="1675" t="s">
        <v>856</v>
      </c>
      <c r="MEV97" s="1675" t="s">
        <v>856</v>
      </c>
      <c r="MEW97" s="1675" t="s">
        <v>856</v>
      </c>
      <c r="MEX97" s="1675" t="s">
        <v>856</v>
      </c>
      <c r="MEY97" s="1675" t="s">
        <v>856</v>
      </c>
      <c r="MEZ97" s="1675" t="s">
        <v>856</v>
      </c>
      <c r="MFA97" s="1675" t="s">
        <v>856</v>
      </c>
      <c r="MFB97" s="1675" t="s">
        <v>856</v>
      </c>
      <c r="MFC97" s="1675" t="s">
        <v>856</v>
      </c>
      <c r="MFD97" s="1675" t="s">
        <v>856</v>
      </c>
      <c r="MFE97" s="1675" t="s">
        <v>856</v>
      </c>
      <c r="MFF97" s="1675" t="s">
        <v>856</v>
      </c>
      <c r="MFG97" s="1675" t="s">
        <v>856</v>
      </c>
      <c r="MFH97" s="1675" t="s">
        <v>856</v>
      </c>
      <c r="MFI97" s="1675" t="s">
        <v>856</v>
      </c>
      <c r="MFJ97" s="1675" t="s">
        <v>856</v>
      </c>
      <c r="MFK97" s="1675" t="s">
        <v>856</v>
      </c>
      <c r="MFL97" s="1675" t="s">
        <v>856</v>
      </c>
      <c r="MFM97" s="1675" t="s">
        <v>856</v>
      </c>
      <c r="MFN97" s="1675" t="s">
        <v>856</v>
      </c>
      <c r="MFO97" s="1675" t="s">
        <v>856</v>
      </c>
      <c r="MFP97" s="1675" t="s">
        <v>856</v>
      </c>
      <c r="MFQ97" s="1675" t="s">
        <v>856</v>
      </c>
      <c r="MFR97" s="1675" t="s">
        <v>856</v>
      </c>
      <c r="MFS97" s="1675" t="s">
        <v>856</v>
      </c>
      <c r="MFT97" s="1675" t="s">
        <v>856</v>
      </c>
      <c r="MFU97" s="1675" t="s">
        <v>856</v>
      </c>
      <c r="MFV97" s="1675" t="s">
        <v>856</v>
      </c>
      <c r="MFW97" s="1675" t="s">
        <v>856</v>
      </c>
      <c r="MFX97" s="1675" t="s">
        <v>856</v>
      </c>
      <c r="MFY97" s="1675" t="s">
        <v>856</v>
      </c>
      <c r="MFZ97" s="1675" t="s">
        <v>856</v>
      </c>
      <c r="MGA97" s="1675" t="s">
        <v>856</v>
      </c>
      <c r="MGB97" s="1675" t="s">
        <v>856</v>
      </c>
      <c r="MGC97" s="1675" t="s">
        <v>856</v>
      </c>
      <c r="MGD97" s="1675" t="s">
        <v>856</v>
      </c>
      <c r="MGE97" s="1675" t="s">
        <v>856</v>
      </c>
      <c r="MGF97" s="1675" t="s">
        <v>856</v>
      </c>
      <c r="MGG97" s="1675" t="s">
        <v>856</v>
      </c>
      <c r="MGH97" s="1675" t="s">
        <v>856</v>
      </c>
      <c r="MGI97" s="1675" t="s">
        <v>856</v>
      </c>
      <c r="MGJ97" s="1675" t="s">
        <v>856</v>
      </c>
      <c r="MGK97" s="1675" t="s">
        <v>856</v>
      </c>
      <c r="MGL97" s="1675" t="s">
        <v>856</v>
      </c>
      <c r="MGM97" s="1675" t="s">
        <v>856</v>
      </c>
      <c r="MGN97" s="1675" t="s">
        <v>856</v>
      </c>
      <c r="MGO97" s="1675" t="s">
        <v>856</v>
      </c>
      <c r="MGP97" s="1675" t="s">
        <v>856</v>
      </c>
      <c r="MGQ97" s="1675" t="s">
        <v>856</v>
      </c>
      <c r="MGR97" s="1675" t="s">
        <v>856</v>
      </c>
      <c r="MGS97" s="1675" t="s">
        <v>856</v>
      </c>
      <c r="MGT97" s="1675" t="s">
        <v>856</v>
      </c>
      <c r="MGU97" s="1675" t="s">
        <v>856</v>
      </c>
      <c r="MGV97" s="1675" t="s">
        <v>856</v>
      </c>
      <c r="MGW97" s="1675" t="s">
        <v>856</v>
      </c>
      <c r="MGX97" s="1675" t="s">
        <v>856</v>
      </c>
      <c r="MGY97" s="1675" t="s">
        <v>856</v>
      </c>
      <c r="MGZ97" s="1675" t="s">
        <v>856</v>
      </c>
      <c r="MHA97" s="1675" t="s">
        <v>856</v>
      </c>
      <c r="MHB97" s="1675" t="s">
        <v>856</v>
      </c>
      <c r="MHC97" s="1675" t="s">
        <v>856</v>
      </c>
      <c r="MHD97" s="1675" t="s">
        <v>856</v>
      </c>
      <c r="MHE97" s="1675" t="s">
        <v>856</v>
      </c>
      <c r="MHF97" s="1675" t="s">
        <v>856</v>
      </c>
      <c r="MHG97" s="1675" t="s">
        <v>856</v>
      </c>
      <c r="MHH97" s="1675" t="s">
        <v>856</v>
      </c>
      <c r="MHI97" s="1675" t="s">
        <v>856</v>
      </c>
      <c r="MHJ97" s="1675" t="s">
        <v>856</v>
      </c>
      <c r="MHK97" s="1675" t="s">
        <v>856</v>
      </c>
      <c r="MHL97" s="1675" t="s">
        <v>856</v>
      </c>
      <c r="MHM97" s="1675" t="s">
        <v>856</v>
      </c>
      <c r="MHN97" s="1675" t="s">
        <v>856</v>
      </c>
      <c r="MHO97" s="1675" t="s">
        <v>856</v>
      </c>
      <c r="MHP97" s="1675" t="s">
        <v>856</v>
      </c>
      <c r="MHQ97" s="1675" t="s">
        <v>856</v>
      </c>
      <c r="MHR97" s="1675" t="s">
        <v>856</v>
      </c>
      <c r="MHS97" s="1675" t="s">
        <v>856</v>
      </c>
      <c r="MHT97" s="1675" t="s">
        <v>856</v>
      </c>
      <c r="MHU97" s="1675" t="s">
        <v>856</v>
      </c>
      <c r="MHV97" s="1675" t="s">
        <v>856</v>
      </c>
      <c r="MHW97" s="1675" t="s">
        <v>856</v>
      </c>
      <c r="MHX97" s="1675" t="s">
        <v>856</v>
      </c>
      <c r="MHY97" s="1675" t="s">
        <v>856</v>
      </c>
      <c r="MHZ97" s="1675" t="s">
        <v>856</v>
      </c>
      <c r="MIA97" s="1675" t="s">
        <v>856</v>
      </c>
      <c r="MIB97" s="1675" t="s">
        <v>856</v>
      </c>
      <c r="MIC97" s="1675" t="s">
        <v>856</v>
      </c>
      <c r="MID97" s="1675" t="s">
        <v>856</v>
      </c>
      <c r="MIE97" s="1675" t="s">
        <v>856</v>
      </c>
      <c r="MIF97" s="1675" t="s">
        <v>856</v>
      </c>
      <c r="MIG97" s="1675" t="s">
        <v>856</v>
      </c>
      <c r="MIH97" s="1675" t="s">
        <v>856</v>
      </c>
      <c r="MII97" s="1675" t="s">
        <v>856</v>
      </c>
      <c r="MIJ97" s="1675" t="s">
        <v>856</v>
      </c>
      <c r="MIK97" s="1675" t="s">
        <v>856</v>
      </c>
      <c r="MIL97" s="1675" t="s">
        <v>856</v>
      </c>
      <c r="MIM97" s="1675" t="s">
        <v>856</v>
      </c>
      <c r="MIN97" s="1675" t="s">
        <v>856</v>
      </c>
      <c r="MIO97" s="1675" t="s">
        <v>856</v>
      </c>
      <c r="MIP97" s="1675" t="s">
        <v>856</v>
      </c>
      <c r="MIQ97" s="1675" t="s">
        <v>856</v>
      </c>
      <c r="MIR97" s="1675" t="s">
        <v>856</v>
      </c>
      <c r="MIS97" s="1675" t="s">
        <v>856</v>
      </c>
      <c r="MIT97" s="1675" t="s">
        <v>856</v>
      </c>
      <c r="MIU97" s="1675" t="s">
        <v>856</v>
      </c>
      <c r="MIV97" s="1675" t="s">
        <v>856</v>
      </c>
      <c r="MIW97" s="1675" t="s">
        <v>856</v>
      </c>
      <c r="MIX97" s="1675" t="s">
        <v>856</v>
      </c>
      <c r="MIY97" s="1675" t="s">
        <v>856</v>
      </c>
      <c r="MIZ97" s="1675" t="s">
        <v>856</v>
      </c>
      <c r="MJA97" s="1675" t="s">
        <v>856</v>
      </c>
      <c r="MJB97" s="1675" t="s">
        <v>856</v>
      </c>
      <c r="MJC97" s="1675" t="s">
        <v>856</v>
      </c>
      <c r="MJD97" s="1675" t="s">
        <v>856</v>
      </c>
      <c r="MJE97" s="1675" t="s">
        <v>856</v>
      </c>
      <c r="MJF97" s="1675" t="s">
        <v>856</v>
      </c>
      <c r="MJG97" s="1675" t="s">
        <v>856</v>
      </c>
      <c r="MJH97" s="1675" t="s">
        <v>856</v>
      </c>
      <c r="MJI97" s="1675" t="s">
        <v>856</v>
      </c>
      <c r="MJJ97" s="1675" t="s">
        <v>856</v>
      </c>
      <c r="MJK97" s="1675" t="s">
        <v>856</v>
      </c>
      <c r="MJL97" s="1675" t="s">
        <v>856</v>
      </c>
      <c r="MJM97" s="1675" t="s">
        <v>856</v>
      </c>
      <c r="MJN97" s="1675" t="s">
        <v>856</v>
      </c>
      <c r="MJO97" s="1675" t="s">
        <v>856</v>
      </c>
      <c r="MJP97" s="1675" t="s">
        <v>856</v>
      </c>
      <c r="MJQ97" s="1675" t="s">
        <v>856</v>
      </c>
      <c r="MJR97" s="1675" t="s">
        <v>856</v>
      </c>
      <c r="MJS97" s="1675" t="s">
        <v>856</v>
      </c>
      <c r="MJT97" s="1675" t="s">
        <v>856</v>
      </c>
      <c r="MJU97" s="1675" t="s">
        <v>856</v>
      </c>
      <c r="MJV97" s="1675" t="s">
        <v>856</v>
      </c>
      <c r="MJW97" s="1675" t="s">
        <v>856</v>
      </c>
      <c r="MJX97" s="1675" t="s">
        <v>856</v>
      </c>
      <c r="MJY97" s="1675" t="s">
        <v>856</v>
      </c>
      <c r="MJZ97" s="1675" t="s">
        <v>856</v>
      </c>
      <c r="MKA97" s="1675" t="s">
        <v>856</v>
      </c>
      <c r="MKB97" s="1675" t="s">
        <v>856</v>
      </c>
      <c r="MKC97" s="1675" t="s">
        <v>856</v>
      </c>
      <c r="MKD97" s="1675" t="s">
        <v>856</v>
      </c>
      <c r="MKE97" s="1675" t="s">
        <v>856</v>
      </c>
      <c r="MKF97" s="1675" t="s">
        <v>856</v>
      </c>
      <c r="MKG97" s="1675" t="s">
        <v>856</v>
      </c>
      <c r="MKH97" s="1675" t="s">
        <v>856</v>
      </c>
      <c r="MKI97" s="1675" t="s">
        <v>856</v>
      </c>
      <c r="MKJ97" s="1675" t="s">
        <v>856</v>
      </c>
      <c r="MKK97" s="1675" t="s">
        <v>856</v>
      </c>
      <c r="MKL97" s="1675" t="s">
        <v>856</v>
      </c>
      <c r="MKM97" s="1675" t="s">
        <v>856</v>
      </c>
      <c r="MKN97" s="1675" t="s">
        <v>856</v>
      </c>
      <c r="MKO97" s="1675" t="s">
        <v>856</v>
      </c>
      <c r="MKP97" s="1675" t="s">
        <v>856</v>
      </c>
      <c r="MKQ97" s="1675" t="s">
        <v>856</v>
      </c>
      <c r="MKR97" s="1675" t="s">
        <v>856</v>
      </c>
      <c r="MKS97" s="1675" t="s">
        <v>856</v>
      </c>
      <c r="MKT97" s="1675" t="s">
        <v>856</v>
      </c>
      <c r="MKU97" s="1675" t="s">
        <v>856</v>
      </c>
      <c r="MKV97" s="1675" t="s">
        <v>856</v>
      </c>
      <c r="MKW97" s="1675" t="s">
        <v>856</v>
      </c>
      <c r="MKX97" s="1675" t="s">
        <v>856</v>
      </c>
      <c r="MKY97" s="1675" t="s">
        <v>856</v>
      </c>
      <c r="MKZ97" s="1675" t="s">
        <v>856</v>
      </c>
      <c r="MLA97" s="1675" t="s">
        <v>856</v>
      </c>
      <c r="MLB97" s="1675" t="s">
        <v>856</v>
      </c>
      <c r="MLC97" s="1675" t="s">
        <v>856</v>
      </c>
      <c r="MLD97" s="1675" t="s">
        <v>856</v>
      </c>
      <c r="MLE97" s="1675" t="s">
        <v>856</v>
      </c>
      <c r="MLF97" s="1675" t="s">
        <v>856</v>
      </c>
      <c r="MLG97" s="1675" t="s">
        <v>856</v>
      </c>
      <c r="MLH97" s="1675" t="s">
        <v>856</v>
      </c>
      <c r="MLI97" s="1675" t="s">
        <v>856</v>
      </c>
      <c r="MLJ97" s="1675" t="s">
        <v>856</v>
      </c>
      <c r="MLK97" s="1675" t="s">
        <v>856</v>
      </c>
      <c r="MLL97" s="1675" t="s">
        <v>856</v>
      </c>
      <c r="MLM97" s="1675" t="s">
        <v>856</v>
      </c>
      <c r="MLN97" s="1675" t="s">
        <v>856</v>
      </c>
      <c r="MLO97" s="1675" t="s">
        <v>856</v>
      </c>
      <c r="MLP97" s="1675" t="s">
        <v>856</v>
      </c>
      <c r="MLQ97" s="1675" t="s">
        <v>856</v>
      </c>
      <c r="MLR97" s="1675" t="s">
        <v>856</v>
      </c>
      <c r="MLS97" s="1675" t="s">
        <v>856</v>
      </c>
      <c r="MLT97" s="1675" t="s">
        <v>856</v>
      </c>
      <c r="MLU97" s="1675" t="s">
        <v>856</v>
      </c>
      <c r="MLV97" s="1675" t="s">
        <v>856</v>
      </c>
      <c r="MLW97" s="1675" t="s">
        <v>856</v>
      </c>
      <c r="MLX97" s="1675" t="s">
        <v>856</v>
      </c>
      <c r="MLY97" s="1675" t="s">
        <v>856</v>
      </c>
      <c r="MLZ97" s="1675" t="s">
        <v>856</v>
      </c>
      <c r="MMA97" s="1675" t="s">
        <v>856</v>
      </c>
      <c r="MMB97" s="1675" t="s">
        <v>856</v>
      </c>
      <c r="MMC97" s="1675" t="s">
        <v>856</v>
      </c>
      <c r="MMD97" s="1675" t="s">
        <v>856</v>
      </c>
      <c r="MME97" s="1675" t="s">
        <v>856</v>
      </c>
      <c r="MMF97" s="1675" t="s">
        <v>856</v>
      </c>
      <c r="MMG97" s="1675" t="s">
        <v>856</v>
      </c>
      <c r="MMH97" s="1675" t="s">
        <v>856</v>
      </c>
      <c r="MMI97" s="1675" t="s">
        <v>856</v>
      </c>
      <c r="MMJ97" s="1675" t="s">
        <v>856</v>
      </c>
      <c r="MMK97" s="1675" t="s">
        <v>856</v>
      </c>
      <c r="MML97" s="1675" t="s">
        <v>856</v>
      </c>
      <c r="MMM97" s="1675" t="s">
        <v>856</v>
      </c>
      <c r="MMN97" s="1675" t="s">
        <v>856</v>
      </c>
      <c r="MMO97" s="1675" t="s">
        <v>856</v>
      </c>
      <c r="MMP97" s="1675" t="s">
        <v>856</v>
      </c>
      <c r="MMQ97" s="1675" t="s">
        <v>856</v>
      </c>
      <c r="MMR97" s="1675" t="s">
        <v>856</v>
      </c>
      <c r="MMS97" s="1675" t="s">
        <v>856</v>
      </c>
      <c r="MMT97" s="1675" t="s">
        <v>856</v>
      </c>
      <c r="MMU97" s="1675" t="s">
        <v>856</v>
      </c>
      <c r="MMV97" s="1675" t="s">
        <v>856</v>
      </c>
      <c r="MMW97" s="1675" t="s">
        <v>856</v>
      </c>
      <c r="MMX97" s="1675" t="s">
        <v>856</v>
      </c>
      <c r="MMY97" s="1675" t="s">
        <v>856</v>
      </c>
      <c r="MMZ97" s="1675" t="s">
        <v>856</v>
      </c>
      <c r="MNA97" s="1675" t="s">
        <v>856</v>
      </c>
      <c r="MNB97" s="1675" t="s">
        <v>856</v>
      </c>
      <c r="MNC97" s="1675" t="s">
        <v>856</v>
      </c>
      <c r="MND97" s="1675" t="s">
        <v>856</v>
      </c>
      <c r="MNE97" s="1675" t="s">
        <v>856</v>
      </c>
      <c r="MNF97" s="1675" t="s">
        <v>856</v>
      </c>
      <c r="MNG97" s="1675" t="s">
        <v>856</v>
      </c>
      <c r="MNH97" s="1675" t="s">
        <v>856</v>
      </c>
      <c r="MNI97" s="1675" t="s">
        <v>856</v>
      </c>
      <c r="MNJ97" s="1675" t="s">
        <v>856</v>
      </c>
      <c r="MNK97" s="1675" t="s">
        <v>856</v>
      </c>
      <c r="MNL97" s="1675" t="s">
        <v>856</v>
      </c>
      <c r="MNM97" s="1675" t="s">
        <v>856</v>
      </c>
      <c r="MNN97" s="1675" t="s">
        <v>856</v>
      </c>
      <c r="MNO97" s="1675" t="s">
        <v>856</v>
      </c>
      <c r="MNP97" s="1675" t="s">
        <v>856</v>
      </c>
      <c r="MNQ97" s="1675" t="s">
        <v>856</v>
      </c>
      <c r="MNR97" s="1675" t="s">
        <v>856</v>
      </c>
      <c r="MNS97" s="1675" t="s">
        <v>856</v>
      </c>
      <c r="MNT97" s="1675" t="s">
        <v>856</v>
      </c>
      <c r="MNU97" s="1675" t="s">
        <v>856</v>
      </c>
      <c r="MNV97" s="1675" t="s">
        <v>856</v>
      </c>
      <c r="MNW97" s="1675" t="s">
        <v>856</v>
      </c>
      <c r="MNX97" s="1675" t="s">
        <v>856</v>
      </c>
      <c r="MNY97" s="1675" t="s">
        <v>856</v>
      </c>
      <c r="MNZ97" s="1675" t="s">
        <v>856</v>
      </c>
      <c r="MOA97" s="1675" t="s">
        <v>856</v>
      </c>
      <c r="MOB97" s="1675" t="s">
        <v>856</v>
      </c>
      <c r="MOC97" s="1675" t="s">
        <v>856</v>
      </c>
      <c r="MOD97" s="1675" t="s">
        <v>856</v>
      </c>
      <c r="MOE97" s="1675" t="s">
        <v>856</v>
      </c>
      <c r="MOF97" s="1675" t="s">
        <v>856</v>
      </c>
      <c r="MOG97" s="1675" t="s">
        <v>856</v>
      </c>
      <c r="MOH97" s="1675" t="s">
        <v>856</v>
      </c>
      <c r="MOI97" s="1675" t="s">
        <v>856</v>
      </c>
      <c r="MOJ97" s="1675" t="s">
        <v>856</v>
      </c>
      <c r="MOK97" s="1675" t="s">
        <v>856</v>
      </c>
      <c r="MOL97" s="1675" t="s">
        <v>856</v>
      </c>
      <c r="MOM97" s="1675" t="s">
        <v>856</v>
      </c>
      <c r="MON97" s="1675" t="s">
        <v>856</v>
      </c>
      <c r="MOO97" s="1675" t="s">
        <v>856</v>
      </c>
      <c r="MOP97" s="1675" t="s">
        <v>856</v>
      </c>
      <c r="MOQ97" s="1675" t="s">
        <v>856</v>
      </c>
      <c r="MOR97" s="1675" t="s">
        <v>856</v>
      </c>
      <c r="MOS97" s="1675" t="s">
        <v>856</v>
      </c>
      <c r="MOT97" s="1675" t="s">
        <v>856</v>
      </c>
      <c r="MOU97" s="1675" t="s">
        <v>856</v>
      </c>
      <c r="MOV97" s="1675" t="s">
        <v>856</v>
      </c>
      <c r="MOW97" s="1675" t="s">
        <v>856</v>
      </c>
      <c r="MOX97" s="1675" t="s">
        <v>856</v>
      </c>
      <c r="MOY97" s="1675" t="s">
        <v>856</v>
      </c>
      <c r="MOZ97" s="1675" t="s">
        <v>856</v>
      </c>
      <c r="MPA97" s="1675" t="s">
        <v>856</v>
      </c>
      <c r="MPB97" s="1675" t="s">
        <v>856</v>
      </c>
      <c r="MPC97" s="1675" t="s">
        <v>856</v>
      </c>
      <c r="MPD97" s="1675" t="s">
        <v>856</v>
      </c>
      <c r="MPE97" s="1675" t="s">
        <v>856</v>
      </c>
      <c r="MPF97" s="1675" t="s">
        <v>856</v>
      </c>
      <c r="MPG97" s="1675" t="s">
        <v>856</v>
      </c>
      <c r="MPH97" s="1675" t="s">
        <v>856</v>
      </c>
      <c r="MPI97" s="1675" t="s">
        <v>856</v>
      </c>
      <c r="MPJ97" s="1675" t="s">
        <v>856</v>
      </c>
      <c r="MPK97" s="1675" t="s">
        <v>856</v>
      </c>
      <c r="MPL97" s="1675" t="s">
        <v>856</v>
      </c>
      <c r="MPM97" s="1675" t="s">
        <v>856</v>
      </c>
      <c r="MPN97" s="1675" t="s">
        <v>856</v>
      </c>
      <c r="MPO97" s="1675" t="s">
        <v>856</v>
      </c>
      <c r="MPP97" s="1675" t="s">
        <v>856</v>
      </c>
      <c r="MPQ97" s="1675" t="s">
        <v>856</v>
      </c>
      <c r="MPR97" s="1675" t="s">
        <v>856</v>
      </c>
      <c r="MPS97" s="1675" t="s">
        <v>856</v>
      </c>
      <c r="MPT97" s="1675" t="s">
        <v>856</v>
      </c>
      <c r="MPU97" s="1675" t="s">
        <v>856</v>
      </c>
      <c r="MPV97" s="1675" t="s">
        <v>856</v>
      </c>
      <c r="MPW97" s="1675" t="s">
        <v>856</v>
      </c>
      <c r="MPX97" s="1675" t="s">
        <v>856</v>
      </c>
      <c r="MPY97" s="1675" t="s">
        <v>856</v>
      </c>
      <c r="MPZ97" s="1675" t="s">
        <v>856</v>
      </c>
      <c r="MQA97" s="1675" t="s">
        <v>856</v>
      </c>
      <c r="MQB97" s="1675" t="s">
        <v>856</v>
      </c>
      <c r="MQC97" s="1675" t="s">
        <v>856</v>
      </c>
      <c r="MQD97" s="1675" t="s">
        <v>856</v>
      </c>
      <c r="MQE97" s="1675" t="s">
        <v>856</v>
      </c>
      <c r="MQF97" s="1675" t="s">
        <v>856</v>
      </c>
      <c r="MQG97" s="1675" t="s">
        <v>856</v>
      </c>
      <c r="MQH97" s="1675" t="s">
        <v>856</v>
      </c>
      <c r="MQI97" s="1675" t="s">
        <v>856</v>
      </c>
      <c r="MQJ97" s="1675" t="s">
        <v>856</v>
      </c>
      <c r="MQK97" s="1675" t="s">
        <v>856</v>
      </c>
      <c r="MQL97" s="1675" t="s">
        <v>856</v>
      </c>
      <c r="MQM97" s="1675" t="s">
        <v>856</v>
      </c>
      <c r="MQN97" s="1675" t="s">
        <v>856</v>
      </c>
      <c r="MQO97" s="1675" t="s">
        <v>856</v>
      </c>
      <c r="MQP97" s="1675" t="s">
        <v>856</v>
      </c>
      <c r="MQQ97" s="1675" t="s">
        <v>856</v>
      </c>
      <c r="MQR97" s="1675" t="s">
        <v>856</v>
      </c>
      <c r="MQS97" s="1675" t="s">
        <v>856</v>
      </c>
      <c r="MQT97" s="1675" t="s">
        <v>856</v>
      </c>
      <c r="MQU97" s="1675" t="s">
        <v>856</v>
      </c>
      <c r="MQV97" s="1675" t="s">
        <v>856</v>
      </c>
      <c r="MQW97" s="1675" t="s">
        <v>856</v>
      </c>
      <c r="MQX97" s="1675" t="s">
        <v>856</v>
      </c>
      <c r="MQY97" s="1675" t="s">
        <v>856</v>
      </c>
      <c r="MQZ97" s="1675" t="s">
        <v>856</v>
      </c>
      <c r="MRA97" s="1675" t="s">
        <v>856</v>
      </c>
      <c r="MRB97" s="1675" t="s">
        <v>856</v>
      </c>
      <c r="MRC97" s="1675" t="s">
        <v>856</v>
      </c>
      <c r="MRD97" s="1675" t="s">
        <v>856</v>
      </c>
      <c r="MRE97" s="1675" t="s">
        <v>856</v>
      </c>
      <c r="MRF97" s="1675" t="s">
        <v>856</v>
      </c>
      <c r="MRG97" s="1675" t="s">
        <v>856</v>
      </c>
      <c r="MRH97" s="1675" t="s">
        <v>856</v>
      </c>
      <c r="MRI97" s="1675" t="s">
        <v>856</v>
      </c>
      <c r="MRJ97" s="1675" t="s">
        <v>856</v>
      </c>
      <c r="MRK97" s="1675" t="s">
        <v>856</v>
      </c>
      <c r="MRL97" s="1675" t="s">
        <v>856</v>
      </c>
      <c r="MRM97" s="1675" t="s">
        <v>856</v>
      </c>
      <c r="MRN97" s="1675" t="s">
        <v>856</v>
      </c>
      <c r="MRO97" s="1675" t="s">
        <v>856</v>
      </c>
      <c r="MRP97" s="1675" t="s">
        <v>856</v>
      </c>
      <c r="MRQ97" s="1675" t="s">
        <v>856</v>
      </c>
      <c r="MRR97" s="1675" t="s">
        <v>856</v>
      </c>
      <c r="MRS97" s="1675" t="s">
        <v>856</v>
      </c>
      <c r="MRT97" s="1675" t="s">
        <v>856</v>
      </c>
      <c r="MRU97" s="1675" t="s">
        <v>856</v>
      </c>
      <c r="MRV97" s="1675" t="s">
        <v>856</v>
      </c>
      <c r="MRW97" s="1675" t="s">
        <v>856</v>
      </c>
      <c r="MRX97" s="1675" t="s">
        <v>856</v>
      </c>
      <c r="MRY97" s="1675" t="s">
        <v>856</v>
      </c>
      <c r="MRZ97" s="1675" t="s">
        <v>856</v>
      </c>
      <c r="MSA97" s="1675" t="s">
        <v>856</v>
      </c>
      <c r="MSB97" s="1675" t="s">
        <v>856</v>
      </c>
      <c r="MSC97" s="1675" t="s">
        <v>856</v>
      </c>
      <c r="MSD97" s="1675" t="s">
        <v>856</v>
      </c>
      <c r="MSE97" s="1675" t="s">
        <v>856</v>
      </c>
      <c r="MSF97" s="1675" t="s">
        <v>856</v>
      </c>
      <c r="MSG97" s="1675" t="s">
        <v>856</v>
      </c>
      <c r="MSH97" s="1675" t="s">
        <v>856</v>
      </c>
      <c r="MSI97" s="1675" t="s">
        <v>856</v>
      </c>
      <c r="MSJ97" s="1675" t="s">
        <v>856</v>
      </c>
      <c r="MSK97" s="1675" t="s">
        <v>856</v>
      </c>
      <c r="MSL97" s="1675" t="s">
        <v>856</v>
      </c>
      <c r="MSM97" s="1675" t="s">
        <v>856</v>
      </c>
      <c r="MSN97" s="1675" t="s">
        <v>856</v>
      </c>
      <c r="MSO97" s="1675" t="s">
        <v>856</v>
      </c>
      <c r="MSP97" s="1675" t="s">
        <v>856</v>
      </c>
      <c r="MSQ97" s="1675" t="s">
        <v>856</v>
      </c>
      <c r="MSR97" s="1675" t="s">
        <v>856</v>
      </c>
      <c r="MSS97" s="1675" t="s">
        <v>856</v>
      </c>
      <c r="MST97" s="1675" t="s">
        <v>856</v>
      </c>
      <c r="MSU97" s="1675" t="s">
        <v>856</v>
      </c>
      <c r="MSV97" s="1675" t="s">
        <v>856</v>
      </c>
      <c r="MSW97" s="1675" t="s">
        <v>856</v>
      </c>
      <c r="MSX97" s="1675" t="s">
        <v>856</v>
      </c>
      <c r="MSY97" s="1675" t="s">
        <v>856</v>
      </c>
      <c r="MSZ97" s="1675" t="s">
        <v>856</v>
      </c>
      <c r="MTA97" s="1675" t="s">
        <v>856</v>
      </c>
      <c r="MTB97" s="1675" t="s">
        <v>856</v>
      </c>
      <c r="MTC97" s="1675" t="s">
        <v>856</v>
      </c>
      <c r="MTD97" s="1675" t="s">
        <v>856</v>
      </c>
      <c r="MTE97" s="1675" t="s">
        <v>856</v>
      </c>
      <c r="MTF97" s="1675" t="s">
        <v>856</v>
      </c>
      <c r="MTG97" s="1675" t="s">
        <v>856</v>
      </c>
      <c r="MTH97" s="1675" t="s">
        <v>856</v>
      </c>
      <c r="MTI97" s="1675" t="s">
        <v>856</v>
      </c>
      <c r="MTJ97" s="1675" t="s">
        <v>856</v>
      </c>
      <c r="MTK97" s="1675" t="s">
        <v>856</v>
      </c>
      <c r="MTL97" s="1675" t="s">
        <v>856</v>
      </c>
      <c r="MTM97" s="1675" t="s">
        <v>856</v>
      </c>
      <c r="MTN97" s="1675" t="s">
        <v>856</v>
      </c>
      <c r="MTO97" s="1675" t="s">
        <v>856</v>
      </c>
      <c r="MTP97" s="1675" t="s">
        <v>856</v>
      </c>
      <c r="MTQ97" s="1675" t="s">
        <v>856</v>
      </c>
      <c r="MTR97" s="1675" t="s">
        <v>856</v>
      </c>
      <c r="MTS97" s="1675" t="s">
        <v>856</v>
      </c>
      <c r="MTT97" s="1675" t="s">
        <v>856</v>
      </c>
      <c r="MTU97" s="1675" t="s">
        <v>856</v>
      </c>
      <c r="MTV97" s="1675" t="s">
        <v>856</v>
      </c>
      <c r="MTW97" s="1675" t="s">
        <v>856</v>
      </c>
      <c r="MTX97" s="1675" t="s">
        <v>856</v>
      </c>
      <c r="MTY97" s="1675" t="s">
        <v>856</v>
      </c>
      <c r="MTZ97" s="1675" t="s">
        <v>856</v>
      </c>
      <c r="MUA97" s="1675" t="s">
        <v>856</v>
      </c>
      <c r="MUB97" s="1675" t="s">
        <v>856</v>
      </c>
      <c r="MUC97" s="1675" t="s">
        <v>856</v>
      </c>
      <c r="MUD97" s="1675" t="s">
        <v>856</v>
      </c>
      <c r="MUE97" s="1675" t="s">
        <v>856</v>
      </c>
      <c r="MUF97" s="1675" t="s">
        <v>856</v>
      </c>
      <c r="MUG97" s="1675" t="s">
        <v>856</v>
      </c>
      <c r="MUH97" s="1675" t="s">
        <v>856</v>
      </c>
      <c r="MUI97" s="1675" t="s">
        <v>856</v>
      </c>
      <c r="MUJ97" s="1675" t="s">
        <v>856</v>
      </c>
      <c r="MUK97" s="1675" t="s">
        <v>856</v>
      </c>
      <c r="MUL97" s="1675" t="s">
        <v>856</v>
      </c>
      <c r="MUM97" s="1675" t="s">
        <v>856</v>
      </c>
      <c r="MUN97" s="1675" t="s">
        <v>856</v>
      </c>
      <c r="MUO97" s="1675" t="s">
        <v>856</v>
      </c>
      <c r="MUP97" s="1675" t="s">
        <v>856</v>
      </c>
      <c r="MUQ97" s="1675" t="s">
        <v>856</v>
      </c>
      <c r="MUR97" s="1675" t="s">
        <v>856</v>
      </c>
      <c r="MUS97" s="1675" t="s">
        <v>856</v>
      </c>
      <c r="MUT97" s="1675" t="s">
        <v>856</v>
      </c>
      <c r="MUU97" s="1675" t="s">
        <v>856</v>
      </c>
      <c r="MUV97" s="1675" t="s">
        <v>856</v>
      </c>
      <c r="MUW97" s="1675" t="s">
        <v>856</v>
      </c>
      <c r="MUX97" s="1675" t="s">
        <v>856</v>
      </c>
      <c r="MUY97" s="1675" t="s">
        <v>856</v>
      </c>
      <c r="MUZ97" s="1675" t="s">
        <v>856</v>
      </c>
      <c r="MVA97" s="1675" t="s">
        <v>856</v>
      </c>
      <c r="MVB97" s="1675" t="s">
        <v>856</v>
      </c>
      <c r="MVC97" s="1675" t="s">
        <v>856</v>
      </c>
      <c r="MVD97" s="1675" t="s">
        <v>856</v>
      </c>
      <c r="MVE97" s="1675" t="s">
        <v>856</v>
      </c>
      <c r="MVF97" s="1675" t="s">
        <v>856</v>
      </c>
      <c r="MVG97" s="1675" t="s">
        <v>856</v>
      </c>
      <c r="MVH97" s="1675" t="s">
        <v>856</v>
      </c>
      <c r="MVI97" s="1675" t="s">
        <v>856</v>
      </c>
      <c r="MVJ97" s="1675" t="s">
        <v>856</v>
      </c>
      <c r="MVK97" s="1675" t="s">
        <v>856</v>
      </c>
      <c r="MVL97" s="1675" t="s">
        <v>856</v>
      </c>
      <c r="MVM97" s="1675" t="s">
        <v>856</v>
      </c>
      <c r="MVN97" s="1675" t="s">
        <v>856</v>
      </c>
      <c r="MVO97" s="1675" t="s">
        <v>856</v>
      </c>
      <c r="MVP97" s="1675" t="s">
        <v>856</v>
      </c>
      <c r="MVQ97" s="1675" t="s">
        <v>856</v>
      </c>
      <c r="MVR97" s="1675" t="s">
        <v>856</v>
      </c>
      <c r="MVS97" s="1675" t="s">
        <v>856</v>
      </c>
      <c r="MVT97" s="1675" t="s">
        <v>856</v>
      </c>
      <c r="MVU97" s="1675" t="s">
        <v>856</v>
      </c>
      <c r="MVV97" s="1675" t="s">
        <v>856</v>
      </c>
      <c r="MVW97" s="1675" t="s">
        <v>856</v>
      </c>
      <c r="MVX97" s="1675" t="s">
        <v>856</v>
      </c>
      <c r="MVY97" s="1675" t="s">
        <v>856</v>
      </c>
      <c r="MVZ97" s="1675" t="s">
        <v>856</v>
      </c>
      <c r="MWA97" s="1675" t="s">
        <v>856</v>
      </c>
      <c r="MWB97" s="1675" t="s">
        <v>856</v>
      </c>
      <c r="MWC97" s="1675" t="s">
        <v>856</v>
      </c>
      <c r="MWD97" s="1675" t="s">
        <v>856</v>
      </c>
      <c r="MWE97" s="1675" t="s">
        <v>856</v>
      </c>
      <c r="MWF97" s="1675" t="s">
        <v>856</v>
      </c>
      <c r="MWG97" s="1675" t="s">
        <v>856</v>
      </c>
      <c r="MWH97" s="1675" t="s">
        <v>856</v>
      </c>
      <c r="MWI97" s="1675" t="s">
        <v>856</v>
      </c>
      <c r="MWJ97" s="1675" t="s">
        <v>856</v>
      </c>
      <c r="MWK97" s="1675" t="s">
        <v>856</v>
      </c>
      <c r="MWL97" s="1675" t="s">
        <v>856</v>
      </c>
      <c r="MWM97" s="1675" t="s">
        <v>856</v>
      </c>
      <c r="MWN97" s="1675" t="s">
        <v>856</v>
      </c>
      <c r="MWO97" s="1675" t="s">
        <v>856</v>
      </c>
      <c r="MWP97" s="1675" t="s">
        <v>856</v>
      </c>
      <c r="MWQ97" s="1675" t="s">
        <v>856</v>
      </c>
      <c r="MWR97" s="1675" t="s">
        <v>856</v>
      </c>
      <c r="MWS97" s="1675" t="s">
        <v>856</v>
      </c>
      <c r="MWT97" s="1675" t="s">
        <v>856</v>
      </c>
      <c r="MWU97" s="1675" t="s">
        <v>856</v>
      </c>
      <c r="MWV97" s="1675" t="s">
        <v>856</v>
      </c>
      <c r="MWW97" s="1675" t="s">
        <v>856</v>
      </c>
      <c r="MWX97" s="1675" t="s">
        <v>856</v>
      </c>
      <c r="MWY97" s="1675" t="s">
        <v>856</v>
      </c>
      <c r="MWZ97" s="1675" t="s">
        <v>856</v>
      </c>
      <c r="MXA97" s="1675" t="s">
        <v>856</v>
      </c>
      <c r="MXB97" s="1675" t="s">
        <v>856</v>
      </c>
      <c r="MXC97" s="1675" t="s">
        <v>856</v>
      </c>
      <c r="MXD97" s="1675" t="s">
        <v>856</v>
      </c>
      <c r="MXE97" s="1675" t="s">
        <v>856</v>
      </c>
      <c r="MXF97" s="1675" t="s">
        <v>856</v>
      </c>
      <c r="MXG97" s="1675" t="s">
        <v>856</v>
      </c>
      <c r="MXH97" s="1675" t="s">
        <v>856</v>
      </c>
      <c r="MXI97" s="1675" t="s">
        <v>856</v>
      </c>
      <c r="MXJ97" s="1675" t="s">
        <v>856</v>
      </c>
      <c r="MXK97" s="1675" t="s">
        <v>856</v>
      </c>
      <c r="MXL97" s="1675" t="s">
        <v>856</v>
      </c>
      <c r="MXM97" s="1675" t="s">
        <v>856</v>
      </c>
      <c r="MXN97" s="1675" t="s">
        <v>856</v>
      </c>
      <c r="MXO97" s="1675" t="s">
        <v>856</v>
      </c>
      <c r="MXP97" s="1675" t="s">
        <v>856</v>
      </c>
      <c r="MXQ97" s="1675" t="s">
        <v>856</v>
      </c>
      <c r="MXR97" s="1675" t="s">
        <v>856</v>
      </c>
      <c r="MXS97" s="1675" t="s">
        <v>856</v>
      </c>
      <c r="MXT97" s="1675" t="s">
        <v>856</v>
      </c>
      <c r="MXU97" s="1675" t="s">
        <v>856</v>
      </c>
      <c r="MXV97" s="1675" t="s">
        <v>856</v>
      </c>
      <c r="MXW97" s="1675" t="s">
        <v>856</v>
      </c>
      <c r="MXX97" s="1675" t="s">
        <v>856</v>
      </c>
      <c r="MXY97" s="1675" t="s">
        <v>856</v>
      </c>
      <c r="MXZ97" s="1675" t="s">
        <v>856</v>
      </c>
      <c r="MYA97" s="1675" t="s">
        <v>856</v>
      </c>
      <c r="MYB97" s="1675" t="s">
        <v>856</v>
      </c>
      <c r="MYC97" s="1675" t="s">
        <v>856</v>
      </c>
      <c r="MYD97" s="1675" t="s">
        <v>856</v>
      </c>
      <c r="MYE97" s="1675" t="s">
        <v>856</v>
      </c>
      <c r="MYF97" s="1675" t="s">
        <v>856</v>
      </c>
      <c r="MYG97" s="1675" t="s">
        <v>856</v>
      </c>
      <c r="MYH97" s="1675" t="s">
        <v>856</v>
      </c>
      <c r="MYI97" s="1675" t="s">
        <v>856</v>
      </c>
      <c r="MYJ97" s="1675" t="s">
        <v>856</v>
      </c>
      <c r="MYK97" s="1675" t="s">
        <v>856</v>
      </c>
      <c r="MYL97" s="1675" t="s">
        <v>856</v>
      </c>
      <c r="MYM97" s="1675" t="s">
        <v>856</v>
      </c>
      <c r="MYN97" s="1675" t="s">
        <v>856</v>
      </c>
      <c r="MYO97" s="1675" t="s">
        <v>856</v>
      </c>
      <c r="MYP97" s="1675" t="s">
        <v>856</v>
      </c>
      <c r="MYQ97" s="1675" t="s">
        <v>856</v>
      </c>
      <c r="MYR97" s="1675" t="s">
        <v>856</v>
      </c>
      <c r="MYS97" s="1675" t="s">
        <v>856</v>
      </c>
      <c r="MYT97" s="1675" t="s">
        <v>856</v>
      </c>
      <c r="MYU97" s="1675" t="s">
        <v>856</v>
      </c>
      <c r="MYV97" s="1675" t="s">
        <v>856</v>
      </c>
      <c r="MYW97" s="1675" t="s">
        <v>856</v>
      </c>
      <c r="MYX97" s="1675" t="s">
        <v>856</v>
      </c>
      <c r="MYY97" s="1675" t="s">
        <v>856</v>
      </c>
      <c r="MYZ97" s="1675" t="s">
        <v>856</v>
      </c>
      <c r="MZA97" s="1675" t="s">
        <v>856</v>
      </c>
      <c r="MZB97" s="1675" t="s">
        <v>856</v>
      </c>
      <c r="MZC97" s="1675" t="s">
        <v>856</v>
      </c>
      <c r="MZD97" s="1675" t="s">
        <v>856</v>
      </c>
      <c r="MZE97" s="1675" t="s">
        <v>856</v>
      </c>
      <c r="MZF97" s="1675" t="s">
        <v>856</v>
      </c>
      <c r="MZG97" s="1675" t="s">
        <v>856</v>
      </c>
      <c r="MZH97" s="1675" t="s">
        <v>856</v>
      </c>
      <c r="MZI97" s="1675" t="s">
        <v>856</v>
      </c>
      <c r="MZJ97" s="1675" t="s">
        <v>856</v>
      </c>
      <c r="MZK97" s="1675" t="s">
        <v>856</v>
      </c>
      <c r="MZL97" s="1675" t="s">
        <v>856</v>
      </c>
      <c r="MZM97" s="1675" t="s">
        <v>856</v>
      </c>
      <c r="MZN97" s="1675" t="s">
        <v>856</v>
      </c>
      <c r="MZO97" s="1675" t="s">
        <v>856</v>
      </c>
      <c r="MZP97" s="1675" t="s">
        <v>856</v>
      </c>
      <c r="MZQ97" s="1675" t="s">
        <v>856</v>
      </c>
      <c r="MZR97" s="1675" t="s">
        <v>856</v>
      </c>
      <c r="MZS97" s="1675" t="s">
        <v>856</v>
      </c>
      <c r="MZT97" s="1675" t="s">
        <v>856</v>
      </c>
      <c r="MZU97" s="1675" t="s">
        <v>856</v>
      </c>
      <c r="MZV97" s="1675" t="s">
        <v>856</v>
      </c>
      <c r="MZW97" s="1675" t="s">
        <v>856</v>
      </c>
      <c r="MZX97" s="1675" t="s">
        <v>856</v>
      </c>
      <c r="MZY97" s="1675" t="s">
        <v>856</v>
      </c>
      <c r="MZZ97" s="1675" t="s">
        <v>856</v>
      </c>
      <c r="NAA97" s="1675" t="s">
        <v>856</v>
      </c>
      <c r="NAB97" s="1675" t="s">
        <v>856</v>
      </c>
      <c r="NAC97" s="1675" t="s">
        <v>856</v>
      </c>
      <c r="NAD97" s="1675" t="s">
        <v>856</v>
      </c>
      <c r="NAE97" s="1675" t="s">
        <v>856</v>
      </c>
      <c r="NAF97" s="1675" t="s">
        <v>856</v>
      </c>
      <c r="NAG97" s="1675" t="s">
        <v>856</v>
      </c>
      <c r="NAH97" s="1675" t="s">
        <v>856</v>
      </c>
      <c r="NAI97" s="1675" t="s">
        <v>856</v>
      </c>
      <c r="NAJ97" s="1675" t="s">
        <v>856</v>
      </c>
      <c r="NAK97" s="1675" t="s">
        <v>856</v>
      </c>
      <c r="NAL97" s="1675" t="s">
        <v>856</v>
      </c>
      <c r="NAM97" s="1675" t="s">
        <v>856</v>
      </c>
      <c r="NAN97" s="1675" t="s">
        <v>856</v>
      </c>
      <c r="NAO97" s="1675" t="s">
        <v>856</v>
      </c>
      <c r="NAP97" s="1675" t="s">
        <v>856</v>
      </c>
      <c r="NAQ97" s="1675" t="s">
        <v>856</v>
      </c>
      <c r="NAR97" s="1675" t="s">
        <v>856</v>
      </c>
      <c r="NAS97" s="1675" t="s">
        <v>856</v>
      </c>
      <c r="NAT97" s="1675" t="s">
        <v>856</v>
      </c>
      <c r="NAU97" s="1675" t="s">
        <v>856</v>
      </c>
      <c r="NAV97" s="1675" t="s">
        <v>856</v>
      </c>
      <c r="NAW97" s="1675" t="s">
        <v>856</v>
      </c>
      <c r="NAX97" s="1675" t="s">
        <v>856</v>
      </c>
      <c r="NAY97" s="1675" t="s">
        <v>856</v>
      </c>
      <c r="NAZ97" s="1675" t="s">
        <v>856</v>
      </c>
      <c r="NBA97" s="1675" t="s">
        <v>856</v>
      </c>
      <c r="NBB97" s="1675" t="s">
        <v>856</v>
      </c>
      <c r="NBC97" s="1675" t="s">
        <v>856</v>
      </c>
      <c r="NBD97" s="1675" t="s">
        <v>856</v>
      </c>
      <c r="NBE97" s="1675" t="s">
        <v>856</v>
      </c>
      <c r="NBF97" s="1675" t="s">
        <v>856</v>
      </c>
      <c r="NBG97" s="1675" t="s">
        <v>856</v>
      </c>
      <c r="NBH97" s="1675" t="s">
        <v>856</v>
      </c>
      <c r="NBI97" s="1675" t="s">
        <v>856</v>
      </c>
      <c r="NBJ97" s="1675" t="s">
        <v>856</v>
      </c>
      <c r="NBK97" s="1675" t="s">
        <v>856</v>
      </c>
      <c r="NBL97" s="1675" t="s">
        <v>856</v>
      </c>
      <c r="NBM97" s="1675" t="s">
        <v>856</v>
      </c>
      <c r="NBN97" s="1675" t="s">
        <v>856</v>
      </c>
      <c r="NBO97" s="1675" t="s">
        <v>856</v>
      </c>
      <c r="NBP97" s="1675" t="s">
        <v>856</v>
      </c>
      <c r="NBQ97" s="1675" t="s">
        <v>856</v>
      </c>
      <c r="NBR97" s="1675" t="s">
        <v>856</v>
      </c>
      <c r="NBS97" s="1675" t="s">
        <v>856</v>
      </c>
      <c r="NBT97" s="1675" t="s">
        <v>856</v>
      </c>
      <c r="NBU97" s="1675" t="s">
        <v>856</v>
      </c>
      <c r="NBV97" s="1675" t="s">
        <v>856</v>
      </c>
      <c r="NBW97" s="1675" t="s">
        <v>856</v>
      </c>
      <c r="NBX97" s="1675" t="s">
        <v>856</v>
      </c>
      <c r="NBY97" s="1675" t="s">
        <v>856</v>
      </c>
      <c r="NBZ97" s="1675" t="s">
        <v>856</v>
      </c>
      <c r="NCA97" s="1675" t="s">
        <v>856</v>
      </c>
      <c r="NCB97" s="1675" t="s">
        <v>856</v>
      </c>
      <c r="NCC97" s="1675" t="s">
        <v>856</v>
      </c>
      <c r="NCD97" s="1675" t="s">
        <v>856</v>
      </c>
      <c r="NCE97" s="1675" t="s">
        <v>856</v>
      </c>
      <c r="NCF97" s="1675" t="s">
        <v>856</v>
      </c>
      <c r="NCG97" s="1675" t="s">
        <v>856</v>
      </c>
      <c r="NCH97" s="1675" t="s">
        <v>856</v>
      </c>
      <c r="NCI97" s="1675" t="s">
        <v>856</v>
      </c>
      <c r="NCJ97" s="1675" t="s">
        <v>856</v>
      </c>
      <c r="NCK97" s="1675" t="s">
        <v>856</v>
      </c>
      <c r="NCL97" s="1675" t="s">
        <v>856</v>
      </c>
      <c r="NCM97" s="1675" t="s">
        <v>856</v>
      </c>
      <c r="NCN97" s="1675" t="s">
        <v>856</v>
      </c>
      <c r="NCO97" s="1675" t="s">
        <v>856</v>
      </c>
      <c r="NCP97" s="1675" t="s">
        <v>856</v>
      </c>
      <c r="NCQ97" s="1675" t="s">
        <v>856</v>
      </c>
      <c r="NCR97" s="1675" t="s">
        <v>856</v>
      </c>
      <c r="NCS97" s="1675" t="s">
        <v>856</v>
      </c>
      <c r="NCT97" s="1675" t="s">
        <v>856</v>
      </c>
      <c r="NCU97" s="1675" t="s">
        <v>856</v>
      </c>
      <c r="NCV97" s="1675" t="s">
        <v>856</v>
      </c>
      <c r="NCW97" s="1675" t="s">
        <v>856</v>
      </c>
      <c r="NCX97" s="1675" t="s">
        <v>856</v>
      </c>
      <c r="NCY97" s="1675" t="s">
        <v>856</v>
      </c>
      <c r="NCZ97" s="1675" t="s">
        <v>856</v>
      </c>
      <c r="NDA97" s="1675" t="s">
        <v>856</v>
      </c>
      <c r="NDB97" s="1675" t="s">
        <v>856</v>
      </c>
      <c r="NDC97" s="1675" t="s">
        <v>856</v>
      </c>
      <c r="NDD97" s="1675" t="s">
        <v>856</v>
      </c>
      <c r="NDE97" s="1675" t="s">
        <v>856</v>
      </c>
      <c r="NDF97" s="1675" t="s">
        <v>856</v>
      </c>
      <c r="NDG97" s="1675" t="s">
        <v>856</v>
      </c>
      <c r="NDH97" s="1675" t="s">
        <v>856</v>
      </c>
      <c r="NDI97" s="1675" t="s">
        <v>856</v>
      </c>
      <c r="NDJ97" s="1675" t="s">
        <v>856</v>
      </c>
      <c r="NDK97" s="1675" t="s">
        <v>856</v>
      </c>
      <c r="NDL97" s="1675" t="s">
        <v>856</v>
      </c>
      <c r="NDM97" s="1675" t="s">
        <v>856</v>
      </c>
      <c r="NDN97" s="1675" t="s">
        <v>856</v>
      </c>
      <c r="NDO97" s="1675" t="s">
        <v>856</v>
      </c>
      <c r="NDP97" s="1675" t="s">
        <v>856</v>
      </c>
      <c r="NDQ97" s="1675" t="s">
        <v>856</v>
      </c>
      <c r="NDR97" s="1675" t="s">
        <v>856</v>
      </c>
      <c r="NDS97" s="1675" t="s">
        <v>856</v>
      </c>
      <c r="NDT97" s="1675" t="s">
        <v>856</v>
      </c>
      <c r="NDU97" s="1675" t="s">
        <v>856</v>
      </c>
      <c r="NDV97" s="1675" t="s">
        <v>856</v>
      </c>
      <c r="NDW97" s="1675" t="s">
        <v>856</v>
      </c>
      <c r="NDX97" s="1675" t="s">
        <v>856</v>
      </c>
      <c r="NDY97" s="1675" t="s">
        <v>856</v>
      </c>
      <c r="NDZ97" s="1675" t="s">
        <v>856</v>
      </c>
      <c r="NEA97" s="1675" t="s">
        <v>856</v>
      </c>
      <c r="NEB97" s="1675" t="s">
        <v>856</v>
      </c>
      <c r="NEC97" s="1675" t="s">
        <v>856</v>
      </c>
      <c r="NED97" s="1675" t="s">
        <v>856</v>
      </c>
      <c r="NEE97" s="1675" t="s">
        <v>856</v>
      </c>
      <c r="NEF97" s="1675" t="s">
        <v>856</v>
      </c>
      <c r="NEG97" s="1675" t="s">
        <v>856</v>
      </c>
      <c r="NEH97" s="1675" t="s">
        <v>856</v>
      </c>
      <c r="NEI97" s="1675" t="s">
        <v>856</v>
      </c>
      <c r="NEJ97" s="1675" t="s">
        <v>856</v>
      </c>
      <c r="NEK97" s="1675" t="s">
        <v>856</v>
      </c>
      <c r="NEL97" s="1675" t="s">
        <v>856</v>
      </c>
      <c r="NEM97" s="1675" t="s">
        <v>856</v>
      </c>
      <c r="NEN97" s="1675" t="s">
        <v>856</v>
      </c>
      <c r="NEO97" s="1675" t="s">
        <v>856</v>
      </c>
      <c r="NEP97" s="1675" t="s">
        <v>856</v>
      </c>
      <c r="NEQ97" s="1675" t="s">
        <v>856</v>
      </c>
      <c r="NER97" s="1675" t="s">
        <v>856</v>
      </c>
      <c r="NES97" s="1675" t="s">
        <v>856</v>
      </c>
      <c r="NET97" s="1675" t="s">
        <v>856</v>
      </c>
      <c r="NEU97" s="1675" t="s">
        <v>856</v>
      </c>
      <c r="NEV97" s="1675" t="s">
        <v>856</v>
      </c>
      <c r="NEW97" s="1675" t="s">
        <v>856</v>
      </c>
      <c r="NEX97" s="1675" t="s">
        <v>856</v>
      </c>
      <c r="NEY97" s="1675" t="s">
        <v>856</v>
      </c>
      <c r="NEZ97" s="1675" t="s">
        <v>856</v>
      </c>
      <c r="NFA97" s="1675" t="s">
        <v>856</v>
      </c>
      <c r="NFB97" s="1675" t="s">
        <v>856</v>
      </c>
      <c r="NFC97" s="1675" t="s">
        <v>856</v>
      </c>
      <c r="NFD97" s="1675" t="s">
        <v>856</v>
      </c>
      <c r="NFE97" s="1675" t="s">
        <v>856</v>
      </c>
      <c r="NFF97" s="1675" t="s">
        <v>856</v>
      </c>
      <c r="NFG97" s="1675" t="s">
        <v>856</v>
      </c>
      <c r="NFH97" s="1675" t="s">
        <v>856</v>
      </c>
      <c r="NFI97" s="1675" t="s">
        <v>856</v>
      </c>
      <c r="NFJ97" s="1675" t="s">
        <v>856</v>
      </c>
      <c r="NFK97" s="1675" t="s">
        <v>856</v>
      </c>
      <c r="NFL97" s="1675" t="s">
        <v>856</v>
      </c>
      <c r="NFM97" s="1675" t="s">
        <v>856</v>
      </c>
      <c r="NFN97" s="1675" t="s">
        <v>856</v>
      </c>
      <c r="NFO97" s="1675" t="s">
        <v>856</v>
      </c>
      <c r="NFP97" s="1675" t="s">
        <v>856</v>
      </c>
      <c r="NFQ97" s="1675" t="s">
        <v>856</v>
      </c>
      <c r="NFR97" s="1675" t="s">
        <v>856</v>
      </c>
      <c r="NFS97" s="1675" t="s">
        <v>856</v>
      </c>
      <c r="NFT97" s="1675" t="s">
        <v>856</v>
      </c>
      <c r="NFU97" s="1675" t="s">
        <v>856</v>
      </c>
      <c r="NFV97" s="1675" t="s">
        <v>856</v>
      </c>
      <c r="NFW97" s="1675" t="s">
        <v>856</v>
      </c>
      <c r="NFX97" s="1675" t="s">
        <v>856</v>
      </c>
      <c r="NFY97" s="1675" t="s">
        <v>856</v>
      </c>
      <c r="NFZ97" s="1675" t="s">
        <v>856</v>
      </c>
      <c r="NGA97" s="1675" t="s">
        <v>856</v>
      </c>
      <c r="NGB97" s="1675" t="s">
        <v>856</v>
      </c>
      <c r="NGC97" s="1675" t="s">
        <v>856</v>
      </c>
      <c r="NGD97" s="1675" t="s">
        <v>856</v>
      </c>
      <c r="NGE97" s="1675" t="s">
        <v>856</v>
      </c>
      <c r="NGF97" s="1675" t="s">
        <v>856</v>
      </c>
      <c r="NGG97" s="1675" t="s">
        <v>856</v>
      </c>
      <c r="NGH97" s="1675" t="s">
        <v>856</v>
      </c>
      <c r="NGI97" s="1675" t="s">
        <v>856</v>
      </c>
      <c r="NGJ97" s="1675" t="s">
        <v>856</v>
      </c>
      <c r="NGK97" s="1675" t="s">
        <v>856</v>
      </c>
      <c r="NGL97" s="1675" t="s">
        <v>856</v>
      </c>
      <c r="NGM97" s="1675" t="s">
        <v>856</v>
      </c>
      <c r="NGN97" s="1675" t="s">
        <v>856</v>
      </c>
      <c r="NGO97" s="1675" t="s">
        <v>856</v>
      </c>
      <c r="NGP97" s="1675" t="s">
        <v>856</v>
      </c>
      <c r="NGQ97" s="1675" t="s">
        <v>856</v>
      </c>
      <c r="NGR97" s="1675" t="s">
        <v>856</v>
      </c>
      <c r="NGS97" s="1675" t="s">
        <v>856</v>
      </c>
      <c r="NGT97" s="1675" t="s">
        <v>856</v>
      </c>
      <c r="NGU97" s="1675" t="s">
        <v>856</v>
      </c>
      <c r="NGV97" s="1675" t="s">
        <v>856</v>
      </c>
      <c r="NGW97" s="1675" t="s">
        <v>856</v>
      </c>
      <c r="NGX97" s="1675" t="s">
        <v>856</v>
      </c>
      <c r="NGY97" s="1675" t="s">
        <v>856</v>
      </c>
      <c r="NGZ97" s="1675" t="s">
        <v>856</v>
      </c>
      <c r="NHA97" s="1675" t="s">
        <v>856</v>
      </c>
      <c r="NHB97" s="1675" t="s">
        <v>856</v>
      </c>
      <c r="NHC97" s="1675" t="s">
        <v>856</v>
      </c>
      <c r="NHD97" s="1675" t="s">
        <v>856</v>
      </c>
      <c r="NHE97" s="1675" t="s">
        <v>856</v>
      </c>
      <c r="NHF97" s="1675" t="s">
        <v>856</v>
      </c>
      <c r="NHG97" s="1675" t="s">
        <v>856</v>
      </c>
      <c r="NHH97" s="1675" t="s">
        <v>856</v>
      </c>
      <c r="NHI97" s="1675" t="s">
        <v>856</v>
      </c>
      <c r="NHJ97" s="1675" t="s">
        <v>856</v>
      </c>
      <c r="NHK97" s="1675" t="s">
        <v>856</v>
      </c>
      <c r="NHL97" s="1675" t="s">
        <v>856</v>
      </c>
      <c r="NHM97" s="1675" t="s">
        <v>856</v>
      </c>
      <c r="NHN97" s="1675" t="s">
        <v>856</v>
      </c>
      <c r="NHO97" s="1675" t="s">
        <v>856</v>
      </c>
      <c r="NHP97" s="1675" t="s">
        <v>856</v>
      </c>
      <c r="NHQ97" s="1675" t="s">
        <v>856</v>
      </c>
      <c r="NHR97" s="1675" t="s">
        <v>856</v>
      </c>
      <c r="NHS97" s="1675" t="s">
        <v>856</v>
      </c>
      <c r="NHT97" s="1675" t="s">
        <v>856</v>
      </c>
      <c r="NHU97" s="1675" t="s">
        <v>856</v>
      </c>
      <c r="NHV97" s="1675" t="s">
        <v>856</v>
      </c>
      <c r="NHW97" s="1675" t="s">
        <v>856</v>
      </c>
      <c r="NHX97" s="1675" t="s">
        <v>856</v>
      </c>
      <c r="NHY97" s="1675" t="s">
        <v>856</v>
      </c>
      <c r="NHZ97" s="1675" t="s">
        <v>856</v>
      </c>
      <c r="NIA97" s="1675" t="s">
        <v>856</v>
      </c>
      <c r="NIB97" s="1675" t="s">
        <v>856</v>
      </c>
      <c r="NIC97" s="1675" t="s">
        <v>856</v>
      </c>
      <c r="NID97" s="1675" t="s">
        <v>856</v>
      </c>
      <c r="NIE97" s="1675" t="s">
        <v>856</v>
      </c>
      <c r="NIF97" s="1675" t="s">
        <v>856</v>
      </c>
      <c r="NIG97" s="1675" t="s">
        <v>856</v>
      </c>
      <c r="NIH97" s="1675" t="s">
        <v>856</v>
      </c>
      <c r="NII97" s="1675" t="s">
        <v>856</v>
      </c>
      <c r="NIJ97" s="1675" t="s">
        <v>856</v>
      </c>
      <c r="NIK97" s="1675" t="s">
        <v>856</v>
      </c>
      <c r="NIL97" s="1675" t="s">
        <v>856</v>
      </c>
      <c r="NIM97" s="1675" t="s">
        <v>856</v>
      </c>
      <c r="NIN97" s="1675" t="s">
        <v>856</v>
      </c>
      <c r="NIO97" s="1675" t="s">
        <v>856</v>
      </c>
      <c r="NIP97" s="1675" t="s">
        <v>856</v>
      </c>
      <c r="NIQ97" s="1675" t="s">
        <v>856</v>
      </c>
      <c r="NIR97" s="1675" t="s">
        <v>856</v>
      </c>
      <c r="NIS97" s="1675" t="s">
        <v>856</v>
      </c>
      <c r="NIT97" s="1675" t="s">
        <v>856</v>
      </c>
      <c r="NIU97" s="1675" t="s">
        <v>856</v>
      </c>
      <c r="NIV97" s="1675" t="s">
        <v>856</v>
      </c>
      <c r="NIW97" s="1675" t="s">
        <v>856</v>
      </c>
      <c r="NIX97" s="1675" t="s">
        <v>856</v>
      </c>
      <c r="NIY97" s="1675" t="s">
        <v>856</v>
      </c>
      <c r="NIZ97" s="1675" t="s">
        <v>856</v>
      </c>
      <c r="NJA97" s="1675" t="s">
        <v>856</v>
      </c>
      <c r="NJB97" s="1675" t="s">
        <v>856</v>
      </c>
      <c r="NJC97" s="1675" t="s">
        <v>856</v>
      </c>
      <c r="NJD97" s="1675" t="s">
        <v>856</v>
      </c>
      <c r="NJE97" s="1675" t="s">
        <v>856</v>
      </c>
      <c r="NJF97" s="1675" t="s">
        <v>856</v>
      </c>
      <c r="NJG97" s="1675" t="s">
        <v>856</v>
      </c>
      <c r="NJH97" s="1675" t="s">
        <v>856</v>
      </c>
      <c r="NJI97" s="1675" t="s">
        <v>856</v>
      </c>
      <c r="NJJ97" s="1675" t="s">
        <v>856</v>
      </c>
      <c r="NJK97" s="1675" t="s">
        <v>856</v>
      </c>
      <c r="NJL97" s="1675" t="s">
        <v>856</v>
      </c>
      <c r="NJM97" s="1675" t="s">
        <v>856</v>
      </c>
      <c r="NJN97" s="1675" t="s">
        <v>856</v>
      </c>
      <c r="NJO97" s="1675" t="s">
        <v>856</v>
      </c>
      <c r="NJP97" s="1675" t="s">
        <v>856</v>
      </c>
      <c r="NJQ97" s="1675" t="s">
        <v>856</v>
      </c>
      <c r="NJR97" s="1675" t="s">
        <v>856</v>
      </c>
      <c r="NJS97" s="1675" t="s">
        <v>856</v>
      </c>
      <c r="NJT97" s="1675" t="s">
        <v>856</v>
      </c>
      <c r="NJU97" s="1675" t="s">
        <v>856</v>
      </c>
      <c r="NJV97" s="1675" t="s">
        <v>856</v>
      </c>
      <c r="NJW97" s="1675" t="s">
        <v>856</v>
      </c>
      <c r="NJX97" s="1675" t="s">
        <v>856</v>
      </c>
      <c r="NJY97" s="1675" t="s">
        <v>856</v>
      </c>
      <c r="NJZ97" s="1675" t="s">
        <v>856</v>
      </c>
      <c r="NKA97" s="1675" t="s">
        <v>856</v>
      </c>
      <c r="NKB97" s="1675" t="s">
        <v>856</v>
      </c>
      <c r="NKC97" s="1675" t="s">
        <v>856</v>
      </c>
      <c r="NKD97" s="1675" t="s">
        <v>856</v>
      </c>
      <c r="NKE97" s="1675" t="s">
        <v>856</v>
      </c>
      <c r="NKF97" s="1675" t="s">
        <v>856</v>
      </c>
      <c r="NKG97" s="1675" t="s">
        <v>856</v>
      </c>
      <c r="NKH97" s="1675" t="s">
        <v>856</v>
      </c>
      <c r="NKI97" s="1675" t="s">
        <v>856</v>
      </c>
      <c r="NKJ97" s="1675" t="s">
        <v>856</v>
      </c>
      <c r="NKK97" s="1675" t="s">
        <v>856</v>
      </c>
      <c r="NKL97" s="1675" t="s">
        <v>856</v>
      </c>
      <c r="NKM97" s="1675" t="s">
        <v>856</v>
      </c>
      <c r="NKN97" s="1675" t="s">
        <v>856</v>
      </c>
      <c r="NKO97" s="1675" t="s">
        <v>856</v>
      </c>
      <c r="NKP97" s="1675" t="s">
        <v>856</v>
      </c>
      <c r="NKQ97" s="1675" t="s">
        <v>856</v>
      </c>
      <c r="NKR97" s="1675" t="s">
        <v>856</v>
      </c>
      <c r="NKS97" s="1675" t="s">
        <v>856</v>
      </c>
      <c r="NKT97" s="1675" t="s">
        <v>856</v>
      </c>
      <c r="NKU97" s="1675" t="s">
        <v>856</v>
      </c>
      <c r="NKV97" s="1675" t="s">
        <v>856</v>
      </c>
      <c r="NKW97" s="1675" t="s">
        <v>856</v>
      </c>
      <c r="NKX97" s="1675" t="s">
        <v>856</v>
      </c>
      <c r="NKY97" s="1675" t="s">
        <v>856</v>
      </c>
      <c r="NKZ97" s="1675" t="s">
        <v>856</v>
      </c>
      <c r="NLA97" s="1675" t="s">
        <v>856</v>
      </c>
      <c r="NLB97" s="1675" t="s">
        <v>856</v>
      </c>
      <c r="NLC97" s="1675" t="s">
        <v>856</v>
      </c>
      <c r="NLD97" s="1675" t="s">
        <v>856</v>
      </c>
      <c r="NLE97" s="1675" t="s">
        <v>856</v>
      </c>
      <c r="NLF97" s="1675" t="s">
        <v>856</v>
      </c>
      <c r="NLG97" s="1675" t="s">
        <v>856</v>
      </c>
      <c r="NLH97" s="1675" t="s">
        <v>856</v>
      </c>
      <c r="NLI97" s="1675" t="s">
        <v>856</v>
      </c>
      <c r="NLJ97" s="1675" t="s">
        <v>856</v>
      </c>
      <c r="NLK97" s="1675" t="s">
        <v>856</v>
      </c>
      <c r="NLL97" s="1675" t="s">
        <v>856</v>
      </c>
      <c r="NLM97" s="1675" t="s">
        <v>856</v>
      </c>
      <c r="NLN97" s="1675" t="s">
        <v>856</v>
      </c>
      <c r="NLO97" s="1675" t="s">
        <v>856</v>
      </c>
      <c r="NLP97" s="1675" t="s">
        <v>856</v>
      </c>
      <c r="NLQ97" s="1675" t="s">
        <v>856</v>
      </c>
      <c r="NLR97" s="1675" t="s">
        <v>856</v>
      </c>
      <c r="NLS97" s="1675" t="s">
        <v>856</v>
      </c>
      <c r="NLT97" s="1675" t="s">
        <v>856</v>
      </c>
      <c r="NLU97" s="1675" t="s">
        <v>856</v>
      </c>
      <c r="NLV97" s="1675" t="s">
        <v>856</v>
      </c>
      <c r="NLW97" s="1675" t="s">
        <v>856</v>
      </c>
      <c r="NLX97" s="1675" t="s">
        <v>856</v>
      </c>
      <c r="NLY97" s="1675" t="s">
        <v>856</v>
      </c>
      <c r="NLZ97" s="1675" t="s">
        <v>856</v>
      </c>
      <c r="NMA97" s="1675" t="s">
        <v>856</v>
      </c>
      <c r="NMB97" s="1675" t="s">
        <v>856</v>
      </c>
      <c r="NMC97" s="1675" t="s">
        <v>856</v>
      </c>
      <c r="NMD97" s="1675" t="s">
        <v>856</v>
      </c>
      <c r="NME97" s="1675" t="s">
        <v>856</v>
      </c>
      <c r="NMF97" s="1675" t="s">
        <v>856</v>
      </c>
      <c r="NMG97" s="1675" t="s">
        <v>856</v>
      </c>
      <c r="NMH97" s="1675" t="s">
        <v>856</v>
      </c>
      <c r="NMI97" s="1675" t="s">
        <v>856</v>
      </c>
      <c r="NMJ97" s="1675" t="s">
        <v>856</v>
      </c>
      <c r="NMK97" s="1675" t="s">
        <v>856</v>
      </c>
      <c r="NML97" s="1675" t="s">
        <v>856</v>
      </c>
      <c r="NMM97" s="1675" t="s">
        <v>856</v>
      </c>
      <c r="NMN97" s="1675" t="s">
        <v>856</v>
      </c>
      <c r="NMO97" s="1675" t="s">
        <v>856</v>
      </c>
      <c r="NMP97" s="1675" t="s">
        <v>856</v>
      </c>
      <c r="NMQ97" s="1675" t="s">
        <v>856</v>
      </c>
      <c r="NMR97" s="1675" t="s">
        <v>856</v>
      </c>
      <c r="NMS97" s="1675" t="s">
        <v>856</v>
      </c>
      <c r="NMT97" s="1675" t="s">
        <v>856</v>
      </c>
      <c r="NMU97" s="1675" t="s">
        <v>856</v>
      </c>
      <c r="NMV97" s="1675" t="s">
        <v>856</v>
      </c>
      <c r="NMW97" s="1675" t="s">
        <v>856</v>
      </c>
      <c r="NMX97" s="1675" t="s">
        <v>856</v>
      </c>
      <c r="NMY97" s="1675" t="s">
        <v>856</v>
      </c>
      <c r="NMZ97" s="1675" t="s">
        <v>856</v>
      </c>
      <c r="NNA97" s="1675" t="s">
        <v>856</v>
      </c>
      <c r="NNB97" s="1675" t="s">
        <v>856</v>
      </c>
      <c r="NNC97" s="1675" t="s">
        <v>856</v>
      </c>
      <c r="NND97" s="1675" t="s">
        <v>856</v>
      </c>
      <c r="NNE97" s="1675" t="s">
        <v>856</v>
      </c>
      <c r="NNF97" s="1675" t="s">
        <v>856</v>
      </c>
      <c r="NNG97" s="1675" t="s">
        <v>856</v>
      </c>
      <c r="NNH97" s="1675" t="s">
        <v>856</v>
      </c>
      <c r="NNI97" s="1675" t="s">
        <v>856</v>
      </c>
      <c r="NNJ97" s="1675" t="s">
        <v>856</v>
      </c>
      <c r="NNK97" s="1675" t="s">
        <v>856</v>
      </c>
      <c r="NNL97" s="1675" t="s">
        <v>856</v>
      </c>
      <c r="NNM97" s="1675" t="s">
        <v>856</v>
      </c>
      <c r="NNN97" s="1675" t="s">
        <v>856</v>
      </c>
      <c r="NNO97" s="1675" t="s">
        <v>856</v>
      </c>
      <c r="NNP97" s="1675" t="s">
        <v>856</v>
      </c>
      <c r="NNQ97" s="1675" t="s">
        <v>856</v>
      </c>
      <c r="NNR97" s="1675" t="s">
        <v>856</v>
      </c>
      <c r="NNS97" s="1675" t="s">
        <v>856</v>
      </c>
      <c r="NNT97" s="1675" t="s">
        <v>856</v>
      </c>
      <c r="NNU97" s="1675" t="s">
        <v>856</v>
      </c>
      <c r="NNV97" s="1675" t="s">
        <v>856</v>
      </c>
      <c r="NNW97" s="1675" t="s">
        <v>856</v>
      </c>
      <c r="NNX97" s="1675" t="s">
        <v>856</v>
      </c>
      <c r="NNY97" s="1675" t="s">
        <v>856</v>
      </c>
      <c r="NNZ97" s="1675" t="s">
        <v>856</v>
      </c>
      <c r="NOA97" s="1675" t="s">
        <v>856</v>
      </c>
      <c r="NOB97" s="1675" t="s">
        <v>856</v>
      </c>
      <c r="NOC97" s="1675" t="s">
        <v>856</v>
      </c>
      <c r="NOD97" s="1675" t="s">
        <v>856</v>
      </c>
      <c r="NOE97" s="1675" t="s">
        <v>856</v>
      </c>
      <c r="NOF97" s="1675" t="s">
        <v>856</v>
      </c>
      <c r="NOG97" s="1675" t="s">
        <v>856</v>
      </c>
      <c r="NOH97" s="1675" t="s">
        <v>856</v>
      </c>
      <c r="NOI97" s="1675" t="s">
        <v>856</v>
      </c>
      <c r="NOJ97" s="1675" t="s">
        <v>856</v>
      </c>
      <c r="NOK97" s="1675" t="s">
        <v>856</v>
      </c>
      <c r="NOL97" s="1675" t="s">
        <v>856</v>
      </c>
      <c r="NOM97" s="1675" t="s">
        <v>856</v>
      </c>
      <c r="NON97" s="1675" t="s">
        <v>856</v>
      </c>
      <c r="NOO97" s="1675" t="s">
        <v>856</v>
      </c>
      <c r="NOP97" s="1675" t="s">
        <v>856</v>
      </c>
      <c r="NOQ97" s="1675" t="s">
        <v>856</v>
      </c>
      <c r="NOR97" s="1675" t="s">
        <v>856</v>
      </c>
      <c r="NOS97" s="1675" t="s">
        <v>856</v>
      </c>
      <c r="NOT97" s="1675" t="s">
        <v>856</v>
      </c>
      <c r="NOU97" s="1675" t="s">
        <v>856</v>
      </c>
      <c r="NOV97" s="1675" t="s">
        <v>856</v>
      </c>
      <c r="NOW97" s="1675" t="s">
        <v>856</v>
      </c>
      <c r="NOX97" s="1675" t="s">
        <v>856</v>
      </c>
      <c r="NOY97" s="1675" t="s">
        <v>856</v>
      </c>
      <c r="NOZ97" s="1675" t="s">
        <v>856</v>
      </c>
      <c r="NPA97" s="1675" t="s">
        <v>856</v>
      </c>
      <c r="NPB97" s="1675" t="s">
        <v>856</v>
      </c>
      <c r="NPC97" s="1675" t="s">
        <v>856</v>
      </c>
      <c r="NPD97" s="1675" t="s">
        <v>856</v>
      </c>
      <c r="NPE97" s="1675" t="s">
        <v>856</v>
      </c>
      <c r="NPF97" s="1675" t="s">
        <v>856</v>
      </c>
      <c r="NPG97" s="1675" t="s">
        <v>856</v>
      </c>
      <c r="NPH97" s="1675" t="s">
        <v>856</v>
      </c>
      <c r="NPI97" s="1675" t="s">
        <v>856</v>
      </c>
      <c r="NPJ97" s="1675" t="s">
        <v>856</v>
      </c>
      <c r="NPK97" s="1675" t="s">
        <v>856</v>
      </c>
      <c r="NPL97" s="1675" t="s">
        <v>856</v>
      </c>
      <c r="NPM97" s="1675" t="s">
        <v>856</v>
      </c>
      <c r="NPN97" s="1675" t="s">
        <v>856</v>
      </c>
      <c r="NPO97" s="1675" t="s">
        <v>856</v>
      </c>
      <c r="NPP97" s="1675" t="s">
        <v>856</v>
      </c>
      <c r="NPQ97" s="1675" t="s">
        <v>856</v>
      </c>
      <c r="NPR97" s="1675" t="s">
        <v>856</v>
      </c>
      <c r="NPS97" s="1675" t="s">
        <v>856</v>
      </c>
      <c r="NPT97" s="1675" t="s">
        <v>856</v>
      </c>
      <c r="NPU97" s="1675" t="s">
        <v>856</v>
      </c>
      <c r="NPV97" s="1675" t="s">
        <v>856</v>
      </c>
      <c r="NPW97" s="1675" t="s">
        <v>856</v>
      </c>
      <c r="NPX97" s="1675" t="s">
        <v>856</v>
      </c>
      <c r="NPY97" s="1675" t="s">
        <v>856</v>
      </c>
      <c r="NPZ97" s="1675" t="s">
        <v>856</v>
      </c>
      <c r="NQA97" s="1675" t="s">
        <v>856</v>
      </c>
      <c r="NQB97" s="1675" t="s">
        <v>856</v>
      </c>
      <c r="NQC97" s="1675" t="s">
        <v>856</v>
      </c>
      <c r="NQD97" s="1675" t="s">
        <v>856</v>
      </c>
      <c r="NQE97" s="1675" t="s">
        <v>856</v>
      </c>
      <c r="NQF97" s="1675" t="s">
        <v>856</v>
      </c>
      <c r="NQG97" s="1675" t="s">
        <v>856</v>
      </c>
      <c r="NQH97" s="1675" t="s">
        <v>856</v>
      </c>
      <c r="NQI97" s="1675" t="s">
        <v>856</v>
      </c>
      <c r="NQJ97" s="1675" t="s">
        <v>856</v>
      </c>
      <c r="NQK97" s="1675" t="s">
        <v>856</v>
      </c>
      <c r="NQL97" s="1675" t="s">
        <v>856</v>
      </c>
      <c r="NQM97" s="1675" t="s">
        <v>856</v>
      </c>
      <c r="NQN97" s="1675" t="s">
        <v>856</v>
      </c>
      <c r="NQO97" s="1675" t="s">
        <v>856</v>
      </c>
      <c r="NQP97" s="1675" t="s">
        <v>856</v>
      </c>
      <c r="NQQ97" s="1675" t="s">
        <v>856</v>
      </c>
      <c r="NQR97" s="1675" t="s">
        <v>856</v>
      </c>
      <c r="NQS97" s="1675" t="s">
        <v>856</v>
      </c>
      <c r="NQT97" s="1675" t="s">
        <v>856</v>
      </c>
      <c r="NQU97" s="1675" t="s">
        <v>856</v>
      </c>
      <c r="NQV97" s="1675" t="s">
        <v>856</v>
      </c>
      <c r="NQW97" s="1675" t="s">
        <v>856</v>
      </c>
      <c r="NQX97" s="1675" t="s">
        <v>856</v>
      </c>
      <c r="NQY97" s="1675" t="s">
        <v>856</v>
      </c>
      <c r="NQZ97" s="1675" t="s">
        <v>856</v>
      </c>
      <c r="NRA97" s="1675" t="s">
        <v>856</v>
      </c>
      <c r="NRB97" s="1675" t="s">
        <v>856</v>
      </c>
      <c r="NRC97" s="1675" t="s">
        <v>856</v>
      </c>
      <c r="NRD97" s="1675" t="s">
        <v>856</v>
      </c>
      <c r="NRE97" s="1675" t="s">
        <v>856</v>
      </c>
      <c r="NRF97" s="1675" t="s">
        <v>856</v>
      </c>
      <c r="NRG97" s="1675" t="s">
        <v>856</v>
      </c>
      <c r="NRH97" s="1675" t="s">
        <v>856</v>
      </c>
      <c r="NRI97" s="1675" t="s">
        <v>856</v>
      </c>
      <c r="NRJ97" s="1675" t="s">
        <v>856</v>
      </c>
      <c r="NRK97" s="1675" t="s">
        <v>856</v>
      </c>
      <c r="NRL97" s="1675" t="s">
        <v>856</v>
      </c>
      <c r="NRM97" s="1675" t="s">
        <v>856</v>
      </c>
      <c r="NRN97" s="1675" t="s">
        <v>856</v>
      </c>
      <c r="NRO97" s="1675" t="s">
        <v>856</v>
      </c>
      <c r="NRP97" s="1675" t="s">
        <v>856</v>
      </c>
      <c r="NRQ97" s="1675" t="s">
        <v>856</v>
      </c>
      <c r="NRR97" s="1675" t="s">
        <v>856</v>
      </c>
      <c r="NRS97" s="1675" t="s">
        <v>856</v>
      </c>
      <c r="NRT97" s="1675" t="s">
        <v>856</v>
      </c>
      <c r="NRU97" s="1675" t="s">
        <v>856</v>
      </c>
      <c r="NRV97" s="1675" t="s">
        <v>856</v>
      </c>
      <c r="NRW97" s="1675" t="s">
        <v>856</v>
      </c>
      <c r="NRX97" s="1675" t="s">
        <v>856</v>
      </c>
      <c r="NRY97" s="1675" t="s">
        <v>856</v>
      </c>
      <c r="NRZ97" s="1675" t="s">
        <v>856</v>
      </c>
      <c r="NSA97" s="1675" t="s">
        <v>856</v>
      </c>
      <c r="NSB97" s="1675" t="s">
        <v>856</v>
      </c>
      <c r="NSC97" s="1675" t="s">
        <v>856</v>
      </c>
      <c r="NSD97" s="1675" t="s">
        <v>856</v>
      </c>
      <c r="NSE97" s="1675" t="s">
        <v>856</v>
      </c>
      <c r="NSF97" s="1675" t="s">
        <v>856</v>
      </c>
      <c r="NSG97" s="1675" t="s">
        <v>856</v>
      </c>
      <c r="NSH97" s="1675" t="s">
        <v>856</v>
      </c>
      <c r="NSI97" s="1675" t="s">
        <v>856</v>
      </c>
      <c r="NSJ97" s="1675" t="s">
        <v>856</v>
      </c>
      <c r="NSK97" s="1675" t="s">
        <v>856</v>
      </c>
      <c r="NSL97" s="1675" t="s">
        <v>856</v>
      </c>
      <c r="NSM97" s="1675" t="s">
        <v>856</v>
      </c>
      <c r="NSN97" s="1675" t="s">
        <v>856</v>
      </c>
      <c r="NSO97" s="1675" t="s">
        <v>856</v>
      </c>
      <c r="NSP97" s="1675" t="s">
        <v>856</v>
      </c>
      <c r="NSQ97" s="1675" t="s">
        <v>856</v>
      </c>
      <c r="NSR97" s="1675" t="s">
        <v>856</v>
      </c>
      <c r="NSS97" s="1675" t="s">
        <v>856</v>
      </c>
      <c r="NST97" s="1675" t="s">
        <v>856</v>
      </c>
      <c r="NSU97" s="1675" t="s">
        <v>856</v>
      </c>
      <c r="NSV97" s="1675" t="s">
        <v>856</v>
      </c>
      <c r="NSW97" s="1675" t="s">
        <v>856</v>
      </c>
      <c r="NSX97" s="1675" t="s">
        <v>856</v>
      </c>
      <c r="NSY97" s="1675" t="s">
        <v>856</v>
      </c>
      <c r="NSZ97" s="1675" t="s">
        <v>856</v>
      </c>
      <c r="NTA97" s="1675" t="s">
        <v>856</v>
      </c>
      <c r="NTB97" s="1675" t="s">
        <v>856</v>
      </c>
      <c r="NTC97" s="1675" t="s">
        <v>856</v>
      </c>
      <c r="NTD97" s="1675" t="s">
        <v>856</v>
      </c>
      <c r="NTE97" s="1675" t="s">
        <v>856</v>
      </c>
      <c r="NTF97" s="1675" t="s">
        <v>856</v>
      </c>
      <c r="NTG97" s="1675" t="s">
        <v>856</v>
      </c>
      <c r="NTH97" s="1675" t="s">
        <v>856</v>
      </c>
      <c r="NTI97" s="1675" t="s">
        <v>856</v>
      </c>
      <c r="NTJ97" s="1675" t="s">
        <v>856</v>
      </c>
      <c r="NTK97" s="1675" t="s">
        <v>856</v>
      </c>
      <c r="NTL97" s="1675" t="s">
        <v>856</v>
      </c>
      <c r="NTM97" s="1675" t="s">
        <v>856</v>
      </c>
      <c r="NTN97" s="1675" t="s">
        <v>856</v>
      </c>
      <c r="NTO97" s="1675" t="s">
        <v>856</v>
      </c>
      <c r="NTP97" s="1675" t="s">
        <v>856</v>
      </c>
      <c r="NTQ97" s="1675" t="s">
        <v>856</v>
      </c>
      <c r="NTR97" s="1675" t="s">
        <v>856</v>
      </c>
      <c r="NTS97" s="1675" t="s">
        <v>856</v>
      </c>
      <c r="NTT97" s="1675" t="s">
        <v>856</v>
      </c>
      <c r="NTU97" s="1675" t="s">
        <v>856</v>
      </c>
      <c r="NTV97" s="1675" t="s">
        <v>856</v>
      </c>
      <c r="NTW97" s="1675" t="s">
        <v>856</v>
      </c>
      <c r="NTX97" s="1675" t="s">
        <v>856</v>
      </c>
      <c r="NTY97" s="1675" t="s">
        <v>856</v>
      </c>
      <c r="NTZ97" s="1675" t="s">
        <v>856</v>
      </c>
      <c r="NUA97" s="1675" t="s">
        <v>856</v>
      </c>
      <c r="NUB97" s="1675" t="s">
        <v>856</v>
      </c>
      <c r="NUC97" s="1675" t="s">
        <v>856</v>
      </c>
      <c r="NUD97" s="1675" t="s">
        <v>856</v>
      </c>
      <c r="NUE97" s="1675" t="s">
        <v>856</v>
      </c>
      <c r="NUF97" s="1675" t="s">
        <v>856</v>
      </c>
      <c r="NUG97" s="1675" t="s">
        <v>856</v>
      </c>
      <c r="NUH97" s="1675" t="s">
        <v>856</v>
      </c>
      <c r="NUI97" s="1675" t="s">
        <v>856</v>
      </c>
      <c r="NUJ97" s="1675" t="s">
        <v>856</v>
      </c>
      <c r="NUK97" s="1675" t="s">
        <v>856</v>
      </c>
      <c r="NUL97" s="1675" t="s">
        <v>856</v>
      </c>
      <c r="NUM97" s="1675" t="s">
        <v>856</v>
      </c>
      <c r="NUN97" s="1675" t="s">
        <v>856</v>
      </c>
      <c r="NUO97" s="1675" t="s">
        <v>856</v>
      </c>
      <c r="NUP97" s="1675" t="s">
        <v>856</v>
      </c>
      <c r="NUQ97" s="1675" t="s">
        <v>856</v>
      </c>
      <c r="NUR97" s="1675" t="s">
        <v>856</v>
      </c>
      <c r="NUS97" s="1675" t="s">
        <v>856</v>
      </c>
      <c r="NUT97" s="1675" t="s">
        <v>856</v>
      </c>
      <c r="NUU97" s="1675" t="s">
        <v>856</v>
      </c>
      <c r="NUV97" s="1675" t="s">
        <v>856</v>
      </c>
      <c r="NUW97" s="1675" t="s">
        <v>856</v>
      </c>
      <c r="NUX97" s="1675" t="s">
        <v>856</v>
      </c>
      <c r="NUY97" s="1675" t="s">
        <v>856</v>
      </c>
      <c r="NUZ97" s="1675" t="s">
        <v>856</v>
      </c>
      <c r="NVA97" s="1675" t="s">
        <v>856</v>
      </c>
      <c r="NVB97" s="1675" t="s">
        <v>856</v>
      </c>
      <c r="NVC97" s="1675" t="s">
        <v>856</v>
      </c>
      <c r="NVD97" s="1675" t="s">
        <v>856</v>
      </c>
      <c r="NVE97" s="1675" t="s">
        <v>856</v>
      </c>
      <c r="NVF97" s="1675" t="s">
        <v>856</v>
      </c>
      <c r="NVG97" s="1675" t="s">
        <v>856</v>
      </c>
      <c r="NVH97" s="1675" t="s">
        <v>856</v>
      </c>
      <c r="NVI97" s="1675" t="s">
        <v>856</v>
      </c>
      <c r="NVJ97" s="1675" t="s">
        <v>856</v>
      </c>
      <c r="NVK97" s="1675" t="s">
        <v>856</v>
      </c>
      <c r="NVL97" s="1675" t="s">
        <v>856</v>
      </c>
      <c r="NVM97" s="1675" t="s">
        <v>856</v>
      </c>
      <c r="NVN97" s="1675" t="s">
        <v>856</v>
      </c>
      <c r="NVO97" s="1675" t="s">
        <v>856</v>
      </c>
      <c r="NVP97" s="1675" t="s">
        <v>856</v>
      </c>
      <c r="NVQ97" s="1675" t="s">
        <v>856</v>
      </c>
      <c r="NVR97" s="1675" t="s">
        <v>856</v>
      </c>
      <c r="NVS97" s="1675" t="s">
        <v>856</v>
      </c>
      <c r="NVT97" s="1675" t="s">
        <v>856</v>
      </c>
      <c r="NVU97" s="1675" t="s">
        <v>856</v>
      </c>
      <c r="NVV97" s="1675" t="s">
        <v>856</v>
      </c>
      <c r="NVW97" s="1675" t="s">
        <v>856</v>
      </c>
      <c r="NVX97" s="1675" t="s">
        <v>856</v>
      </c>
      <c r="NVY97" s="1675" t="s">
        <v>856</v>
      </c>
      <c r="NVZ97" s="1675" t="s">
        <v>856</v>
      </c>
      <c r="NWA97" s="1675" t="s">
        <v>856</v>
      </c>
      <c r="NWB97" s="1675" t="s">
        <v>856</v>
      </c>
      <c r="NWC97" s="1675" t="s">
        <v>856</v>
      </c>
      <c r="NWD97" s="1675" t="s">
        <v>856</v>
      </c>
      <c r="NWE97" s="1675" t="s">
        <v>856</v>
      </c>
      <c r="NWF97" s="1675" t="s">
        <v>856</v>
      </c>
      <c r="NWG97" s="1675" t="s">
        <v>856</v>
      </c>
      <c r="NWH97" s="1675" t="s">
        <v>856</v>
      </c>
      <c r="NWI97" s="1675" t="s">
        <v>856</v>
      </c>
      <c r="NWJ97" s="1675" t="s">
        <v>856</v>
      </c>
      <c r="NWK97" s="1675" t="s">
        <v>856</v>
      </c>
      <c r="NWL97" s="1675" t="s">
        <v>856</v>
      </c>
      <c r="NWM97" s="1675" t="s">
        <v>856</v>
      </c>
      <c r="NWN97" s="1675" t="s">
        <v>856</v>
      </c>
      <c r="NWO97" s="1675" t="s">
        <v>856</v>
      </c>
      <c r="NWP97" s="1675" t="s">
        <v>856</v>
      </c>
      <c r="NWQ97" s="1675" t="s">
        <v>856</v>
      </c>
      <c r="NWR97" s="1675" t="s">
        <v>856</v>
      </c>
      <c r="NWS97" s="1675" t="s">
        <v>856</v>
      </c>
      <c r="NWT97" s="1675" t="s">
        <v>856</v>
      </c>
      <c r="NWU97" s="1675" t="s">
        <v>856</v>
      </c>
      <c r="NWV97" s="1675" t="s">
        <v>856</v>
      </c>
      <c r="NWW97" s="1675" t="s">
        <v>856</v>
      </c>
      <c r="NWX97" s="1675" t="s">
        <v>856</v>
      </c>
      <c r="NWY97" s="1675" t="s">
        <v>856</v>
      </c>
      <c r="NWZ97" s="1675" t="s">
        <v>856</v>
      </c>
      <c r="NXA97" s="1675" t="s">
        <v>856</v>
      </c>
      <c r="NXB97" s="1675" t="s">
        <v>856</v>
      </c>
      <c r="NXC97" s="1675" t="s">
        <v>856</v>
      </c>
      <c r="NXD97" s="1675" t="s">
        <v>856</v>
      </c>
      <c r="NXE97" s="1675" t="s">
        <v>856</v>
      </c>
      <c r="NXF97" s="1675" t="s">
        <v>856</v>
      </c>
      <c r="NXG97" s="1675" t="s">
        <v>856</v>
      </c>
      <c r="NXH97" s="1675" t="s">
        <v>856</v>
      </c>
      <c r="NXI97" s="1675" t="s">
        <v>856</v>
      </c>
      <c r="NXJ97" s="1675" t="s">
        <v>856</v>
      </c>
      <c r="NXK97" s="1675" t="s">
        <v>856</v>
      </c>
      <c r="NXL97" s="1675" t="s">
        <v>856</v>
      </c>
      <c r="NXM97" s="1675" t="s">
        <v>856</v>
      </c>
      <c r="NXN97" s="1675" t="s">
        <v>856</v>
      </c>
      <c r="NXO97" s="1675" t="s">
        <v>856</v>
      </c>
      <c r="NXP97" s="1675" t="s">
        <v>856</v>
      </c>
      <c r="NXQ97" s="1675" t="s">
        <v>856</v>
      </c>
      <c r="NXR97" s="1675" t="s">
        <v>856</v>
      </c>
      <c r="NXS97" s="1675" t="s">
        <v>856</v>
      </c>
      <c r="NXT97" s="1675" t="s">
        <v>856</v>
      </c>
      <c r="NXU97" s="1675" t="s">
        <v>856</v>
      </c>
      <c r="NXV97" s="1675" t="s">
        <v>856</v>
      </c>
      <c r="NXW97" s="1675" t="s">
        <v>856</v>
      </c>
      <c r="NXX97" s="1675" t="s">
        <v>856</v>
      </c>
      <c r="NXY97" s="1675" t="s">
        <v>856</v>
      </c>
      <c r="NXZ97" s="1675" t="s">
        <v>856</v>
      </c>
      <c r="NYA97" s="1675" t="s">
        <v>856</v>
      </c>
      <c r="NYB97" s="1675" t="s">
        <v>856</v>
      </c>
      <c r="NYC97" s="1675" t="s">
        <v>856</v>
      </c>
      <c r="NYD97" s="1675" t="s">
        <v>856</v>
      </c>
      <c r="NYE97" s="1675" t="s">
        <v>856</v>
      </c>
      <c r="NYF97" s="1675" t="s">
        <v>856</v>
      </c>
      <c r="NYG97" s="1675" t="s">
        <v>856</v>
      </c>
      <c r="NYH97" s="1675" t="s">
        <v>856</v>
      </c>
      <c r="NYI97" s="1675" t="s">
        <v>856</v>
      </c>
      <c r="NYJ97" s="1675" t="s">
        <v>856</v>
      </c>
      <c r="NYK97" s="1675" t="s">
        <v>856</v>
      </c>
      <c r="NYL97" s="1675" t="s">
        <v>856</v>
      </c>
      <c r="NYM97" s="1675" t="s">
        <v>856</v>
      </c>
      <c r="NYN97" s="1675" t="s">
        <v>856</v>
      </c>
      <c r="NYO97" s="1675" t="s">
        <v>856</v>
      </c>
      <c r="NYP97" s="1675" t="s">
        <v>856</v>
      </c>
      <c r="NYQ97" s="1675" t="s">
        <v>856</v>
      </c>
      <c r="NYR97" s="1675" t="s">
        <v>856</v>
      </c>
      <c r="NYS97" s="1675" t="s">
        <v>856</v>
      </c>
      <c r="NYT97" s="1675" t="s">
        <v>856</v>
      </c>
      <c r="NYU97" s="1675" t="s">
        <v>856</v>
      </c>
      <c r="NYV97" s="1675" t="s">
        <v>856</v>
      </c>
      <c r="NYW97" s="1675" t="s">
        <v>856</v>
      </c>
      <c r="NYX97" s="1675" t="s">
        <v>856</v>
      </c>
      <c r="NYY97" s="1675" t="s">
        <v>856</v>
      </c>
      <c r="NYZ97" s="1675" t="s">
        <v>856</v>
      </c>
      <c r="NZA97" s="1675" t="s">
        <v>856</v>
      </c>
      <c r="NZB97" s="1675" t="s">
        <v>856</v>
      </c>
      <c r="NZC97" s="1675" t="s">
        <v>856</v>
      </c>
      <c r="NZD97" s="1675" t="s">
        <v>856</v>
      </c>
      <c r="NZE97" s="1675" t="s">
        <v>856</v>
      </c>
      <c r="NZF97" s="1675" t="s">
        <v>856</v>
      </c>
      <c r="NZG97" s="1675" t="s">
        <v>856</v>
      </c>
      <c r="NZH97" s="1675" t="s">
        <v>856</v>
      </c>
      <c r="NZI97" s="1675" t="s">
        <v>856</v>
      </c>
      <c r="NZJ97" s="1675" t="s">
        <v>856</v>
      </c>
      <c r="NZK97" s="1675" t="s">
        <v>856</v>
      </c>
      <c r="NZL97" s="1675" t="s">
        <v>856</v>
      </c>
      <c r="NZM97" s="1675" t="s">
        <v>856</v>
      </c>
      <c r="NZN97" s="1675" t="s">
        <v>856</v>
      </c>
      <c r="NZO97" s="1675" t="s">
        <v>856</v>
      </c>
      <c r="NZP97" s="1675" t="s">
        <v>856</v>
      </c>
      <c r="NZQ97" s="1675" t="s">
        <v>856</v>
      </c>
      <c r="NZR97" s="1675" t="s">
        <v>856</v>
      </c>
      <c r="NZS97" s="1675" t="s">
        <v>856</v>
      </c>
      <c r="NZT97" s="1675" t="s">
        <v>856</v>
      </c>
      <c r="NZU97" s="1675" t="s">
        <v>856</v>
      </c>
      <c r="NZV97" s="1675" t="s">
        <v>856</v>
      </c>
      <c r="NZW97" s="1675" t="s">
        <v>856</v>
      </c>
      <c r="NZX97" s="1675" t="s">
        <v>856</v>
      </c>
      <c r="NZY97" s="1675" t="s">
        <v>856</v>
      </c>
      <c r="NZZ97" s="1675" t="s">
        <v>856</v>
      </c>
      <c r="OAA97" s="1675" t="s">
        <v>856</v>
      </c>
      <c r="OAB97" s="1675" t="s">
        <v>856</v>
      </c>
      <c r="OAC97" s="1675" t="s">
        <v>856</v>
      </c>
      <c r="OAD97" s="1675" t="s">
        <v>856</v>
      </c>
      <c r="OAE97" s="1675" t="s">
        <v>856</v>
      </c>
      <c r="OAF97" s="1675" t="s">
        <v>856</v>
      </c>
      <c r="OAG97" s="1675" t="s">
        <v>856</v>
      </c>
      <c r="OAH97" s="1675" t="s">
        <v>856</v>
      </c>
      <c r="OAI97" s="1675" t="s">
        <v>856</v>
      </c>
      <c r="OAJ97" s="1675" t="s">
        <v>856</v>
      </c>
      <c r="OAK97" s="1675" t="s">
        <v>856</v>
      </c>
      <c r="OAL97" s="1675" t="s">
        <v>856</v>
      </c>
      <c r="OAM97" s="1675" t="s">
        <v>856</v>
      </c>
      <c r="OAN97" s="1675" t="s">
        <v>856</v>
      </c>
      <c r="OAO97" s="1675" t="s">
        <v>856</v>
      </c>
      <c r="OAP97" s="1675" t="s">
        <v>856</v>
      </c>
      <c r="OAQ97" s="1675" t="s">
        <v>856</v>
      </c>
      <c r="OAR97" s="1675" t="s">
        <v>856</v>
      </c>
      <c r="OAS97" s="1675" t="s">
        <v>856</v>
      </c>
      <c r="OAT97" s="1675" t="s">
        <v>856</v>
      </c>
      <c r="OAU97" s="1675" t="s">
        <v>856</v>
      </c>
      <c r="OAV97" s="1675" t="s">
        <v>856</v>
      </c>
      <c r="OAW97" s="1675" t="s">
        <v>856</v>
      </c>
      <c r="OAX97" s="1675" t="s">
        <v>856</v>
      </c>
      <c r="OAY97" s="1675" t="s">
        <v>856</v>
      </c>
      <c r="OAZ97" s="1675" t="s">
        <v>856</v>
      </c>
      <c r="OBA97" s="1675" t="s">
        <v>856</v>
      </c>
      <c r="OBB97" s="1675" t="s">
        <v>856</v>
      </c>
      <c r="OBC97" s="1675" t="s">
        <v>856</v>
      </c>
      <c r="OBD97" s="1675" t="s">
        <v>856</v>
      </c>
      <c r="OBE97" s="1675" t="s">
        <v>856</v>
      </c>
      <c r="OBF97" s="1675" t="s">
        <v>856</v>
      </c>
      <c r="OBG97" s="1675" t="s">
        <v>856</v>
      </c>
      <c r="OBH97" s="1675" t="s">
        <v>856</v>
      </c>
      <c r="OBI97" s="1675" t="s">
        <v>856</v>
      </c>
      <c r="OBJ97" s="1675" t="s">
        <v>856</v>
      </c>
      <c r="OBK97" s="1675" t="s">
        <v>856</v>
      </c>
      <c r="OBL97" s="1675" t="s">
        <v>856</v>
      </c>
      <c r="OBM97" s="1675" t="s">
        <v>856</v>
      </c>
      <c r="OBN97" s="1675" t="s">
        <v>856</v>
      </c>
      <c r="OBO97" s="1675" t="s">
        <v>856</v>
      </c>
      <c r="OBP97" s="1675" t="s">
        <v>856</v>
      </c>
      <c r="OBQ97" s="1675" t="s">
        <v>856</v>
      </c>
      <c r="OBR97" s="1675" t="s">
        <v>856</v>
      </c>
      <c r="OBS97" s="1675" t="s">
        <v>856</v>
      </c>
      <c r="OBT97" s="1675" t="s">
        <v>856</v>
      </c>
      <c r="OBU97" s="1675" t="s">
        <v>856</v>
      </c>
      <c r="OBV97" s="1675" t="s">
        <v>856</v>
      </c>
      <c r="OBW97" s="1675" t="s">
        <v>856</v>
      </c>
      <c r="OBX97" s="1675" t="s">
        <v>856</v>
      </c>
      <c r="OBY97" s="1675" t="s">
        <v>856</v>
      </c>
      <c r="OBZ97" s="1675" t="s">
        <v>856</v>
      </c>
      <c r="OCA97" s="1675" t="s">
        <v>856</v>
      </c>
      <c r="OCB97" s="1675" t="s">
        <v>856</v>
      </c>
      <c r="OCC97" s="1675" t="s">
        <v>856</v>
      </c>
      <c r="OCD97" s="1675" t="s">
        <v>856</v>
      </c>
      <c r="OCE97" s="1675" t="s">
        <v>856</v>
      </c>
      <c r="OCF97" s="1675" t="s">
        <v>856</v>
      </c>
      <c r="OCG97" s="1675" t="s">
        <v>856</v>
      </c>
      <c r="OCH97" s="1675" t="s">
        <v>856</v>
      </c>
      <c r="OCI97" s="1675" t="s">
        <v>856</v>
      </c>
      <c r="OCJ97" s="1675" t="s">
        <v>856</v>
      </c>
      <c r="OCK97" s="1675" t="s">
        <v>856</v>
      </c>
      <c r="OCL97" s="1675" t="s">
        <v>856</v>
      </c>
      <c r="OCM97" s="1675" t="s">
        <v>856</v>
      </c>
      <c r="OCN97" s="1675" t="s">
        <v>856</v>
      </c>
      <c r="OCO97" s="1675" t="s">
        <v>856</v>
      </c>
      <c r="OCP97" s="1675" t="s">
        <v>856</v>
      </c>
      <c r="OCQ97" s="1675" t="s">
        <v>856</v>
      </c>
      <c r="OCR97" s="1675" t="s">
        <v>856</v>
      </c>
      <c r="OCS97" s="1675" t="s">
        <v>856</v>
      </c>
      <c r="OCT97" s="1675" t="s">
        <v>856</v>
      </c>
      <c r="OCU97" s="1675" t="s">
        <v>856</v>
      </c>
      <c r="OCV97" s="1675" t="s">
        <v>856</v>
      </c>
      <c r="OCW97" s="1675" t="s">
        <v>856</v>
      </c>
      <c r="OCX97" s="1675" t="s">
        <v>856</v>
      </c>
      <c r="OCY97" s="1675" t="s">
        <v>856</v>
      </c>
      <c r="OCZ97" s="1675" t="s">
        <v>856</v>
      </c>
      <c r="ODA97" s="1675" t="s">
        <v>856</v>
      </c>
      <c r="ODB97" s="1675" t="s">
        <v>856</v>
      </c>
      <c r="ODC97" s="1675" t="s">
        <v>856</v>
      </c>
      <c r="ODD97" s="1675" t="s">
        <v>856</v>
      </c>
      <c r="ODE97" s="1675" t="s">
        <v>856</v>
      </c>
      <c r="ODF97" s="1675" t="s">
        <v>856</v>
      </c>
      <c r="ODG97" s="1675" t="s">
        <v>856</v>
      </c>
      <c r="ODH97" s="1675" t="s">
        <v>856</v>
      </c>
      <c r="ODI97" s="1675" t="s">
        <v>856</v>
      </c>
      <c r="ODJ97" s="1675" t="s">
        <v>856</v>
      </c>
      <c r="ODK97" s="1675" t="s">
        <v>856</v>
      </c>
      <c r="ODL97" s="1675" t="s">
        <v>856</v>
      </c>
      <c r="ODM97" s="1675" t="s">
        <v>856</v>
      </c>
      <c r="ODN97" s="1675" t="s">
        <v>856</v>
      </c>
      <c r="ODO97" s="1675" t="s">
        <v>856</v>
      </c>
      <c r="ODP97" s="1675" t="s">
        <v>856</v>
      </c>
      <c r="ODQ97" s="1675" t="s">
        <v>856</v>
      </c>
      <c r="ODR97" s="1675" t="s">
        <v>856</v>
      </c>
      <c r="ODS97" s="1675" t="s">
        <v>856</v>
      </c>
      <c r="ODT97" s="1675" t="s">
        <v>856</v>
      </c>
      <c r="ODU97" s="1675" t="s">
        <v>856</v>
      </c>
      <c r="ODV97" s="1675" t="s">
        <v>856</v>
      </c>
      <c r="ODW97" s="1675" t="s">
        <v>856</v>
      </c>
      <c r="ODX97" s="1675" t="s">
        <v>856</v>
      </c>
      <c r="ODY97" s="1675" t="s">
        <v>856</v>
      </c>
      <c r="ODZ97" s="1675" t="s">
        <v>856</v>
      </c>
      <c r="OEA97" s="1675" t="s">
        <v>856</v>
      </c>
      <c r="OEB97" s="1675" t="s">
        <v>856</v>
      </c>
      <c r="OEC97" s="1675" t="s">
        <v>856</v>
      </c>
      <c r="OED97" s="1675" t="s">
        <v>856</v>
      </c>
      <c r="OEE97" s="1675" t="s">
        <v>856</v>
      </c>
      <c r="OEF97" s="1675" t="s">
        <v>856</v>
      </c>
      <c r="OEG97" s="1675" t="s">
        <v>856</v>
      </c>
      <c r="OEH97" s="1675" t="s">
        <v>856</v>
      </c>
      <c r="OEI97" s="1675" t="s">
        <v>856</v>
      </c>
      <c r="OEJ97" s="1675" t="s">
        <v>856</v>
      </c>
      <c r="OEK97" s="1675" t="s">
        <v>856</v>
      </c>
      <c r="OEL97" s="1675" t="s">
        <v>856</v>
      </c>
      <c r="OEM97" s="1675" t="s">
        <v>856</v>
      </c>
      <c r="OEN97" s="1675" t="s">
        <v>856</v>
      </c>
      <c r="OEO97" s="1675" t="s">
        <v>856</v>
      </c>
      <c r="OEP97" s="1675" t="s">
        <v>856</v>
      </c>
      <c r="OEQ97" s="1675" t="s">
        <v>856</v>
      </c>
      <c r="OER97" s="1675" t="s">
        <v>856</v>
      </c>
      <c r="OES97" s="1675" t="s">
        <v>856</v>
      </c>
      <c r="OET97" s="1675" t="s">
        <v>856</v>
      </c>
      <c r="OEU97" s="1675" t="s">
        <v>856</v>
      </c>
      <c r="OEV97" s="1675" t="s">
        <v>856</v>
      </c>
      <c r="OEW97" s="1675" t="s">
        <v>856</v>
      </c>
      <c r="OEX97" s="1675" t="s">
        <v>856</v>
      </c>
      <c r="OEY97" s="1675" t="s">
        <v>856</v>
      </c>
      <c r="OEZ97" s="1675" t="s">
        <v>856</v>
      </c>
      <c r="OFA97" s="1675" t="s">
        <v>856</v>
      </c>
      <c r="OFB97" s="1675" t="s">
        <v>856</v>
      </c>
      <c r="OFC97" s="1675" t="s">
        <v>856</v>
      </c>
      <c r="OFD97" s="1675" t="s">
        <v>856</v>
      </c>
      <c r="OFE97" s="1675" t="s">
        <v>856</v>
      </c>
      <c r="OFF97" s="1675" t="s">
        <v>856</v>
      </c>
      <c r="OFG97" s="1675" t="s">
        <v>856</v>
      </c>
      <c r="OFH97" s="1675" t="s">
        <v>856</v>
      </c>
      <c r="OFI97" s="1675" t="s">
        <v>856</v>
      </c>
      <c r="OFJ97" s="1675" t="s">
        <v>856</v>
      </c>
      <c r="OFK97" s="1675" t="s">
        <v>856</v>
      </c>
      <c r="OFL97" s="1675" t="s">
        <v>856</v>
      </c>
      <c r="OFM97" s="1675" t="s">
        <v>856</v>
      </c>
      <c r="OFN97" s="1675" t="s">
        <v>856</v>
      </c>
      <c r="OFO97" s="1675" t="s">
        <v>856</v>
      </c>
      <c r="OFP97" s="1675" t="s">
        <v>856</v>
      </c>
      <c r="OFQ97" s="1675" t="s">
        <v>856</v>
      </c>
      <c r="OFR97" s="1675" t="s">
        <v>856</v>
      </c>
      <c r="OFS97" s="1675" t="s">
        <v>856</v>
      </c>
      <c r="OFT97" s="1675" t="s">
        <v>856</v>
      </c>
      <c r="OFU97" s="1675" t="s">
        <v>856</v>
      </c>
      <c r="OFV97" s="1675" t="s">
        <v>856</v>
      </c>
      <c r="OFW97" s="1675" t="s">
        <v>856</v>
      </c>
      <c r="OFX97" s="1675" t="s">
        <v>856</v>
      </c>
      <c r="OFY97" s="1675" t="s">
        <v>856</v>
      </c>
      <c r="OFZ97" s="1675" t="s">
        <v>856</v>
      </c>
      <c r="OGA97" s="1675" t="s">
        <v>856</v>
      </c>
      <c r="OGB97" s="1675" t="s">
        <v>856</v>
      </c>
      <c r="OGC97" s="1675" t="s">
        <v>856</v>
      </c>
      <c r="OGD97" s="1675" t="s">
        <v>856</v>
      </c>
      <c r="OGE97" s="1675" t="s">
        <v>856</v>
      </c>
      <c r="OGF97" s="1675" t="s">
        <v>856</v>
      </c>
      <c r="OGG97" s="1675" t="s">
        <v>856</v>
      </c>
      <c r="OGH97" s="1675" t="s">
        <v>856</v>
      </c>
      <c r="OGI97" s="1675" t="s">
        <v>856</v>
      </c>
      <c r="OGJ97" s="1675" t="s">
        <v>856</v>
      </c>
      <c r="OGK97" s="1675" t="s">
        <v>856</v>
      </c>
      <c r="OGL97" s="1675" t="s">
        <v>856</v>
      </c>
      <c r="OGM97" s="1675" t="s">
        <v>856</v>
      </c>
      <c r="OGN97" s="1675" t="s">
        <v>856</v>
      </c>
      <c r="OGO97" s="1675" t="s">
        <v>856</v>
      </c>
      <c r="OGP97" s="1675" t="s">
        <v>856</v>
      </c>
      <c r="OGQ97" s="1675" t="s">
        <v>856</v>
      </c>
      <c r="OGR97" s="1675" t="s">
        <v>856</v>
      </c>
      <c r="OGS97" s="1675" t="s">
        <v>856</v>
      </c>
      <c r="OGT97" s="1675" t="s">
        <v>856</v>
      </c>
      <c r="OGU97" s="1675" t="s">
        <v>856</v>
      </c>
      <c r="OGV97" s="1675" t="s">
        <v>856</v>
      </c>
      <c r="OGW97" s="1675" t="s">
        <v>856</v>
      </c>
      <c r="OGX97" s="1675" t="s">
        <v>856</v>
      </c>
      <c r="OGY97" s="1675" t="s">
        <v>856</v>
      </c>
      <c r="OGZ97" s="1675" t="s">
        <v>856</v>
      </c>
      <c r="OHA97" s="1675" t="s">
        <v>856</v>
      </c>
      <c r="OHB97" s="1675" t="s">
        <v>856</v>
      </c>
      <c r="OHC97" s="1675" t="s">
        <v>856</v>
      </c>
      <c r="OHD97" s="1675" t="s">
        <v>856</v>
      </c>
      <c r="OHE97" s="1675" t="s">
        <v>856</v>
      </c>
      <c r="OHF97" s="1675" t="s">
        <v>856</v>
      </c>
      <c r="OHG97" s="1675" t="s">
        <v>856</v>
      </c>
      <c r="OHH97" s="1675" t="s">
        <v>856</v>
      </c>
      <c r="OHI97" s="1675" t="s">
        <v>856</v>
      </c>
      <c r="OHJ97" s="1675" t="s">
        <v>856</v>
      </c>
      <c r="OHK97" s="1675" t="s">
        <v>856</v>
      </c>
      <c r="OHL97" s="1675" t="s">
        <v>856</v>
      </c>
      <c r="OHM97" s="1675" t="s">
        <v>856</v>
      </c>
      <c r="OHN97" s="1675" t="s">
        <v>856</v>
      </c>
      <c r="OHO97" s="1675" t="s">
        <v>856</v>
      </c>
      <c r="OHP97" s="1675" t="s">
        <v>856</v>
      </c>
      <c r="OHQ97" s="1675" t="s">
        <v>856</v>
      </c>
      <c r="OHR97" s="1675" t="s">
        <v>856</v>
      </c>
      <c r="OHS97" s="1675" t="s">
        <v>856</v>
      </c>
      <c r="OHT97" s="1675" t="s">
        <v>856</v>
      </c>
      <c r="OHU97" s="1675" t="s">
        <v>856</v>
      </c>
      <c r="OHV97" s="1675" t="s">
        <v>856</v>
      </c>
      <c r="OHW97" s="1675" t="s">
        <v>856</v>
      </c>
      <c r="OHX97" s="1675" t="s">
        <v>856</v>
      </c>
      <c r="OHY97" s="1675" t="s">
        <v>856</v>
      </c>
      <c r="OHZ97" s="1675" t="s">
        <v>856</v>
      </c>
      <c r="OIA97" s="1675" t="s">
        <v>856</v>
      </c>
      <c r="OIB97" s="1675" t="s">
        <v>856</v>
      </c>
      <c r="OIC97" s="1675" t="s">
        <v>856</v>
      </c>
      <c r="OID97" s="1675" t="s">
        <v>856</v>
      </c>
      <c r="OIE97" s="1675" t="s">
        <v>856</v>
      </c>
      <c r="OIF97" s="1675" t="s">
        <v>856</v>
      </c>
      <c r="OIG97" s="1675" t="s">
        <v>856</v>
      </c>
      <c r="OIH97" s="1675" t="s">
        <v>856</v>
      </c>
      <c r="OII97" s="1675" t="s">
        <v>856</v>
      </c>
      <c r="OIJ97" s="1675" t="s">
        <v>856</v>
      </c>
      <c r="OIK97" s="1675" t="s">
        <v>856</v>
      </c>
      <c r="OIL97" s="1675" t="s">
        <v>856</v>
      </c>
      <c r="OIM97" s="1675" t="s">
        <v>856</v>
      </c>
      <c r="OIN97" s="1675" t="s">
        <v>856</v>
      </c>
      <c r="OIO97" s="1675" t="s">
        <v>856</v>
      </c>
      <c r="OIP97" s="1675" t="s">
        <v>856</v>
      </c>
      <c r="OIQ97" s="1675" t="s">
        <v>856</v>
      </c>
      <c r="OIR97" s="1675" t="s">
        <v>856</v>
      </c>
      <c r="OIS97" s="1675" t="s">
        <v>856</v>
      </c>
      <c r="OIT97" s="1675" t="s">
        <v>856</v>
      </c>
      <c r="OIU97" s="1675" t="s">
        <v>856</v>
      </c>
      <c r="OIV97" s="1675" t="s">
        <v>856</v>
      </c>
      <c r="OIW97" s="1675" t="s">
        <v>856</v>
      </c>
      <c r="OIX97" s="1675" t="s">
        <v>856</v>
      </c>
      <c r="OIY97" s="1675" t="s">
        <v>856</v>
      </c>
      <c r="OIZ97" s="1675" t="s">
        <v>856</v>
      </c>
      <c r="OJA97" s="1675" t="s">
        <v>856</v>
      </c>
      <c r="OJB97" s="1675" t="s">
        <v>856</v>
      </c>
      <c r="OJC97" s="1675" t="s">
        <v>856</v>
      </c>
      <c r="OJD97" s="1675" t="s">
        <v>856</v>
      </c>
      <c r="OJE97" s="1675" t="s">
        <v>856</v>
      </c>
      <c r="OJF97" s="1675" t="s">
        <v>856</v>
      </c>
      <c r="OJG97" s="1675" t="s">
        <v>856</v>
      </c>
      <c r="OJH97" s="1675" t="s">
        <v>856</v>
      </c>
      <c r="OJI97" s="1675" t="s">
        <v>856</v>
      </c>
      <c r="OJJ97" s="1675" t="s">
        <v>856</v>
      </c>
      <c r="OJK97" s="1675" t="s">
        <v>856</v>
      </c>
      <c r="OJL97" s="1675" t="s">
        <v>856</v>
      </c>
      <c r="OJM97" s="1675" t="s">
        <v>856</v>
      </c>
      <c r="OJN97" s="1675" t="s">
        <v>856</v>
      </c>
      <c r="OJO97" s="1675" t="s">
        <v>856</v>
      </c>
      <c r="OJP97" s="1675" t="s">
        <v>856</v>
      </c>
      <c r="OJQ97" s="1675" t="s">
        <v>856</v>
      </c>
      <c r="OJR97" s="1675" t="s">
        <v>856</v>
      </c>
      <c r="OJS97" s="1675" t="s">
        <v>856</v>
      </c>
      <c r="OJT97" s="1675" t="s">
        <v>856</v>
      </c>
      <c r="OJU97" s="1675" t="s">
        <v>856</v>
      </c>
      <c r="OJV97" s="1675" t="s">
        <v>856</v>
      </c>
      <c r="OJW97" s="1675" t="s">
        <v>856</v>
      </c>
      <c r="OJX97" s="1675" t="s">
        <v>856</v>
      </c>
      <c r="OJY97" s="1675" t="s">
        <v>856</v>
      </c>
      <c r="OJZ97" s="1675" t="s">
        <v>856</v>
      </c>
      <c r="OKA97" s="1675" t="s">
        <v>856</v>
      </c>
      <c r="OKB97" s="1675" t="s">
        <v>856</v>
      </c>
      <c r="OKC97" s="1675" t="s">
        <v>856</v>
      </c>
      <c r="OKD97" s="1675" t="s">
        <v>856</v>
      </c>
      <c r="OKE97" s="1675" t="s">
        <v>856</v>
      </c>
      <c r="OKF97" s="1675" t="s">
        <v>856</v>
      </c>
      <c r="OKG97" s="1675" t="s">
        <v>856</v>
      </c>
      <c r="OKH97" s="1675" t="s">
        <v>856</v>
      </c>
      <c r="OKI97" s="1675" t="s">
        <v>856</v>
      </c>
      <c r="OKJ97" s="1675" t="s">
        <v>856</v>
      </c>
      <c r="OKK97" s="1675" t="s">
        <v>856</v>
      </c>
      <c r="OKL97" s="1675" t="s">
        <v>856</v>
      </c>
      <c r="OKM97" s="1675" t="s">
        <v>856</v>
      </c>
      <c r="OKN97" s="1675" t="s">
        <v>856</v>
      </c>
      <c r="OKO97" s="1675" t="s">
        <v>856</v>
      </c>
      <c r="OKP97" s="1675" t="s">
        <v>856</v>
      </c>
      <c r="OKQ97" s="1675" t="s">
        <v>856</v>
      </c>
      <c r="OKR97" s="1675" t="s">
        <v>856</v>
      </c>
      <c r="OKS97" s="1675" t="s">
        <v>856</v>
      </c>
      <c r="OKT97" s="1675" t="s">
        <v>856</v>
      </c>
      <c r="OKU97" s="1675" t="s">
        <v>856</v>
      </c>
      <c r="OKV97" s="1675" t="s">
        <v>856</v>
      </c>
      <c r="OKW97" s="1675" t="s">
        <v>856</v>
      </c>
      <c r="OKX97" s="1675" t="s">
        <v>856</v>
      </c>
      <c r="OKY97" s="1675" t="s">
        <v>856</v>
      </c>
      <c r="OKZ97" s="1675" t="s">
        <v>856</v>
      </c>
      <c r="OLA97" s="1675" t="s">
        <v>856</v>
      </c>
      <c r="OLB97" s="1675" t="s">
        <v>856</v>
      </c>
      <c r="OLC97" s="1675" t="s">
        <v>856</v>
      </c>
      <c r="OLD97" s="1675" t="s">
        <v>856</v>
      </c>
      <c r="OLE97" s="1675" t="s">
        <v>856</v>
      </c>
      <c r="OLF97" s="1675" t="s">
        <v>856</v>
      </c>
      <c r="OLG97" s="1675" t="s">
        <v>856</v>
      </c>
      <c r="OLH97" s="1675" t="s">
        <v>856</v>
      </c>
      <c r="OLI97" s="1675" t="s">
        <v>856</v>
      </c>
      <c r="OLJ97" s="1675" t="s">
        <v>856</v>
      </c>
      <c r="OLK97" s="1675" t="s">
        <v>856</v>
      </c>
      <c r="OLL97" s="1675" t="s">
        <v>856</v>
      </c>
      <c r="OLM97" s="1675" t="s">
        <v>856</v>
      </c>
      <c r="OLN97" s="1675" t="s">
        <v>856</v>
      </c>
      <c r="OLO97" s="1675" t="s">
        <v>856</v>
      </c>
      <c r="OLP97" s="1675" t="s">
        <v>856</v>
      </c>
      <c r="OLQ97" s="1675" t="s">
        <v>856</v>
      </c>
      <c r="OLR97" s="1675" t="s">
        <v>856</v>
      </c>
      <c r="OLS97" s="1675" t="s">
        <v>856</v>
      </c>
      <c r="OLT97" s="1675" t="s">
        <v>856</v>
      </c>
      <c r="OLU97" s="1675" t="s">
        <v>856</v>
      </c>
      <c r="OLV97" s="1675" t="s">
        <v>856</v>
      </c>
      <c r="OLW97" s="1675" t="s">
        <v>856</v>
      </c>
      <c r="OLX97" s="1675" t="s">
        <v>856</v>
      </c>
      <c r="OLY97" s="1675" t="s">
        <v>856</v>
      </c>
      <c r="OLZ97" s="1675" t="s">
        <v>856</v>
      </c>
      <c r="OMA97" s="1675" t="s">
        <v>856</v>
      </c>
      <c r="OMB97" s="1675" t="s">
        <v>856</v>
      </c>
      <c r="OMC97" s="1675" t="s">
        <v>856</v>
      </c>
      <c r="OMD97" s="1675" t="s">
        <v>856</v>
      </c>
      <c r="OME97" s="1675" t="s">
        <v>856</v>
      </c>
      <c r="OMF97" s="1675" t="s">
        <v>856</v>
      </c>
      <c r="OMG97" s="1675" t="s">
        <v>856</v>
      </c>
      <c r="OMH97" s="1675" t="s">
        <v>856</v>
      </c>
      <c r="OMI97" s="1675" t="s">
        <v>856</v>
      </c>
      <c r="OMJ97" s="1675" t="s">
        <v>856</v>
      </c>
      <c r="OMK97" s="1675" t="s">
        <v>856</v>
      </c>
      <c r="OML97" s="1675" t="s">
        <v>856</v>
      </c>
      <c r="OMM97" s="1675" t="s">
        <v>856</v>
      </c>
      <c r="OMN97" s="1675" t="s">
        <v>856</v>
      </c>
      <c r="OMO97" s="1675" t="s">
        <v>856</v>
      </c>
      <c r="OMP97" s="1675" t="s">
        <v>856</v>
      </c>
      <c r="OMQ97" s="1675" t="s">
        <v>856</v>
      </c>
      <c r="OMR97" s="1675" t="s">
        <v>856</v>
      </c>
      <c r="OMS97" s="1675" t="s">
        <v>856</v>
      </c>
      <c r="OMT97" s="1675" t="s">
        <v>856</v>
      </c>
      <c r="OMU97" s="1675" t="s">
        <v>856</v>
      </c>
      <c r="OMV97" s="1675" t="s">
        <v>856</v>
      </c>
      <c r="OMW97" s="1675" t="s">
        <v>856</v>
      </c>
      <c r="OMX97" s="1675" t="s">
        <v>856</v>
      </c>
      <c r="OMY97" s="1675" t="s">
        <v>856</v>
      </c>
      <c r="OMZ97" s="1675" t="s">
        <v>856</v>
      </c>
      <c r="ONA97" s="1675" t="s">
        <v>856</v>
      </c>
      <c r="ONB97" s="1675" t="s">
        <v>856</v>
      </c>
      <c r="ONC97" s="1675" t="s">
        <v>856</v>
      </c>
      <c r="OND97" s="1675" t="s">
        <v>856</v>
      </c>
      <c r="ONE97" s="1675" t="s">
        <v>856</v>
      </c>
      <c r="ONF97" s="1675" t="s">
        <v>856</v>
      </c>
      <c r="ONG97" s="1675" t="s">
        <v>856</v>
      </c>
      <c r="ONH97" s="1675" t="s">
        <v>856</v>
      </c>
      <c r="ONI97" s="1675" t="s">
        <v>856</v>
      </c>
      <c r="ONJ97" s="1675" t="s">
        <v>856</v>
      </c>
      <c r="ONK97" s="1675" t="s">
        <v>856</v>
      </c>
      <c r="ONL97" s="1675" t="s">
        <v>856</v>
      </c>
      <c r="ONM97" s="1675" t="s">
        <v>856</v>
      </c>
      <c r="ONN97" s="1675" t="s">
        <v>856</v>
      </c>
      <c r="ONO97" s="1675" t="s">
        <v>856</v>
      </c>
      <c r="ONP97" s="1675" t="s">
        <v>856</v>
      </c>
      <c r="ONQ97" s="1675" t="s">
        <v>856</v>
      </c>
      <c r="ONR97" s="1675" t="s">
        <v>856</v>
      </c>
      <c r="ONS97" s="1675" t="s">
        <v>856</v>
      </c>
      <c r="ONT97" s="1675" t="s">
        <v>856</v>
      </c>
      <c r="ONU97" s="1675" t="s">
        <v>856</v>
      </c>
      <c r="ONV97" s="1675" t="s">
        <v>856</v>
      </c>
      <c r="ONW97" s="1675" t="s">
        <v>856</v>
      </c>
      <c r="ONX97" s="1675" t="s">
        <v>856</v>
      </c>
      <c r="ONY97" s="1675" t="s">
        <v>856</v>
      </c>
      <c r="ONZ97" s="1675" t="s">
        <v>856</v>
      </c>
      <c r="OOA97" s="1675" t="s">
        <v>856</v>
      </c>
      <c r="OOB97" s="1675" t="s">
        <v>856</v>
      </c>
      <c r="OOC97" s="1675" t="s">
        <v>856</v>
      </c>
      <c r="OOD97" s="1675" t="s">
        <v>856</v>
      </c>
      <c r="OOE97" s="1675" t="s">
        <v>856</v>
      </c>
      <c r="OOF97" s="1675" t="s">
        <v>856</v>
      </c>
      <c r="OOG97" s="1675" t="s">
        <v>856</v>
      </c>
      <c r="OOH97" s="1675" t="s">
        <v>856</v>
      </c>
      <c r="OOI97" s="1675" t="s">
        <v>856</v>
      </c>
      <c r="OOJ97" s="1675" t="s">
        <v>856</v>
      </c>
      <c r="OOK97" s="1675" t="s">
        <v>856</v>
      </c>
      <c r="OOL97" s="1675" t="s">
        <v>856</v>
      </c>
      <c r="OOM97" s="1675" t="s">
        <v>856</v>
      </c>
      <c r="OON97" s="1675" t="s">
        <v>856</v>
      </c>
      <c r="OOO97" s="1675" t="s">
        <v>856</v>
      </c>
      <c r="OOP97" s="1675" t="s">
        <v>856</v>
      </c>
      <c r="OOQ97" s="1675" t="s">
        <v>856</v>
      </c>
      <c r="OOR97" s="1675" t="s">
        <v>856</v>
      </c>
      <c r="OOS97" s="1675" t="s">
        <v>856</v>
      </c>
      <c r="OOT97" s="1675" t="s">
        <v>856</v>
      </c>
      <c r="OOU97" s="1675" t="s">
        <v>856</v>
      </c>
      <c r="OOV97" s="1675" t="s">
        <v>856</v>
      </c>
      <c r="OOW97" s="1675" t="s">
        <v>856</v>
      </c>
      <c r="OOX97" s="1675" t="s">
        <v>856</v>
      </c>
      <c r="OOY97" s="1675" t="s">
        <v>856</v>
      </c>
      <c r="OOZ97" s="1675" t="s">
        <v>856</v>
      </c>
      <c r="OPA97" s="1675" t="s">
        <v>856</v>
      </c>
      <c r="OPB97" s="1675" t="s">
        <v>856</v>
      </c>
      <c r="OPC97" s="1675" t="s">
        <v>856</v>
      </c>
      <c r="OPD97" s="1675" t="s">
        <v>856</v>
      </c>
      <c r="OPE97" s="1675" t="s">
        <v>856</v>
      </c>
      <c r="OPF97" s="1675" t="s">
        <v>856</v>
      </c>
      <c r="OPG97" s="1675" t="s">
        <v>856</v>
      </c>
      <c r="OPH97" s="1675" t="s">
        <v>856</v>
      </c>
      <c r="OPI97" s="1675" t="s">
        <v>856</v>
      </c>
      <c r="OPJ97" s="1675" t="s">
        <v>856</v>
      </c>
      <c r="OPK97" s="1675" t="s">
        <v>856</v>
      </c>
      <c r="OPL97" s="1675" t="s">
        <v>856</v>
      </c>
      <c r="OPM97" s="1675" t="s">
        <v>856</v>
      </c>
      <c r="OPN97" s="1675" t="s">
        <v>856</v>
      </c>
      <c r="OPO97" s="1675" t="s">
        <v>856</v>
      </c>
      <c r="OPP97" s="1675" t="s">
        <v>856</v>
      </c>
      <c r="OPQ97" s="1675" t="s">
        <v>856</v>
      </c>
      <c r="OPR97" s="1675" t="s">
        <v>856</v>
      </c>
      <c r="OPS97" s="1675" t="s">
        <v>856</v>
      </c>
      <c r="OPT97" s="1675" t="s">
        <v>856</v>
      </c>
      <c r="OPU97" s="1675" t="s">
        <v>856</v>
      </c>
      <c r="OPV97" s="1675" t="s">
        <v>856</v>
      </c>
      <c r="OPW97" s="1675" t="s">
        <v>856</v>
      </c>
      <c r="OPX97" s="1675" t="s">
        <v>856</v>
      </c>
      <c r="OPY97" s="1675" t="s">
        <v>856</v>
      </c>
      <c r="OPZ97" s="1675" t="s">
        <v>856</v>
      </c>
      <c r="OQA97" s="1675" t="s">
        <v>856</v>
      </c>
      <c r="OQB97" s="1675" t="s">
        <v>856</v>
      </c>
      <c r="OQC97" s="1675" t="s">
        <v>856</v>
      </c>
      <c r="OQD97" s="1675" t="s">
        <v>856</v>
      </c>
      <c r="OQE97" s="1675" t="s">
        <v>856</v>
      </c>
      <c r="OQF97" s="1675" t="s">
        <v>856</v>
      </c>
      <c r="OQG97" s="1675" t="s">
        <v>856</v>
      </c>
      <c r="OQH97" s="1675" t="s">
        <v>856</v>
      </c>
      <c r="OQI97" s="1675" t="s">
        <v>856</v>
      </c>
      <c r="OQJ97" s="1675" t="s">
        <v>856</v>
      </c>
      <c r="OQK97" s="1675" t="s">
        <v>856</v>
      </c>
      <c r="OQL97" s="1675" t="s">
        <v>856</v>
      </c>
      <c r="OQM97" s="1675" t="s">
        <v>856</v>
      </c>
      <c r="OQN97" s="1675" t="s">
        <v>856</v>
      </c>
      <c r="OQO97" s="1675" t="s">
        <v>856</v>
      </c>
      <c r="OQP97" s="1675" t="s">
        <v>856</v>
      </c>
      <c r="OQQ97" s="1675" t="s">
        <v>856</v>
      </c>
      <c r="OQR97" s="1675" t="s">
        <v>856</v>
      </c>
      <c r="OQS97" s="1675" t="s">
        <v>856</v>
      </c>
      <c r="OQT97" s="1675" t="s">
        <v>856</v>
      </c>
      <c r="OQU97" s="1675" t="s">
        <v>856</v>
      </c>
      <c r="OQV97" s="1675" t="s">
        <v>856</v>
      </c>
      <c r="OQW97" s="1675" t="s">
        <v>856</v>
      </c>
      <c r="OQX97" s="1675" t="s">
        <v>856</v>
      </c>
      <c r="OQY97" s="1675" t="s">
        <v>856</v>
      </c>
      <c r="OQZ97" s="1675" t="s">
        <v>856</v>
      </c>
      <c r="ORA97" s="1675" t="s">
        <v>856</v>
      </c>
      <c r="ORB97" s="1675" t="s">
        <v>856</v>
      </c>
      <c r="ORC97" s="1675" t="s">
        <v>856</v>
      </c>
      <c r="ORD97" s="1675" t="s">
        <v>856</v>
      </c>
      <c r="ORE97" s="1675" t="s">
        <v>856</v>
      </c>
      <c r="ORF97" s="1675" t="s">
        <v>856</v>
      </c>
      <c r="ORG97" s="1675" t="s">
        <v>856</v>
      </c>
      <c r="ORH97" s="1675" t="s">
        <v>856</v>
      </c>
      <c r="ORI97" s="1675" t="s">
        <v>856</v>
      </c>
      <c r="ORJ97" s="1675" t="s">
        <v>856</v>
      </c>
      <c r="ORK97" s="1675" t="s">
        <v>856</v>
      </c>
      <c r="ORL97" s="1675" t="s">
        <v>856</v>
      </c>
      <c r="ORM97" s="1675" t="s">
        <v>856</v>
      </c>
      <c r="ORN97" s="1675" t="s">
        <v>856</v>
      </c>
      <c r="ORO97" s="1675" t="s">
        <v>856</v>
      </c>
      <c r="ORP97" s="1675" t="s">
        <v>856</v>
      </c>
      <c r="ORQ97" s="1675" t="s">
        <v>856</v>
      </c>
      <c r="ORR97" s="1675" t="s">
        <v>856</v>
      </c>
      <c r="ORS97" s="1675" t="s">
        <v>856</v>
      </c>
      <c r="ORT97" s="1675" t="s">
        <v>856</v>
      </c>
      <c r="ORU97" s="1675" t="s">
        <v>856</v>
      </c>
      <c r="ORV97" s="1675" t="s">
        <v>856</v>
      </c>
      <c r="ORW97" s="1675" t="s">
        <v>856</v>
      </c>
      <c r="ORX97" s="1675" t="s">
        <v>856</v>
      </c>
      <c r="ORY97" s="1675" t="s">
        <v>856</v>
      </c>
      <c r="ORZ97" s="1675" t="s">
        <v>856</v>
      </c>
      <c r="OSA97" s="1675" t="s">
        <v>856</v>
      </c>
      <c r="OSB97" s="1675" t="s">
        <v>856</v>
      </c>
      <c r="OSC97" s="1675" t="s">
        <v>856</v>
      </c>
      <c r="OSD97" s="1675" t="s">
        <v>856</v>
      </c>
      <c r="OSE97" s="1675" t="s">
        <v>856</v>
      </c>
      <c r="OSF97" s="1675" t="s">
        <v>856</v>
      </c>
      <c r="OSG97" s="1675" t="s">
        <v>856</v>
      </c>
      <c r="OSH97" s="1675" t="s">
        <v>856</v>
      </c>
      <c r="OSI97" s="1675" t="s">
        <v>856</v>
      </c>
      <c r="OSJ97" s="1675" t="s">
        <v>856</v>
      </c>
      <c r="OSK97" s="1675" t="s">
        <v>856</v>
      </c>
      <c r="OSL97" s="1675" t="s">
        <v>856</v>
      </c>
      <c r="OSM97" s="1675" t="s">
        <v>856</v>
      </c>
      <c r="OSN97" s="1675" t="s">
        <v>856</v>
      </c>
      <c r="OSO97" s="1675" t="s">
        <v>856</v>
      </c>
      <c r="OSP97" s="1675" t="s">
        <v>856</v>
      </c>
      <c r="OSQ97" s="1675" t="s">
        <v>856</v>
      </c>
      <c r="OSR97" s="1675" t="s">
        <v>856</v>
      </c>
      <c r="OSS97" s="1675" t="s">
        <v>856</v>
      </c>
      <c r="OST97" s="1675" t="s">
        <v>856</v>
      </c>
      <c r="OSU97" s="1675" t="s">
        <v>856</v>
      </c>
      <c r="OSV97" s="1675" t="s">
        <v>856</v>
      </c>
      <c r="OSW97" s="1675" t="s">
        <v>856</v>
      </c>
      <c r="OSX97" s="1675" t="s">
        <v>856</v>
      </c>
      <c r="OSY97" s="1675" t="s">
        <v>856</v>
      </c>
      <c r="OSZ97" s="1675" t="s">
        <v>856</v>
      </c>
      <c r="OTA97" s="1675" t="s">
        <v>856</v>
      </c>
      <c r="OTB97" s="1675" t="s">
        <v>856</v>
      </c>
      <c r="OTC97" s="1675" t="s">
        <v>856</v>
      </c>
      <c r="OTD97" s="1675" t="s">
        <v>856</v>
      </c>
      <c r="OTE97" s="1675" t="s">
        <v>856</v>
      </c>
      <c r="OTF97" s="1675" t="s">
        <v>856</v>
      </c>
      <c r="OTG97" s="1675" t="s">
        <v>856</v>
      </c>
      <c r="OTH97" s="1675" t="s">
        <v>856</v>
      </c>
      <c r="OTI97" s="1675" t="s">
        <v>856</v>
      </c>
      <c r="OTJ97" s="1675" t="s">
        <v>856</v>
      </c>
      <c r="OTK97" s="1675" t="s">
        <v>856</v>
      </c>
      <c r="OTL97" s="1675" t="s">
        <v>856</v>
      </c>
      <c r="OTM97" s="1675" t="s">
        <v>856</v>
      </c>
      <c r="OTN97" s="1675" t="s">
        <v>856</v>
      </c>
      <c r="OTO97" s="1675" t="s">
        <v>856</v>
      </c>
      <c r="OTP97" s="1675" t="s">
        <v>856</v>
      </c>
      <c r="OTQ97" s="1675" t="s">
        <v>856</v>
      </c>
      <c r="OTR97" s="1675" t="s">
        <v>856</v>
      </c>
      <c r="OTS97" s="1675" t="s">
        <v>856</v>
      </c>
      <c r="OTT97" s="1675" t="s">
        <v>856</v>
      </c>
      <c r="OTU97" s="1675" t="s">
        <v>856</v>
      </c>
      <c r="OTV97" s="1675" t="s">
        <v>856</v>
      </c>
      <c r="OTW97" s="1675" t="s">
        <v>856</v>
      </c>
      <c r="OTX97" s="1675" t="s">
        <v>856</v>
      </c>
      <c r="OTY97" s="1675" t="s">
        <v>856</v>
      </c>
      <c r="OTZ97" s="1675" t="s">
        <v>856</v>
      </c>
      <c r="OUA97" s="1675" t="s">
        <v>856</v>
      </c>
      <c r="OUB97" s="1675" t="s">
        <v>856</v>
      </c>
      <c r="OUC97" s="1675" t="s">
        <v>856</v>
      </c>
      <c r="OUD97" s="1675" t="s">
        <v>856</v>
      </c>
      <c r="OUE97" s="1675" t="s">
        <v>856</v>
      </c>
      <c r="OUF97" s="1675" t="s">
        <v>856</v>
      </c>
      <c r="OUG97" s="1675" t="s">
        <v>856</v>
      </c>
      <c r="OUH97" s="1675" t="s">
        <v>856</v>
      </c>
      <c r="OUI97" s="1675" t="s">
        <v>856</v>
      </c>
      <c r="OUJ97" s="1675" t="s">
        <v>856</v>
      </c>
      <c r="OUK97" s="1675" t="s">
        <v>856</v>
      </c>
      <c r="OUL97" s="1675" t="s">
        <v>856</v>
      </c>
      <c r="OUM97" s="1675" t="s">
        <v>856</v>
      </c>
      <c r="OUN97" s="1675" t="s">
        <v>856</v>
      </c>
      <c r="OUO97" s="1675" t="s">
        <v>856</v>
      </c>
      <c r="OUP97" s="1675" t="s">
        <v>856</v>
      </c>
      <c r="OUQ97" s="1675" t="s">
        <v>856</v>
      </c>
      <c r="OUR97" s="1675" t="s">
        <v>856</v>
      </c>
      <c r="OUS97" s="1675" t="s">
        <v>856</v>
      </c>
      <c r="OUT97" s="1675" t="s">
        <v>856</v>
      </c>
      <c r="OUU97" s="1675" t="s">
        <v>856</v>
      </c>
      <c r="OUV97" s="1675" t="s">
        <v>856</v>
      </c>
      <c r="OUW97" s="1675" t="s">
        <v>856</v>
      </c>
      <c r="OUX97" s="1675" t="s">
        <v>856</v>
      </c>
      <c r="OUY97" s="1675" t="s">
        <v>856</v>
      </c>
      <c r="OUZ97" s="1675" t="s">
        <v>856</v>
      </c>
      <c r="OVA97" s="1675" t="s">
        <v>856</v>
      </c>
      <c r="OVB97" s="1675" t="s">
        <v>856</v>
      </c>
      <c r="OVC97" s="1675" t="s">
        <v>856</v>
      </c>
      <c r="OVD97" s="1675" t="s">
        <v>856</v>
      </c>
      <c r="OVE97" s="1675" t="s">
        <v>856</v>
      </c>
      <c r="OVF97" s="1675" t="s">
        <v>856</v>
      </c>
      <c r="OVG97" s="1675" t="s">
        <v>856</v>
      </c>
      <c r="OVH97" s="1675" t="s">
        <v>856</v>
      </c>
      <c r="OVI97" s="1675" t="s">
        <v>856</v>
      </c>
      <c r="OVJ97" s="1675" t="s">
        <v>856</v>
      </c>
      <c r="OVK97" s="1675" t="s">
        <v>856</v>
      </c>
      <c r="OVL97" s="1675" t="s">
        <v>856</v>
      </c>
      <c r="OVM97" s="1675" t="s">
        <v>856</v>
      </c>
      <c r="OVN97" s="1675" t="s">
        <v>856</v>
      </c>
      <c r="OVO97" s="1675" t="s">
        <v>856</v>
      </c>
      <c r="OVP97" s="1675" t="s">
        <v>856</v>
      </c>
      <c r="OVQ97" s="1675" t="s">
        <v>856</v>
      </c>
      <c r="OVR97" s="1675" t="s">
        <v>856</v>
      </c>
      <c r="OVS97" s="1675" t="s">
        <v>856</v>
      </c>
      <c r="OVT97" s="1675" t="s">
        <v>856</v>
      </c>
      <c r="OVU97" s="1675" t="s">
        <v>856</v>
      </c>
      <c r="OVV97" s="1675" t="s">
        <v>856</v>
      </c>
      <c r="OVW97" s="1675" t="s">
        <v>856</v>
      </c>
      <c r="OVX97" s="1675" t="s">
        <v>856</v>
      </c>
      <c r="OVY97" s="1675" t="s">
        <v>856</v>
      </c>
      <c r="OVZ97" s="1675" t="s">
        <v>856</v>
      </c>
      <c r="OWA97" s="1675" t="s">
        <v>856</v>
      </c>
      <c r="OWB97" s="1675" t="s">
        <v>856</v>
      </c>
      <c r="OWC97" s="1675" t="s">
        <v>856</v>
      </c>
      <c r="OWD97" s="1675" t="s">
        <v>856</v>
      </c>
      <c r="OWE97" s="1675" t="s">
        <v>856</v>
      </c>
      <c r="OWF97" s="1675" t="s">
        <v>856</v>
      </c>
      <c r="OWG97" s="1675" t="s">
        <v>856</v>
      </c>
      <c r="OWH97" s="1675" t="s">
        <v>856</v>
      </c>
      <c r="OWI97" s="1675" t="s">
        <v>856</v>
      </c>
      <c r="OWJ97" s="1675" t="s">
        <v>856</v>
      </c>
      <c r="OWK97" s="1675" t="s">
        <v>856</v>
      </c>
      <c r="OWL97" s="1675" t="s">
        <v>856</v>
      </c>
      <c r="OWM97" s="1675" t="s">
        <v>856</v>
      </c>
      <c r="OWN97" s="1675" t="s">
        <v>856</v>
      </c>
      <c r="OWO97" s="1675" t="s">
        <v>856</v>
      </c>
      <c r="OWP97" s="1675" t="s">
        <v>856</v>
      </c>
      <c r="OWQ97" s="1675" t="s">
        <v>856</v>
      </c>
      <c r="OWR97" s="1675" t="s">
        <v>856</v>
      </c>
      <c r="OWS97" s="1675" t="s">
        <v>856</v>
      </c>
      <c r="OWT97" s="1675" t="s">
        <v>856</v>
      </c>
      <c r="OWU97" s="1675" t="s">
        <v>856</v>
      </c>
      <c r="OWV97" s="1675" t="s">
        <v>856</v>
      </c>
      <c r="OWW97" s="1675" t="s">
        <v>856</v>
      </c>
      <c r="OWX97" s="1675" t="s">
        <v>856</v>
      </c>
      <c r="OWY97" s="1675" t="s">
        <v>856</v>
      </c>
      <c r="OWZ97" s="1675" t="s">
        <v>856</v>
      </c>
      <c r="OXA97" s="1675" t="s">
        <v>856</v>
      </c>
      <c r="OXB97" s="1675" t="s">
        <v>856</v>
      </c>
      <c r="OXC97" s="1675" t="s">
        <v>856</v>
      </c>
      <c r="OXD97" s="1675" t="s">
        <v>856</v>
      </c>
      <c r="OXE97" s="1675" t="s">
        <v>856</v>
      </c>
      <c r="OXF97" s="1675" t="s">
        <v>856</v>
      </c>
      <c r="OXG97" s="1675" t="s">
        <v>856</v>
      </c>
      <c r="OXH97" s="1675" t="s">
        <v>856</v>
      </c>
      <c r="OXI97" s="1675" t="s">
        <v>856</v>
      </c>
      <c r="OXJ97" s="1675" t="s">
        <v>856</v>
      </c>
      <c r="OXK97" s="1675" t="s">
        <v>856</v>
      </c>
      <c r="OXL97" s="1675" t="s">
        <v>856</v>
      </c>
      <c r="OXM97" s="1675" t="s">
        <v>856</v>
      </c>
      <c r="OXN97" s="1675" t="s">
        <v>856</v>
      </c>
      <c r="OXO97" s="1675" t="s">
        <v>856</v>
      </c>
      <c r="OXP97" s="1675" t="s">
        <v>856</v>
      </c>
      <c r="OXQ97" s="1675" t="s">
        <v>856</v>
      </c>
      <c r="OXR97" s="1675" t="s">
        <v>856</v>
      </c>
      <c r="OXS97" s="1675" t="s">
        <v>856</v>
      </c>
      <c r="OXT97" s="1675" t="s">
        <v>856</v>
      </c>
      <c r="OXU97" s="1675" t="s">
        <v>856</v>
      </c>
      <c r="OXV97" s="1675" t="s">
        <v>856</v>
      </c>
      <c r="OXW97" s="1675" t="s">
        <v>856</v>
      </c>
      <c r="OXX97" s="1675" t="s">
        <v>856</v>
      </c>
      <c r="OXY97" s="1675" t="s">
        <v>856</v>
      </c>
      <c r="OXZ97" s="1675" t="s">
        <v>856</v>
      </c>
      <c r="OYA97" s="1675" t="s">
        <v>856</v>
      </c>
      <c r="OYB97" s="1675" t="s">
        <v>856</v>
      </c>
      <c r="OYC97" s="1675" t="s">
        <v>856</v>
      </c>
      <c r="OYD97" s="1675" t="s">
        <v>856</v>
      </c>
      <c r="OYE97" s="1675" t="s">
        <v>856</v>
      </c>
      <c r="OYF97" s="1675" t="s">
        <v>856</v>
      </c>
      <c r="OYG97" s="1675" t="s">
        <v>856</v>
      </c>
      <c r="OYH97" s="1675" t="s">
        <v>856</v>
      </c>
      <c r="OYI97" s="1675" t="s">
        <v>856</v>
      </c>
      <c r="OYJ97" s="1675" t="s">
        <v>856</v>
      </c>
      <c r="OYK97" s="1675" t="s">
        <v>856</v>
      </c>
      <c r="OYL97" s="1675" t="s">
        <v>856</v>
      </c>
      <c r="OYM97" s="1675" t="s">
        <v>856</v>
      </c>
      <c r="OYN97" s="1675" t="s">
        <v>856</v>
      </c>
      <c r="OYO97" s="1675" t="s">
        <v>856</v>
      </c>
      <c r="OYP97" s="1675" t="s">
        <v>856</v>
      </c>
      <c r="OYQ97" s="1675" t="s">
        <v>856</v>
      </c>
      <c r="OYR97" s="1675" t="s">
        <v>856</v>
      </c>
      <c r="OYS97" s="1675" t="s">
        <v>856</v>
      </c>
      <c r="OYT97" s="1675" t="s">
        <v>856</v>
      </c>
      <c r="OYU97" s="1675" t="s">
        <v>856</v>
      </c>
      <c r="OYV97" s="1675" t="s">
        <v>856</v>
      </c>
      <c r="OYW97" s="1675" t="s">
        <v>856</v>
      </c>
      <c r="OYX97" s="1675" t="s">
        <v>856</v>
      </c>
      <c r="OYY97" s="1675" t="s">
        <v>856</v>
      </c>
      <c r="OYZ97" s="1675" t="s">
        <v>856</v>
      </c>
      <c r="OZA97" s="1675" t="s">
        <v>856</v>
      </c>
      <c r="OZB97" s="1675" t="s">
        <v>856</v>
      </c>
      <c r="OZC97" s="1675" t="s">
        <v>856</v>
      </c>
      <c r="OZD97" s="1675" t="s">
        <v>856</v>
      </c>
      <c r="OZE97" s="1675" t="s">
        <v>856</v>
      </c>
      <c r="OZF97" s="1675" t="s">
        <v>856</v>
      </c>
      <c r="OZG97" s="1675" t="s">
        <v>856</v>
      </c>
      <c r="OZH97" s="1675" t="s">
        <v>856</v>
      </c>
      <c r="OZI97" s="1675" t="s">
        <v>856</v>
      </c>
      <c r="OZJ97" s="1675" t="s">
        <v>856</v>
      </c>
      <c r="OZK97" s="1675" t="s">
        <v>856</v>
      </c>
      <c r="OZL97" s="1675" t="s">
        <v>856</v>
      </c>
      <c r="OZM97" s="1675" t="s">
        <v>856</v>
      </c>
      <c r="OZN97" s="1675" t="s">
        <v>856</v>
      </c>
      <c r="OZO97" s="1675" t="s">
        <v>856</v>
      </c>
      <c r="OZP97" s="1675" t="s">
        <v>856</v>
      </c>
      <c r="OZQ97" s="1675" t="s">
        <v>856</v>
      </c>
      <c r="OZR97" s="1675" t="s">
        <v>856</v>
      </c>
      <c r="OZS97" s="1675" t="s">
        <v>856</v>
      </c>
      <c r="OZT97" s="1675" t="s">
        <v>856</v>
      </c>
      <c r="OZU97" s="1675" t="s">
        <v>856</v>
      </c>
      <c r="OZV97" s="1675" t="s">
        <v>856</v>
      </c>
      <c r="OZW97" s="1675" t="s">
        <v>856</v>
      </c>
      <c r="OZX97" s="1675" t="s">
        <v>856</v>
      </c>
      <c r="OZY97" s="1675" t="s">
        <v>856</v>
      </c>
      <c r="OZZ97" s="1675" t="s">
        <v>856</v>
      </c>
      <c r="PAA97" s="1675" t="s">
        <v>856</v>
      </c>
      <c r="PAB97" s="1675" t="s">
        <v>856</v>
      </c>
      <c r="PAC97" s="1675" t="s">
        <v>856</v>
      </c>
      <c r="PAD97" s="1675" t="s">
        <v>856</v>
      </c>
      <c r="PAE97" s="1675" t="s">
        <v>856</v>
      </c>
      <c r="PAF97" s="1675" t="s">
        <v>856</v>
      </c>
      <c r="PAG97" s="1675" t="s">
        <v>856</v>
      </c>
      <c r="PAH97" s="1675" t="s">
        <v>856</v>
      </c>
      <c r="PAI97" s="1675" t="s">
        <v>856</v>
      </c>
      <c r="PAJ97" s="1675" t="s">
        <v>856</v>
      </c>
      <c r="PAK97" s="1675" t="s">
        <v>856</v>
      </c>
      <c r="PAL97" s="1675" t="s">
        <v>856</v>
      </c>
      <c r="PAM97" s="1675" t="s">
        <v>856</v>
      </c>
      <c r="PAN97" s="1675" t="s">
        <v>856</v>
      </c>
      <c r="PAO97" s="1675" t="s">
        <v>856</v>
      </c>
      <c r="PAP97" s="1675" t="s">
        <v>856</v>
      </c>
      <c r="PAQ97" s="1675" t="s">
        <v>856</v>
      </c>
      <c r="PAR97" s="1675" t="s">
        <v>856</v>
      </c>
      <c r="PAS97" s="1675" t="s">
        <v>856</v>
      </c>
      <c r="PAT97" s="1675" t="s">
        <v>856</v>
      </c>
      <c r="PAU97" s="1675" t="s">
        <v>856</v>
      </c>
      <c r="PAV97" s="1675" t="s">
        <v>856</v>
      </c>
      <c r="PAW97" s="1675" t="s">
        <v>856</v>
      </c>
      <c r="PAX97" s="1675" t="s">
        <v>856</v>
      </c>
      <c r="PAY97" s="1675" t="s">
        <v>856</v>
      </c>
      <c r="PAZ97" s="1675" t="s">
        <v>856</v>
      </c>
      <c r="PBA97" s="1675" t="s">
        <v>856</v>
      </c>
      <c r="PBB97" s="1675" t="s">
        <v>856</v>
      </c>
      <c r="PBC97" s="1675" t="s">
        <v>856</v>
      </c>
      <c r="PBD97" s="1675" t="s">
        <v>856</v>
      </c>
      <c r="PBE97" s="1675" t="s">
        <v>856</v>
      </c>
      <c r="PBF97" s="1675" t="s">
        <v>856</v>
      </c>
      <c r="PBG97" s="1675" t="s">
        <v>856</v>
      </c>
      <c r="PBH97" s="1675" t="s">
        <v>856</v>
      </c>
      <c r="PBI97" s="1675" t="s">
        <v>856</v>
      </c>
      <c r="PBJ97" s="1675" t="s">
        <v>856</v>
      </c>
      <c r="PBK97" s="1675" t="s">
        <v>856</v>
      </c>
      <c r="PBL97" s="1675" t="s">
        <v>856</v>
      </c>
      <c r="PBM97" s="1675" t="s">
        <v>856</v>
      </c>
      <c r="PBN97" s="1675" t="s">
        <v>856</v>
      </c>
      <c r="PBO97" s="1675" t="s">
        <v>856</v>
      </c>
      <c r="PBP97" s="1675" t="s">
        <v>856</v>
      </c>
      <c r="PBQ97" s="1675" t="s">
        <v>856</v>
      </c>
      <c r="PBR97" s="1675" t="s">
        <v>856</v>
      </c>
      <c r="PBS97" s="1675" t="s">
        <v>856</v>
      </c>
      <c r="PBT97" s="1675" t="s">
        <v>856</v>
      </c>
      <c r="PBU97" s="1675" t="s">
        <v>856</v>
      </c>
      <c r="PBV97" s="1675" t="s">
        <v>856</v>
      </c>
      <c r="PBW97" s="1675" t="s">
        <v>856</v>
      </c>
      <c r="PBX97" s="1675" t="s">
        <v>856</v>
      </c>
      <c r="PBY97" s="1675" t="s">
        <v>856</v>
      </c>
      <c r="PBZ97" s="1675" t="s">
        <v>856</v>
      </c>
      <c r="PCA97" s="1675" t="s">
        <v>856</v>
      </c>
      <c r="PCB97" s="1675" t="s">
        <v>856</v>
      </c>
      <c r="PCC97" s="1675" t="s">
        <v>856</v>
      </c>
      <c r="PCD97" s="1675" t="s">
        <v>856</v>
      </c>
      <c r="PCE97" s="1675" t="s">
        <v>856</v>
      </c>
      <c r="PCF97" s="1675" t="s">
        <v>856</v>
      </c>
      <c r="PCG97" s="1675" t="s">
        <v>856</v>
      </c>
      <c r="PCH97" s="1675" t="s">
        <v>856</v>
      </c>
      <c r="PCI97" s="1675" t="s">
        <v>856</v>
      </c>
      <c r="PCJ97" s="1675" t="s">
        <v>856</v>
      </c>
      <c r="PCK97" s="1675" t="s">
        <v>856</v>
      </c>
      <c r="PCL97" s="1675" t="s">
        <v>856</v>
      </c>
      <c r="PCM97" s="1675" t="s">
        <v>856</v>
      </c>
      <c r="PCN97" s="1675" t="s">
        <v>856</v>
      </c>
      <c r="PCO97" s="1675" t="s">
        <v>856</v>
      </c>
      <c r="PCP97" s="1675" t="s">
        <v>856</v>
      </c>
      <c r="PCQ97" s="1675" t="s">
        <v>856</v>
      </c>
      <c r="PCR97" s="1675" t="s">
        <v>856</v>
      </c>
      <c r="PCS97" s="1675" t="s">
        <v>856</v>
      </c>
      <c r="PCT97" s="1675" t="s">
        <v>856</v>
      </c>
      <c r="PCU97" s="1675" t="s">
        <v>856</v>
      </c>
      <c r="PCV97" s="1675" t="s">
        <v>856</v>
      </c>
      <c r="PCW97" s="1675" t="s">
        <v>856</v>
      </c>
      <c r="PCX97" s="1675" t="s">
        <v>856</v>
      </c>
      <c r="PCY97" s="1675" t="s">
        <v>856</v>
      </c>
      <c r="PCZ97" s="1675" t="s">
        <v>856</v>
      </c>
      <c r="PDA97" s="1675" t="s">
        <v>856</v>
      </c>
      <c r="PDB97" s="1675" t="s">
        <v>856</v>
      </c>
      <c r="PDC97" s="1675" t="s">
        <v>856</v>
      </c>
      <c r="PDD97" s="1675" t="s">
        <v>856</v>
      </c>
      <c r="PDE97" s="1675" t="s">
        <v>856</v>
      </c>
      <c r="PDF97" s="1675" t="s">
        <v>856</v>
      </c>
      <c r="PDG97" s="1675" t="s">
        <v>856</v>
      </c>
      <c r="PDH97" s="1675" t="s">
        <v>856</v>
      </c>
      <c r="PDI97" s="1675" t="s">
        <v>856</v>
      </c>
      <c r="PDJ97" s="1675" t="s">
        <v>856</v>
      </c>
      <c r="PDK97" s="1675" t="s">
        <v>856</v>
      </c>
      <c r="PDL97" s="1675" t="s">
        <v>856</v>
      </c>
      <c r="PDM97" s="1675" t="s">
        <v>856</v>
      </c>
      <c r="PDN97" s="1675" t="s">
        <v>856</v>
      </c>
      <c r="PDO97" s="1675" t="s">
        <v>856</v>
      </c>
      <c r="PDP97" s="1675" t="s">
        <v>856</v>
      </c>
      <c r="PDQ97" s="1675" t="s">
        <v>856</v>
      </c>
      <c r="PDR97" s="1675" t="s">
        <v>856</v>
      </c>
      <c r="PDS97" s="1675" t="s">
        <v>856</v>
      </c>
      <c r="PDT97" s="1675" t="s">
        <v>856</v>
      </c>
      <c r="PDU97" s="1675" t="s">
        <v>856</v>
      </c>
      <c r="PDV97" s="1675" t="s">
        <v>856</v>
      </c>
      <c r="PDW97" s="1675" t="s">
        <v>856</v>
      </c>
      <c r="PDX97" s="1675" t="s">
        <v>856</v>
      </c>
      <c r="PDY97" s="1675" t="s">
        <v>856</v>
      </c>
      <c r="PDZ97" s="1675" t="s">
        <v>856</v>
      </c>
      <c r="PEA97" s="1675" t="s">
        <v>856</v>
      </c>
      <c r="PEB97" s="1675" t="s">
        <v>856</v>
      </c>
      <c r="PEC97" s="1675" t="s">
        <v>856</v>
      </c>
      <c r="PED97" s="1675" t="s">
        <v>856</v>
      </c>
      <c r="PEE97" s="1675" t="s">
        <v>856</v>
      </c>
      <c r="PEF97" s="1675" t="s">
        <v>856</v>
      </c>
      <c r="PEG97" s="1675" t="s">
        <v>856</v>
      </c>
      <c r="PEH97" s="1675" t="s">
        <v>856</v>
      </c>
      <c r="PEI97" s="1675" t="s">
        <v>856</v>
      </c>
      <c r="PEJ97" s="1675" t="s">
        <v>856</v>
      </c>
      <c r="PEK97" s="1675" t="s">
        <v>856</v>
      </c>
      <c r="PEL97" s="1675" t="s">
        <v>856</v>
      </c>
      <c r="PEM97" s="1675" t="s">
        <v>856</v>
      </c>
      <c r="PEN97" s="1675" t="s">
        <v>856</v>
      </c>
      <c r="PEO97" s="1675" t="s">
        <v>856</v>
      </c>
      <c r="PEP97" s="1675" t="s">
        <v>856</v>
      </c>
      <c r="PEQ97" s="1675" t="s">
        <v>856</v>
      </c>
      <c r="PER97" s="1675" t="s">
        <v>856</v>
      </c>
      <c r="PES97" s="1675" t="s">
        <v>856</v>
      </c>
      <c r="PET97" s="1675" t="s">
        <v>856</v>
      </c>
      <c r="PEU97" s="1675" t="s">
        <v>856</v>
      </c>
      <c r="PEV97" s="1675" t="s">
        <v>856</v>
      </c>
      <c r="PEW97" s="1675" t="s">
        <v>856</v>
      </c>
      <c r="PEX97" s="1675" t="s">
        <v>856</v>
      </c>
      <c r="PEY97" s="1675" t="s">
        <v>856</v>
      </c>
      <c r="PEZ97" s="1675" t="s">
        <v>856</v>
      </c>
      <c r="PFA97" s="1675" t="s">
        <v>856</v>
      </c>
      <c r="PFB97" s="1675" t="s">
        <v>856</v>
      </c>
      <c r="PFC97" s="1675" t="s">
        <v>856</v>
      </c>
      <c r="PFD97" s="1675" t="s">
        <v>856</v>
      </c>
      <c r="PFE97" s="1675" t="s">
        <v>856</v>
      </c>
      <c r="PFF97" s="1675" t="s">
        <v>856</v>
      </c>
      <c r="PFG97" s="1675" t="s">
        <v>856</v>
      </c>
      <c r="PFH97" s="1675" t="s">
        <v>856</v>
      </c>
      <c r="PFI97" s="1675" t="s">
        <v>856</v>
      </c>
      <c r="PFJ97" s="1675" t="s">
        <v>856</v>
      </c>
      <c r="PFK97" s="1675" t="s">
        <v>856</v>
      </c>
      <c r="PFL97" s="1675" t="s">
        <v>856</v>
      </c>
      <c r="PFM97" s="1675" t="s">
        <v>856</v>
      </c>
      <c r="PFN97" s="1675" t="s">
        <v>856</v>
      </c>
      <c r="PFO97" s="1675" t="s">
        <v>856</v>
      </c>
      <c r="PFP97" s="1675" t="s">
        <v>856</v>
      </c>
      <c r="PFQ97" s="1675" t="s">
        <v>856</v>
      </c>
      <c r="PFR97" s="1675" t="s">
        <v>856</v>
      </c>
      <c r="PFS97" s="1675" t="s">
        <v>856</v>
      </c>
      <c r="PFT97" s="1675" t="s">
        <v>856</v>
      </c>
      <c r="PFU97" s="1675" t="s">
        <v>856</v>
      </c>
      <c r="PFV97" s="1675" t="s">
        <v>856</v>
      </c>
      <c r="PFW97" s="1675" t="s">
        <v>856</v>
      </c>
      <c r="PFX97" s="1675" t="s">
        <v>856</v>
      </c>
      <c r="PFY97" s="1675" t="s">
        <v>856</v>
      </c>
      <c r="PFZ97" s="1675" t="s">
        <v>856</v>
      </c>
      <c r="PGA97" s="1675" t="s">
        <v>856</v>
      </c>
      <c r="PGB97" s="1675" t="s">
        <v>856</v>
      </c>
      <c r="PGC97" s="1675" t="s">
        <v>856</v>
      </c>
      <c r="PGD97" s="1675" t="s">
        <v>856</v>
      </c>
      <c r="PGE97" s="1675" t="s">
        <v>856</v>
      </c>
      <c r="PGF97" s="1675" t="s">
        <v>856</v>
      </c>
      <c r="PGG97" s="1675" t="s">
        <v>856</v>
      </c>
      <c r="PGH97" s="1675" t="s">
        <v>856</v>
      </c>
      <c r="PGI97" s="1675" t="s">
        <v>856</v>
      </c>
      <c r="PGJ97" s="1675" t="s">
        <v>856</v>
      </c>
      <c r="PGK97" s="1675" t="s">
        <v>856</v>
      </c>
      <c r="PGL97" s="1675" t="s">
        <v>856</v>
      </c>
      <c r="PGM97" s="1675" t="s">
        <v>856</v>
      </c>
      <c r="PGN97" s="1675" t="s">
        <v>856</v>
      </c>
      <c r="PGO97" s="1675" t="s">
        <v>856</v>
      </c>
      <c r="PGP97" s="1675" t="s">
        <v>856</v>
      </c>
      <c r="PGQ97" s="1675" t="s">
        <v>856</v>
      </c>
      <c r="PGR97" s="1675" t="s">
        <v>856</v>
      </c>
      <c r="PGS97" s="1675" t="s">
        <v>856</v>
      </c>
      <c r="PGT97" s="1675" t="s">
        <v>856</v>
      </c>
      <c r="PGU97" s="1675" t="s">
        <v>856</v>
      </c>
      <c r="PGV97" s="1675" t="s">
        <v>856</v>
      </c>
      <c r="PGW97" s="1675" t="s">
        <v>856</v>
      </c>
      <c r="PGX97" s="1675" t="s">
        <v>856</v>
      </c>
      <c r="PGY97" s="1675" t="s">
        <v>856</v>
      </c>
      <c r="PGZ97" s="1675" t="s">
        <v>856</v>
      </c>
      <c r="PHA97" s="1675" t="s">
        <v>856</v>
      </c>
      <c r="PHB97" s="1675" t="s">
        <v>856</v>
      </c>
      <c r="PHC97" s="1675" t="s">
        <v>856</v>
      </c>
      <c r="PHD97" s="1675" t="s">
        <v>856</v>
      </c>
      <c r="PHE97" s="1675" t="s">
        <v>856</v>
      </c>
      <c r="PHF97" s="1675" t="s">
        <v>856</v>
      </c>
      <c r="PHG97" s="1675" t="s">
        <v>856</v>
      </c>
      <c r="PHH97" s="1675" t="s">
        <v>856</v>
      </c>
      <c r="PHI97" s="1675" t="s">
        <v>856</v>
      </c>
      <c r="PHJ97" s="1675" t="s">
        <v>856</v>
      </c>
      <c r="PHK97" s="1675" t="s">
        <v>856</v>
      </c>
      <c r="PHL97" s="1675" t="s">
        <v>856</v>
      </c>
      <c r="PHM97" s="1675" t="s">
        <v>856</v>
      </c>
      <c r="PHN97" s="1675" t="s">
        <v>856</v>
      </c>
      <c r="PHO97" s="1675" t="s">
        <v>856</v>
      </c>
      <c r="PHP97" s="1675" t="s">
        <v>856</v>
      </c>
      <c r="PHQ97" s="1675" t="s">
        <v>856</v>
      </c>
      <c r="PHR97" s="1675" t="s">
        <v>856</v>
      </c>
      <c r="PHS97" s="1675" t="s">
        <v>856</v>
      </c>
      <c r="PHT97" s="1675" t="s">
        <v>856</v>
      </c>
      <c r="PHU97" s="1675" t="s">
        <v>856</v>
      </c>
      <c r="PHV97" s="1675" t="s">
        <v>856</v>
      </c>
      <c r="PHW97" s="1675" t="s">
        <v>856</v>
      </c>
      <c r="PHX97" s="1675" t="s">
        <v>856</v>
      </c>
      <c r="PHY97" s="1675" t="s">
        <v>856</v>
      </c>
      <c r="PHZ97" s="1675" t="s">
        <v>856</v>
      </c>
      <c r="PIA97" s="1675" t="s">
        <v>856</v>
      </c>
      <c r="PIB97" s="1675" t="s">
        <v>856</v>
      </c>
      <c r="PIC97" s="1675" t="s">
        <v>856</v>
      </c>
      <c r="PID97" s="1675" t="s">
        <v>856</v>
      </c>
      <c r="PIE97" s="1675" t="s">
        <v>856</v>
      </c>
      <c r="PIF97" s="1675" t="s">
        <v>856</v>
      </c>
      <c r="PIG97" s="1675" t="s">
        <v>856</v>
      </c>
      <c r="PIH97" s="1675" t="s">
        <v>856</v>
      </c>
      <c r="PII97" s="1675" t="s">
        <v>856</v>
      </c>
      <c r="PIJ97" s="1675" t="s">
        <v>856</v>
      </c>
      <c r="PIK97" s="1675" t="s">
        <v>856</v>
      </c>
      <c r="PIL97" s="1675" t="s">
        <v>856</v>
      </c>
      <c r="PIM97" s="1675" t="s">
        <v>856</v>
      </c>
      <c r="PIN97" s="1675" t="s">
        <v>856</v>
      </c>
      <c r="PIO97" s="1675" t="s">
        <v>856</v>
      </c>
      <c r="PIP97" s="1675" t="s">
        <v>856</v>
      </c>
      <c r="PIQ97" s="1675" t="s">
        <v>856</v>
      </c>
      <c r="PIR97" s="1675" t="s">
        <v>856</v>
      </c>
      <c r="PIS97" s="1675" t="s">
        <v>856</v>
      </c>
      <c r="PIT97" s="1675" t="s">
        <v>856</v>
      </c>
      <c r="PIU97" s="1675" t="s">
        <v>856</v>
      </c>
      <c r="PIV97" s="1675" t="s">
        <v>856</v>
      </c>
      <c r="PIW97" s="1675" t="s">
        <v>856</v>
      </c>
      <c r="PIX97" s="1675" t="s">
        <v>856</v>
      </c>
      <c r="PIY97" s="1675" t="s">
        <v>856</v>
      </c>
      <c r="PIZ97" s="1675" t="s">
        <v>856</v>
      </c>
      <c r="PJA97" s="1675" t="s">
        <v>856</v>
      </c>
      <c r="PJB97" s="1675" t="s">
        <v>856</v>
      </c>
      <c r="PJC97" s="1675" t="s">
        <v>856</v>
      </c>
      <c r="PJD97" s="1675" t="s">
        <v>856</v>
      </c>
      <c r="PJE97" s="1675" t="s">
        <v>856</v>
      </c>
      <c r="PJF97" s="1675" t="s">
        <v>856</v>
      </c>
      <c r="PJG97" s="1675" t="s">
        <v>856</v>
      </c>
      <c r="PJH97" s="1675" t="s">
        <v>856</v>
      </c>
      <c r="PJI97" s="1675" t="s">
        <v>856</v>
      </c>
      <c r="PJJ97" s="1675" t="s">
        <v>856</v>
      </c>
      <c r="PJK97" s="1675" t="s">
        <v>856</v>
      </c>
      <c r="PJL97" s="1675" t="s">
        <v>856</v>
      </c>
      <c r="PJM97" s="1675" t="s">
        <v>856</v>
      </c>
      <c r="PJN97" s="1675" t="s">
        <v>856</v>
      </c>
      <c r="PJO97" s="1675" t="s">
        <v>856</v>
      </c>
      <c r="PJP97" s="1675" t="s">
        <v>856</v>
      </c>
      <c r="PJQ97" s="1675" t="s">
        <v>856</v>
      </c>
      <c r="PJR97" s="1675" t="s">
        <v>856</v>
      </c>
      <c r="PJS97" s="1675" t="s">
        <v>856</v>
      </c>
      <c r="PJT97" s="1675" t="s">
        <v>856</v>
      </c>
      <c r="PJU97" s="1675" t="s">
        <v>856</v>
      </c>
      <c r="PJV97" s="1675" t="s">
        <v>856</v>
      </c>
      <c r="PJW97" s="1675" t="s">
        <v>856</v>
      </c>
      <c r="PJX97" s="1675" t="s">
        <v>856</v>
      </c>
      <c r="PJY97" s="1675" t="s">
        <v>856</v>
      </c>
      <c r="PJZ97" s="1675" t="s">
        <v>856</v>
      </c>
      <c r="PKA97" s="1675" t="s">
        <v>856</v>
      </c>
      <c r="PKB97" s="1675" t="s">
        <v>856</v>
      </c>
      <c r="PKC97" s="1675" t="s">
        <v>856</v>
      </c>
      <c r="PKD97" s="1675" t="s">
        <v>856</v>
      </c>
      <c r="PKE97" s="1675" t="s">
        <v>856</v>
      </c>
      <c r="PKF97" s="1675" t="s">
        <v>856</v>
      </c>
      <c r="PKG97" s="1675" t="s">
        <v>856</v>
      </c>
      <c r="PKH97" s="1675" t="s">
        <v>856</v>
      </c>
      <c r="PKI97" s="1675" t="s">
        <v>856</v>
      </c>
      <c r="PKJ97" s="1675" t="s">
        <v>856</v>
      </c>
      <c r="PKK97" s="1675" t="s">
        <v>856</v>
      </c>
      <c r="PKL97" s="1675" t="s">
        <v>856</v>
      </c>
      <c r="PKM97" s="1675" t="s">
        <v>856</v>
      </c>
      <c r="PKN97" s="1675" t="s">
        <v>856</v>
      </c>
      <c r="PKO97" s="1675" t="s">
        <v>856</v>
      </c>
      <c r="PKP97" s="1675" t="s">
        <v>856</v>
      </c>
      <c r="PKQ97" s="1675" t="s">
        <v>856</v>
      </c>
      <c r="PKR97" s="1675" t="s">
        <v>856</v>
      </c>
      <c r="PKS97" s="1675" t="s">
        <v>856</v>
      </c>
      <c r="PKT97" s="1675" t="s">
        <v>856</v>
      </c>
      <c r="PKU97" s="1675" t="s">
        <v>856</v>
      </c>
      <c r="PKV97" s="1675" t="s">
        <v>856</v>
      </c>
      <c r="PKW97" s="1675" t="s">
        <v>856</v>
      </c>
      <c r="PKX97" s="1675" t="s">
        <v>856</v>
      </c>
      <c r="PKY97" s="1675" t="s">
        <v>856</v>
      </c>
      <c r="PKZ97" s="1675" t="s">
        <v>856</v>
      </c>
      <c r="PLA97" s="1675" t="s">
        <v>856</v>
      </c>
      <c r="PLB97" s="1675" t="s">
        <v>856</v>
      </c>
      <c r="PLC97" s="1675" t="s">
        <v>856</v>
      </c>
      <c r="PLD97" s="1675" t="s">
        <v>856</v>
      </c>
      <c r="PLE97" s="1675" t="s">
        <v>856</v>
      </c>
      <c r="PLF97" s="1675" t="s">
        <v>856</v>
      </c>
      <c r="PLG97" s="1675" t="s">
        <v>856</v>
      </c>
      <c r="PLH97" s="1675" t="s">
        <v>856</v>
      </c>
      <c r="PLI97" s="1675" t="s">
        <v>856</v>
      </c>
      <c r="PLJ97" s="1675" t="s">
        <v>856</v>
      </c>
      <c r="PLK97" s="1675" t="s">
        <v>856</v>
      </c>
      <c r="PLL97" s="1675" t="s">
        <v>856</v>
      </c>
      <c r="PLM97" s="1675" t="s">
        <v>856</v>
      </c>
      <c r="PLN97" s="1675" t="s">
        <v>856</v>
      </c>
      <c r="PLO97" s="1675" t="s">
        <v>856</v>
      </c>
      <c r="PLP97" s="1675" t="s">
        <v>856</v>
      </c>
      <c r="PLQ97" s="1675" t="s">
        <v>856</v>
      </c>
      <c r="PLR97" s="1675" t="s">
        <v>856</v>
      </c>
      <c r="PLS97" s="1675" t="s">
        <v>856</v>
      </c>
      <c r="PLT97" s="1675" t="s">
        <v>856</v>
      </c>
      <c r="PLU97" s="1675" t="s">
        <v>856</v>
      </c>
      <c r="PLV97" s="1675" t="s">
        <v>856</v>
      </c>
      <c r="PLW97" s="1675" t="s">
        <v>856</v>
      </c>
      <c r="PLX97" s="1675" t="s">
        <v>856</v>
      </c>
      <c r="PLY97" s="1675" t="s">
        <v>856</v>
      </c>
      <c r="PLZ97" s="1675" t="s">
        <v>856</v>
      </c>
      <c r="PMA97" s="1675" t="s">
        <v>856</v>
      </c>
      <c r="PMB97" s="1675" t="s">
        <v>856</v>
      </c>
      <c r="PMC97" s="1675" t="s">
        <v>856</v>
      </c>
      <c r="PMD97" s="1675" t="s">
        <v>856</v>
      </c>
      <c r="PME97" s="1675" t="s">
        <v>856</v>
      </c>
      <c r="PMF97" s="1675" t="s">
        <v>856</v>
      </c>
      <c r="PMG97" s="1675" t="s">
        <v>856</v>
      </c>
      <c r="PMH97" s="1675" t="s">
        <v>856</v>
      </c>
      <c r="PMI97" s="1675" t="s">
        <v>856</v>
      </c>
      <c r="PMJ97" s="1675" t="s">
        <v>856</v>
      </c>
      <c r="PMK97" s="1675" t="s">
        <v>856</v>
      </c>
      <c r="PML97" s="1675" t="s">
        <v>856</v>
      </c>
      <c r="PMM97" s="1675" t="s">
        <v>856</v>
      </c>
      <c r="PMN97" s="1675" t="s">
        <v>856</v>
      </c>
      <c r="PMO97" s="1675" t="s">
        <v>856</v>
      </c>
      <c r="PMP97" s="1675" t="s">
        <v>856</v>
      </c>
      <c r="PMQ97" s="1675" t="s">
        <v>856</v>
      </c>
      <c r="PMR97" s="1675" t="s">
        <v>856</v>
      </c>
      <c r="PMS97" s="1675" t="s">
        <v>856</v>
      </c>
      <c r="PMT97" s="1675" t="s">
        <v>856</v>
      </c>
      <c r="PMU97" s="1675" t="s">
        <v>856</v>
      </c>
      <c r="PMV97" s="1675" t="s">
        <v>856</v>
      </c>
      <c r="PMW97" s="1675" t="s">
        <v>856</v>
      </c>
      <c r="PMX97" s="1675" t="s">
        <v>856</v>
      </c>
      <c r="PMY97" s="1675" t="s">
        <v>856</v>
      </c>
      <c r="PMZ97" s="1675" t="s">
        <v>856</v>
      </c>
      <c r="PNA97" s="1675" t="s">
        <v>856</v>
      </c>
      <c r="PNB97" s="1675" t="s">
        <v>856</v>
      </c>
      <c r="PNC97" s="1675" t="s">
        <v>856</v>
      </c>
      <c r="PND97" s="1675" t="s">
        <v>856</v>
      </c>
      <c r="PNE97" s="1675" t="s">
        <v>856</v>
      </c>
      <c r="PNF97" s="1675" t="s">
        <v>856</v>
      </c>
      <c r="PNG97" s="1675" t="s">
        <v>856</v>
      </c>
      <c r="PNH97" s="1675" t="s">
        <v>856</v>
      </c>
      <c r="PNI97" s="1675" t="s">
        <v>856</v>
      </c>
      <c r="PNJ97" s="1675" t="s">
        <v>856</v>
      </c>
      <c r="PNK97" s="1675" t="s">
        <v>856</v>
      </c>
      <c r="PNL97" s="1675" t="s">
        <v>856</v>
      </c>
      <c r="PNM97" s="1675" t="s">
        <v>856</v>
      </c>
      <c r="PNN97" s="1675" t="s">
        <v>856</v>
      </c>
      <c r="PNO97" s="1675" t="s">
        <v>856</v>
      </c>
      <c r="PNP97" s="1675" t="s">
        <v>856</v>
      </c>
      <c r="PNQ97" s="1675" t="s">
        <v>856</v>
      </c>
      <c r="PNR97" s="1675" t="s">
        <v>856</v>
      </c>
      <c r="PNS97" s="1675" t="s">
        <v>856</v>
      </c>
      <c r="PNT97" s="1675" t="s">
        <v>856</v>
      </c>
      <c r="PNU97" s="1675" t="s">
        <v>856</v>
      </c>
      <c r="PNV97" s="1675" t="s">
        <v>856</v>
      </c>
      <c r="PNW97" s="1675" t="s">
        <v>856</v>
      </c>
      <c r="PNX97" s="1675" t="s">
        <v>856</v>
      </c>
      <c r="PNY97" s="1675" t="s">
        <v>856</v>
      </c>
      <c r="PNZ97" s="1675" t="s">
        <v>856</v>
      </c>
      <c r="POA97" s="1675" t="s">
        <v>856</v>
      </c>
      <c r="POB97" s="1675" t="s">
        <v>856</v>
      </c>
      <c r="POC97" s="1675" t="s">
        <v>856</v>
      </c>
      <c r="POD97" s="1675" t="s">
        <v>856</v>
      </c>
      <c r="POE97" s="1675" t="s">
        <v>856</v>
      </c>
      <c r="POF97" s="1675" t="s">
        <v>856</v>
      </c>
      <c r="POG97" s="1675" t="s">
        <v>856</v>
      </c>
      <c r="POH97" s="1675" t="s">
        <v>856</v>
      </c>
      <c r="POI97" s="1675" t="s">
        <v>856</v>
      </c>
      <c r="POJ97" s="1675" t="s">
        <v>856</v>
      </c>
      <c r="POK97" s="1675" t="s">
        <v>856</v>
      </c>
      <c r="POL97" s="1675" t="s">
        <v>856</v>
      </c>
      <c r="POM97" s="1675" t="s">
        <v>856</v>
      </c>
      <c r="PON97" s="1675" t="s">
        <v>856</v>
      </c>
      <c r="POO97" s="1675" t="s">
        <v>856</v>
      </c>
      <c r="POP97" s="1675" t="s">
        <v>856</v>
      </c>
      <c r="POQ97" s="1675" t="s">
        <v>856</v>
      </c>
      <c r="POR97" s="1675" t="s">
        <v>856</v>
      </c>
      <c r="POS97" s="1675" t="s">
        <v>856</v>
      </c>
      <c r="POT97" s="1675" t="s">
        <v>856</v>
      </c>
      <c r="POU97" s="1675" t="s">
        <v>856</v>
      </c>
      <c r="POV97" s="1675" t="s">
        <v>856</v>
      </c>
      <c r="POW97" s="1675" t="s">
        <v>856</v>
      </c>
      <c r="POX97" s="1675" t="s">
        <v>856</v>
      </c>
      <c r="POY97" s="1675" t="s">
        <v>856</v>
      </c>
      <c r="POZ97" s="1675" t="s">
        <v>856</v>
      </c>
      <c r="PPA97" s="1675" t="s">
        <v>856</v>
      </c>
      <c r="PPB97" s="1675" t="s">
        <v>856</v>
      </c>
      <c r="PPC97" s="1675" t="s">
        <v>856</v>
      </c>
      <c r="PPD97" s="1675" t="s">
        <v>856</v>
      </c>
      <c r="PPE97" s="1675" t="s">
        <v>856</v>
      </c>
      <c r="PPF97" s="1675" t="s">
        <v>856</v>
      </c>
      <c r="PPG97" s="1675" t="s">
        <v>856</v>
      </c>
      <c r="PPH97" s="1675" t="s">
        <v>856</v>
      </c>
      <c r="PPI97" s="1675" t="s">
        <v>856</v>
      </c>
      <c r="PPJ97" s="1675" t="s">
        <v>856</v>
      </c>
      <c r="PPK97" s="1675" t="s">
        <v>856</v>
      </c>
      <c r="PPL97" s="1675" t="s">
        <v>856</v>
      </c>
      <c r="PPM97" s="1675" t="s">
        <v>856</v>
      </c>
      <c r="PPN97" s="1675" t="s">
        <v>856</v>
      </c>
      <c r="PPO97" s="1675" t="s">
        <v>856</v>
      </c>
      <c r="PPP97" s="1675" t="s">
        <v>856</v>
      </c>
      <c r="PPQ97" s="1675" t="s">
        <v>856</v>
      </c>
      <c r="PPR97" s="1675" t="s">
        <v>856</v>
      </c>
      <c r="PPS97" s="1675" t="s">
        <v>856</v>
      </c>
      <c r="PPT97" s="1675" t="s">
        <v>856</v>
      </c>
      <c r="PPU97" s="1675" t="s">
        <v>856</v>
      </c>
      <c r="PPV97" s="1675" t="s">
        <v>856</v>
      </c>
      <c r="PPW97" s="1675" t="s">
        <v>856</v>
      </c>
      <c r="PPX97" s="1675" t="s">
        <v>856</v>
      </c>
      <c r="PPY97" s="1675" t="s">
        <v>856</v>
      </c>
      <c r="PPZ97" s="1675" t="s">
        <v>856</v>
      </c>
      <c r="PQA97" s="1675" t="s">
        <v>856</v>
      </c>
      <c r="PQB97" s="1675" t="s">
        <v>856</v>
      </c>
      <c r="PQC97" s="1675" t="s">
        <v>856</v>
      </c>
      <c r="PQD97" s="1675" t="s">
        <v>856</v>
      </c>
      <c r="PQE97" s="1675" t="s">
        <v>856</v>
      </c>
      <c r="PQF97" s="1675" t="s">
        <v>856</v>
      </c>
      <c r="PQG97" s="1675" t="s">
        <v>856</v>
      </c>
      <c r="PQH97" s="1675" t="s">
        <v>856</v>
      </c>
      <c r="PQI97" s="1675" t="s">
        <v>856</v>
      </c>
      <c r="PQJ97" s="1675" t="s">
        <v>856</v>
      </c>
      <c r="PQK97" s="1675" t="s">
        <v>856</v>
      </c>
      <c r="PQL97" s="1675" t="s">
        <v>856</v>
      </c>
      <c r="PQM97" s="1675" t="s">
        <v>856</v>
      </c>
      <c r="PQN97" s="1675" t="s">
        <v>856</v>
      </c>
      <c r="PQO97" s="1675" t="s">
        <v>856</v>
      </c>
      <c r="PQP97" s="1675" t="s">
        <v>856</v>
      </c>
      <c r="PQQ97" s="1675" t="s">
        <v>856</v>
      </c>
      <c r="PQR97" s="1675" t="s">
        <v>856</v>
      </c>
      <c r="PQS97" s="1675" t="s">
        <v>856</v>
      </c>
      <c r="PQT97" s="1675" t="s">
        <v>856</v>
      </c>
      <c r="PQU97" s="1675" t="s">
        <v>856</v>
      </c>
      <c r="PQV97" s="1675" t="s">
        <v>856</v>
      </c>
      <c r="PQW97" s="1675" t="s">
        <v>856</v>
      </c>
      <c r="PQX97" s="1675" t="s">
        <v>856</v>
      </c>
      <c r="PQY97" s="1675" t="s">
        <v>856</v>
      </c>
      <c r="PQZ97" s="1675" t="s">
        <v>856</v>
      </c>
      <c r="PRA97" s="1675" t="s">
        <v>856</v>
      </c>
      <c r="PRB97" s="1675" t="s">
        <v>856</v>
      </c>
      <c r="PRC97" s="1675" t="s">
        <v>856</v>
      </c>
      <c r="PRD97" s="1675" t="s">
        <v>856</v>
      </c>
      <c r="PRE97" s="1675" t="s">
        <v>856</v>
      </c>
      <c r="PRF97" s="1675" t="s">
        <v>856</v>
      </c>
      <c r="PRG97" s="1675" t="s">
        <v>856</v>
      </c>
      <c r="PRH97" s="1675" t="s">
        <v>856</v>
      </c>
      <c r="PRI97" s="1675" t="s">
        <v>856</v>
      </c>
      <c r="PRJ97" s="1675" t="s">
        <v>856</v>
      </c>
      <c r="PRK97" s="1675" t="s">
        <v>856</v>
      </c>
      <c r="PRL97" s="1675" t="s">
        <v>856</v>
      </c>
      <c r="PRM97" s="1675" t="s">
        <v>856</v>
      </c>
      <c r="PRN97" s="1675" t="s">
        <v>856</v>
      </c>
      <c r="PRO97" s="1675" t="s">
        <v>856</v>
      </c>
      <c r="PRP97" s="1675" t="s">
        <v>856</v>
      </c>
      <c r="PRQ97" s="1675" t="s">
        <v>856</v>
      </c>
      <c r="PRR97" s="1675" t="s">
        <v>856</v>
      </c>
      <c r="PRS97" s="1675" t="s">
        <v>856</v>
      </c>
      <c r="PRT97" s="1675" t="s">
        <v>856</v>
      </c>
      <c r="PRU97" s="1675" t="s">
        <v>856</v>
      </c>
      <c r="PRV97" s="1675" t="s">
        <v>856</v>
      </c>
      <c r="PRW97" s="1675" t="s">
        <v>856</v>
      </c>
      <c r="PRX97" s="1675" t="s">
        <v>856</v>
      </c>
      <c r="PRY97" s="1675" t="s">
        <v>856</v>
      </c>
      <c r="PRZ97" s="1675" t="s">
        <v>856</v>
      </c>
      <c r="PSA97" s="1675" t="s">
        <v>856</v>
      </c>
      <c r="PSB97" s="1675" t="s">
        <v>856</v>
      </c>
      <c r="PSC97" s="1675" t="s">
        <v>856</v>
      </c>
      <c r="PSD97" s="1675" t="s">
        <v>856</v>
      </c>
      <c r="PSE97" s="1675" t="s">
        <v>856</v>
      </c>
      <c r="PSF97" s="1675" t="s">
        <v>856</v>
      </c>
      <c r="PSG97" s="1675" t="s">
        <v>856</v>
      </c>
      <c r="PSH97" s="1675" t="s">
        <v>856</v>
      </c>
      <c r="PSI97" s="1675" t="s">
        <v>856</v>
      </c>
      <c r="PSJ97" s="1675" t="s">
        <v>856</v>
      </c>
      <c r="PSK97" s="1675" t="s">
        <v>856</v>
      </c>
      <c r="PSL97" s="1675" t="s">
        <v>856</v>
      </c>
      <c r="PSM97" s="1675" t="s">
        <v>856</v>
      </c>
      <c r="PSN97" s="1675" t="s">
        <v>856</v>
      </c>
      <c r="PSO97" s="1675" t="s">
        <v>856</v>
      </c>
      <c r="PSP97" s="1675" t="s">
        <v>856</v>
      </c>
      <c r="PSQ97" s="1675" t="s">
        <v>856</v>
      </c>
      <c r="PSR97" s="1675" t="s">
        <v>856</v>
      </c>
      <c r="PSS97" s="1675" t="s">
        <v>856</v>
      </c>
      <c r="PST97" s="1675" t="s">
        <v>856</v>
      </c>
      <c r="PSU97" s="1675" t="s">
        <v>856</v>
      </c>
      <c r="PSV97" s="1675" t="s">
        <v>856</v>
      </c>
      <c r="PSW97" s="1675" t="s">
        <v>856</v>
      </c>
      <c r="PSX97" s="1675" t="s">
        <v>856</v>
      </c>
      <c r="PSY97" s="1675" t="s">
        <v>856</v>
      </c>
      <c r="PSZ97" s="1675" t="s">
        <v>856</v>
      </c>
      <c r="PTA97" s="1675" t="s">
        <v>856</v>
      </c>
      <c r="PTB97" s="1675" t="s">
        <v>856</v>
      </c>
      <c r="PTC97" s="1675" t="s">
        <v>856</v>
      </c>
      <c r="PTD97" s="1675" t="s">
        <v>856</v>
      </c>
      <c r="PTE97" s="1675" t="s">
        <v>856</v>
      </c>
      <c r="PTF97" s="1675" t="s">
        <v>856</v>
      </c>
      <c r="PTG97" s="1675" t="s">
        <v>856</v>
      </c>
      <c r="PTH97" s="1675" t="s">
        <v>856</v>
      </c>
      <c r="PTI97" s="1675" t="s">
        <v>856</v>
      </c>
      <c r="PTJ97" s="1675" t="s">
        <v>856</v>
      </c>
      <c r="PTK97" s="1675" t="s">
        <v>856</v>
      </c>
      <c r="PTL97" s="1675" t="s">
        <v>856</v>
      </c>
      <c r="PTM97" s="1675" t="s">
        <v>856</v>
      </c>
      <c r="PTN97" s="1675" t="s">
        <v>856</v>
      </c>
      <c r="PTO97" s="1675" t="s">
        <v>856</v>
      </c>
      <c r="PTP97" s="1675" t="s">
        <v>856</v>
      </c>
      <c r="PTQ97" s="1675" t="s">
        <v>856</v>
      </c>
      <c r="PTR97" s="1675" t="s">
        <v>856</v>
      </c>
      <c r="PTS97" s="1675" t="s">
        <v>856</v>
      </c>
      <c r="PTT97" s="1675" t="s">
        <v>856</v>
      </c>
      <c r="PTU97" s="1675" t="s">
        <v>856</v>
      </c>
      <c r="PTV97" s="1675" t="s">
        <v>856</v>
      </c>
      <c r="PTW97" s="1675" t="s">
        <v>856</v>
      </c>
      <c r="PTX97" s="1675" t="s">
        <v>856</v>
      </c>
      <c r="PTY97" s="1675" t="s">
        <v>856</v>
      </c>
      <c r="PTZ97" s="1675" t="s">
        <v>856</v>
      </c>
      <c r="PUA97" s="1675" t="s">
        <v>856</v>
      </c>
      <c r="PUB97" s="1675" t="s">
        <v>856</v>
      </c>
      <c r="PUC97" s="1675" t="s">
        <v>856</v>
      </c>
      <c r="PUD97" s="1675" t="s">
        <v>856</v>
      </c>
      <c r="PUE97" s="1675" t="s">
        <v>856</v>
      </c>
      <c r="PUF97" s="1675" t="s">
        <v>856</v>
      </c>
      <c r="PUG97" s="1675" t="s">
        <v>856</v>
      </c>
      <c r="PUH97" s="1675" t="s">
        <v>856</v>
      </c>
      <c r="PUI97" s="1675" t="s">
        <v>856</v>
      </c>
      <c r="PUJ97" s="1675" t="s">
        <v>856</v>
      </c>
      <c r="PUK97" s="1675" t="s">
        <v>856</v>
      </c>
      <c r="PUL97" s="1675" t="s">
        <v>856</v>
      </c>
      <c r="PUM97" s="1675" t="s">
        <v>856</v>
      </c>
      <c r="PUN97" s="1675" t="s">
        <v>856</v>
      </c>
      <c r="PUO97" s="1675" t="s">
        <v>856</v>
      </c>
      <c r="PUP97" s="1675" t="s">
        <v>856</v>
      </c>
      <c r="PUQ97" s="1675" t="s">
        <v>856</v>
      </c>
      <c r="PUR97" s="1675" t="s">
        <v>856</v>
      </c>
      <c r="PUS97" s="1675" t="s">
        <v>856</v>
      </c>
      <c r="PUT97" s="1675" t="s">
        <v>856</v>
      </c>
      <c r="PUU97" s="1675" t="s">
        <v>856</v>
      </c>
      <c r="PUV97" s="1675" t="s">
        <v>856</v>
      </c>
      <c r="PUW97" s="1675" t="s">
        <v>856</v>
      </c>
      <c r="PUX97" s="1675" t="s">
        <v>856</v>
      </c>
      <c r="PUY97" s="1675" t="s">
        <v>856</v>
      </c>
      <c r="PUZ97" s="1675" t="s">
        <v>856</v>
      </c>
      <c r="PVA97" s="1675" t="s">
        <v>856</v>
      </c>
      <c r="PVB97" s="1675" t="s">
        <v>856</v>
      </c>
      <c r="PVC97" s="1675" t="s">
        <v>856</v>
      </c>
      <c r="PVD97" s="1675" t="s">
        <v>856</v>
      </c>
      <c r="PVE97" s="1675" t="s">
        <v>856</v>
      </c>
      <c r="PVF97" s="1675" t="s">
        <v>856</v>
      </c>
      <c r="PVG97" s="1675" t="s">
        <v>856</v>
      </c>
      <c r="PVH97" s="1675" t="s">
        <v>856</v>
      </c>
      <c r="PVI97" s="1675" t="s">
        <v>856</v>
      </c>
      <c r="PVJ97" s="1675" t="s">
        <v>856</v>
      </c>
      <c r="PVK97" s="1675" t="s">
        <v>856</v>
      </c>
      <c r="PVL97" s="1675" t="s">
        <v>856</v>
      </c>
      <c r="PVM97" s="1675" t="s">
        <v>856</v>
      </c>
      <c r="PVN97" s="1675" t="s">
        <v>856</v>
      </c>
      <c r="PVO97" s="1675" t="s">
        <v>856</v>
      </c>
      <c r="PVP97" s="1675" t="s">
        <v>856</v>
      </c>
      <c r="PVQ97" s="1675" t="s">
        <v>856</v>
      </c>
      <c r="PVR97" s="1675" t="s">
        <v>856</v>
      </c>
      <c r="PVS97" s="1675" t="s">
        <v>856</v>
      </c>
      <c r="PVT97" s="1675" t="s">
        <v>856</v>
      </c>
      <c r="PVU97" s="1675" t="s">
        <v>856</v>
      </c>
      <c r="PVV97" s="1675" t="s">
        <v>856</v>
      </c>
      <c r="PVW97" s="1675" t="s">
        <v>856</v>
      </c>
      <c r="PVX97" s="1675" t="s">
        <v>856</v>
      </c>
      <c r="PVY97" s="1675" t="s">
        <v>856</v>
      </c>
      <c r="PVZ97" s="1675" t="s">
        <v>856</v>
      </c>
      <c r="PWA97" s="1675" t="s">
        <v>856</v>
      </c>
      <c r="PWB97" s="1675" t="s">
        <v>856</v>
      </c>
      <c r="PWC97" s="1675" t="s">
        <v>856</v>
      </c>
      <c r="PWD97" s="1675" t="s">
        <v>856</v>
      </c>
      <c r="PWE97" s="1675" t="s">
        <v>856</v>
      </c>
      <c r="PWF97" s="1675" t="s">
        <v>856</v>
      </c>
      <c r="PWG97" s="1675" t="s">
        <v>856</v>
      </c>
      <c r="PWH97" s="1675" t="s">
        <v>856</v>
      </c>
      <c r="PWI97" s="1675" t="s">
        <v>856</v>
      </c>
      <c r="PWJ97" s="1675" t="s">
        <v>856</v>
      </c>
      <c r="PWK97" s="1675" t="s">
        <v>856</v>
      </c>
      <c r="PWL97" s="1675" t="s">
        <v>856</v>
      </c>
      <c r="PWM97" s="1675" t="s">
        <v>856</v>
      </c>
      <c r="PWN97" s="1675" t="s">
        <v>856</v>
      </c>
      <c r="PWO97" s="1675" t="s">
        <v>856</v>
      </c>
      <c r="PWP97" s="1675" t="s">
        <v>856</v>
      </c>
      <c r="PWQ97" s="1675" t="s">
        <v>856</v>
      </c>
      <c r="PWR97" s="1675" t="s">
        <v>856</v>
      </c>
      <c r="PWS97" s="1675" t="s">
        <v>856</v>
      </c>
      <c r="PWT97" s="1675" t="s">
        <v>856</v>
      </c>
      <c r="PWU97" s="1675" t="s">
        <v>856</v>
      </c>
      <c r="PWV97" s="1675" t="s">
        <v>856</v>
      </c>
      <c r="PWW97" s="1675" t="s">
        <v>856</v>
      </c>
      <c r="PWX97" s="1675" t="s">
        <v>856</v>
      </c>
      <c r="PWY97" s="1675" t="s">
        <v>856</v>
      </c>
      <c r="PWZ97" s="1675" t="s">
        <v>856</v>
      </c>
      <c r="PXA97" s="1675" t="s">
        <v>856</v>
      </c>
      <c r="PXB97" s="1675" t="s">
        <v>856</v>
      </c>
      <c r="PXC97" s="1675" t="s">
        <v>856</v>
      </c>
      <c r="PXD97" s="1675" t="s">
        <v>856</v>
      </c>
      <c r="PXE97" s="1675" t="s">
        <v>856</v>
      </c>
      <c r="PXF97" s="1675" t="s">
        <v>856</v>
      </c>
      <c r="PXG97" s="1675" t="s">
        <v>856</v>
      </c>
      <c r="PXH97" s="1675" t="s">
        <v>856</v>
      </c>
      <c r="PXI97" s="1675" t="s">
        <v>856</v>
      </c>
      <c r="PXJ97" s="1675" t="s">
        <v>856</v>
      </c>
      <c r="PXK97" s="1675" t="s">
        <v>856</v>
      </c>
      <c r="PXL97" s="1675" t="s">
        <v>856</v>
      </c>
      <c r="PXM97" s="1675" t="s">
        <v>856</v>
      </c>
      <c r="PXN97" s="1675" t="s">
        <v>856</v>
      </c>
      <c r="PXO97" s="1675" t="s">
        <v>856</v>
      </c>
      <c r="PXP97" s="1675" t="s">
        <v>856</v>
      </c>
      <c r="PXQ97" s="1675" t="s">
        <v>856</v>
      </c>
      <c r="PXR97" s="1675" t="s">
        <v>856</v>
      </c>
      <c r="PXS97" s="1675" t="s">
        <v>856</v>
      </c>
      <c r="PXT97" s="1675" t="s">
        <v>856</v>
      </c>
      <c r="PXU97" s="1675" t="s">
        <v>856</v>
      </c>
      <c r="PXV97" s="1675" t="s">
        <v>856</v>
      </c>
      <c r="PXW97" s="1675" t="s">
        <v>856</v>
      </c>
      <c r="PXX97" s="1675" t="s">
        <v>856</v>
      </c>
      <c r="PXY97" s="1675" t="s">
        <v>856</v>
      </c>
      <c r="PXZ97" s="1675" t="s">
        <v>856</v>
      </c>
      <c r="PYA97" s="1675" t="s">
        <v>856</v>
      </c>
      <c r="PYB97" s="1675" t="s">
        <v>856</v>
      </c>
      <c r="PYC97" s="1675" t="s">
        <v>856</v>
      </c>
      <c r="PYD97" s="1675" t="s">
        <v>856</v>
      </c>
      <c r="PYE97" s="1675" t="s">
        <v>856</v>
      </c>
      <c r="PYF97" s="1675" t="s">
        <v>856</v>
      </c>
      <c r="PYG97" s="1675" t="s">
        <v>856</v>
      </c>
      <c r="PYH97" s="1675" t="s">
        <v>856</v>
      </c>
      <c r="PYI97" s="1675" t="s">
        <v>856</v>
      </c>
      <c r="PYJ97" s="1675" t="s">
        <v>856</v>
      </c>
      <c r="PYK97" s="1675" t="s">
        <v>856</v>
      </c>
      <c r="PYL97" s="1675" t="s">
        <v>856</v>
      </c>
      <c r="PYM97" s="1675" t="s">
        <v>856</v>
      </c>
      <c r="PYN97" s="1675" t="s">
        <v>856</v>
      </c>
      <c r="PYO97" s="1675" t="s">
        <v>856</v>
      </c>
      <c r="PYP97" s="1675" t="s">
        <v>856</v>
      </c>
      <c r="PYQ97" s="1675" t="s">
        <v>856</v>
      </c>
      <c r="PYR97" s="1675" t="s">
        <v>856</v>
      </c>
      <c r="PYS97" s="1675" t="s">
        <v>856</v>
      </c>
      <c r="PYT97" s="1675" t="s">
        <v>856</v>
      </c>
      <c r="PYU97" s="1675" t="s">
        <v>856</v>
      </c>
      <c r="PYV97" s="1675" t="s">
        <v>856</v>
      </c>
      <c r="PYW97" s="1675" t="s">
        <v>856</v>
      </c>
      <c r="PYX97" s="1675" t="s">
        <v>856</v>
      </c>
      <c r="PYY97" s="1675" t="s">
        <v>856</v>
      </c>
      <c r="PYZ97" s="1675" t="s">
        <v>856</v>
      </c>
      <c r="PZA97" s="1675" t="s">
        <v>856</v>
      </c>
      <c r="PZB97" s="1675" t="s">
        <v>856</v>
      </c>
      <c r="PZC97" s="1675" t="s">
        <v>856</v>
      </c>
      <c r="PZD97" s="1675" t="s">
        <v>856</v>
      </c>
      <c r="PZE97" s="1675" t="s">
        <v>856</v>
      </c>
      <c r="PZF97" s="1675" t="s">
        <v>856</v>
      </c>
      <c r="PZG97" s="1675" t="s">
        <v>856</v>
      </c>
      <c r="PZH97" s="1675" t="s">
        <v>856</v>
      </c>
      <c r="PZI97" s="1675" t="s">
        <v>856</v>
      </c>
      <c r="PZJ97" s="1675" t="s">
        <v>856</v>
      </c>
      <c r="PZK97" s="1675" t="s">
        <v>856</v>
      </c>
      <c r="PZL97" s="1675" t="s">
        <v>856</v>
      </c>
      <c r="PZM97" s="1675" t="s">
        <v>856</v>
      </c>
      <c r="PZN97" s="1675" t="s">
        <v>856</v>
      </c>
      <c r="PZO97" s="1675" t="s">
        <v>856</v>
      </c>
      <c r="PZP97" s="1675" t="s">
        <v>856</v>
      </c>
      <c r="PZQ97" s="1675" t="s">
        <v>856</v>
      </c>
      <c r="PZR97" s="1675" t="s">
        <v>856</v>
      </c>
      <c r="PZS97" s="1675" t="s">
        <v>856</v>
      </c>
      <c r="PZT97" s="1675" t="s">
        <v>856</v>
      </c>
      <c r="PZU97" s="1675" t="s">
        <v>856</v>
      </c>
      <c r="PZV97" s="1675" t="s">
        <v>856</v>
      </c>
      <c r="PZW97" s="1675" t="s">
        <v>856</v>
      </c>
      <c r="PZX97" s="1675" t="s">
        <v>856</v>
      </c>
      <c r="PZY97" s="1675" t="s">
        <v>856</v>
      </c>
      <c r="PZZ97" s="1675" t="s">
        <v>856</v>
      </c>
      <c r="QAA97" s="1675" t="s">
        <v>856</v>
      </c>
      <c r="QAB97" s="1675" t="s">
        <v>856</v>
      </c>
      <c r="QAC97" s="1675" t="s">
        <v>856</v>
      </c>
      <c r="QAD97" s="1675" t="s">
        <v>856</v>
      </c>
      <c r="QAE97" s="1675" t="s">
        <v>856</v>
      </c>
      <c r="QAF97" s="1675" t="s">
        <v>856</v>
      </c>
      <c r="QAG97" s="1675" t="s">
        <v>856</v>
      </c>
      <c r="QAH97" s="1675" t="s">
        <v>856</v>
      </c>
      <c r="QAI97" s="1675" t="s">
        <v>856</v>
      </c>
      <c r="QAJ97" s="1675" t="s">
        <v>856</v>
      </c>
      <c r="QAK97" s="1675" t="s">
        <v>856</v>
      </c>
      <c r="QAL97" s="1675" t="s">
        <v>856</v>
      </c>
      <c r="QAM97" s="1675" t="s">
        <v>856</v>
      </c>
      <c r="QAN97" s="1675" t="s">
        <v>856</v>
      </c>
      <c r="QAO97" s="1675" t="s">
        <v>856</v>
      </c>
      <c r="QAP97" s="1675" t="s">
        <v>856</v>
      </c>
      <c r="QAQ97" s="1675" t="s">
        <v>856</v>
      </c>
      <c r="QAR97" s="1675" t="s">
        <v>856</v>
      </c>
      <c r="QAS97" s="1675" t="s">
        <v>856</v>
      </c>
      <c r="QAT97" s="1675" t="s">
        <v>856</v>
      </c>
      <c r="QAU97" s="1675" t="s">
        <v>856</v>
      </c>
      <c r="QAV97" s="1675" t="s">
        <v>856</v>
      </c>
      <c r="QAW97" s="1675" t="s">
        <v>856</v>
      </c>
      <c r="QAX97" s="1675" t="s">
        <v>856</v>
      </c>
      <c r="QAY97" s="1675" t="s">
        <v>856</v>
      </c>
      <c r="QAZ97" s="1675" t="s">
        <v>856</v>
      </c>
      <c r="QBA97" s="1675" t="s">
        <v>856</v>
      </c>
      <c r="QBB97" s="1675" t="s">
        <v>856</v>
      </c>
      <c r="QBC97" s="1675" t="s">
        <v>856</v>
      </c>
      <c r="QBD97" s="1675" t="s">
        <v>856</v>
      </c>
      <c r="QBE97" s="1675" t="s">
        <v>856</v>
      </c>
      <c r="QBF97" s="1675" t="s">
        <v>856</v>
      </c>
      <c r="QBG97" s="1675" t="s">
        <v>856</v>
      </c>
      <c r="QBH97" s="1675" t="s">
        <v>856</v>
      </c>
      <c r="QBI97" s="1675" t="s">
        <v>856</v>
      </c>
      <c r="QBJ97" s="1675" t="s">
        <v>856</v>
      </c>
      <c r="QBK97" s="1675" t="s">
        <v>856</v>
      </c>
      <c r="QBL97" s="1675" t="s">
        <v>856</v>
      </c>
      <c r="QBM97" s="1675" t="s">
        <v>856</v>
      </c>
      <c r="QBN97" s="1675" t="s">
        <v>856</v>
      </c>
      <c r="QBO97" s="1675" t="s">
        <v>856</v>
      </c>
      <c r="QBP97" s="1675" t="s">
        <v>856</v>
      </c>
      <c r="QBQ97" s="1675" t="s">
        <v>856</v>
      </c>
      <c r="QBR97" s="1675" t="s">
        <v>856</v>
      </c>
      <c r="QBS97" s="1675" t="s">
        <v>856</v>
      </c>
      <c r="QBT97" s="1675" t="s">
        <v>856</v>
      </c>
      <c r="QBU97" s="1675" t="s">
        <v>856</v>
      </c>
      <c r="QBV97" s="1675" t="s">
        <v>856</v>
      </c>
      <c r="QBW97" s="1675" t="s">
        <v>856</v>
      </c>
      <c r="QBX97" s="1675" t="s">
        <v>856</v>
      </c>
      <c r="QBY97" s="1675" t="s">
        <v>856</v>
      </c>
      <c r="QBZ97" s="1675" t="s">
        <v>856</v>
      </c>
      <c r="QCA97" s="1675" t="s">
        <v>856</v>
      </c>
      <c r="QCB97" s="1675" t="s">
        <v>856</v>
      </c>
      <c r="QCC97" s="1675" t="s">
        <v>856</v>
      </c>
      <c r="QCD97" s="1675" t="s">
        <v>856</v>
      </c>
      <c r="QCE97" s="1675" t="s">
        <v>856</v>
      </c>
      <c r="QCF97" s="1675" t="s">
        <v>856</v>
      </c>
      <c r="QCG97" s="1675" t="s">
        <v>856</v>
      </c>
      <c r="QCH97" s="1675" t="s">
        <v>856</v>
      </c>
      <c r="QCI97" s="1675" t="s">
        <v>856</v>
      </c>
      <c r="QCJ97" s="1675" t="s">
        <v>856</v>
      </c>
      <c r="QCK97" s="1675" t="s">
        <v>856</v>
      </c>
      <c r="QCL97" s="1675" t="s">
        <v>856</v>
      </c>
      <c r="QCM97" s="1675" t="s">
        <v>856</v>
      </c>
      <c r="QCN97" s="1675" t="s">
        <v>856</v>
      </c>
      <c r="QCO97" s="1675" t="s">
        <v>856</v>
      </c>
      <c r="QCP97" s="1675" t="s">
        <v>856</v>
      </c>
      <c r="QCQ97" s="1675" t="s">
        <v>856</v>
      </c>
      <c r="QCR97" s="1675" t="s">
        <v>856</v>
      </c>
      <c r="QCS97" s="1675" t="s">
        <v>856</v>
      </c>
      <c r="QCT97" s="1675" t="s">
        <v>856</v>
      </c>
      <c r="QCU97" s="1675" t="s">
        <v>856</v>
      </c>
      <c r="QCV97" s="1675" t="s">
        <v>856</v>
      </c>
      <c r="QCW97" s="1675" t="s">
        <v>856</v>
      </c>
      <c r="QCX97" s="1675" t="s">
        <v>856</v>
      </c>
      <c r="QCY97" s="1675" t="s">
        <v>856</v>
      </c>
      <c r="QCZ97" s="1675" t="s">
        <v>856</v>
      </c>
      <c r="QDA97" s="1675" t="s">
        <v>856</v>
      </c>
      <c r="QDB97" s="1675" t="s">
        <v>856</v>
      </c>
      <c r="QDC97" s="1675" t="s">
        <v>856</v>
      </c>
      <c r="QDD97" s="1675" t="s">
        <v>856</v>
      </c>
      <c r="QDE97" s="1675" t="s">
        <v>856</v>
      </c>
      <c r="QDF97" s="1675" t="s">
        <v>856</v>
      </c>
      <c r="QDG97" s="1675" t="s">
        <v>856</v>
      </c>
      <c r="QDH97" s="1675" t="s">
        <v>856</v>
      </c>
      <c r="QDI97" s="1675" t="s">
        <v>856</v>
      </c>
      <c r="QDJ97" s="1675" t="s">
        <v>856</v>
      </c>
      <c r="QDK97" s="1675" t="s">
        <v>856</v>
      </c>
      <c r="QDL97" s="1675" t="s">
        <v>856</v>
      </c>
      <c r="QDM97" s="1675" t="s">
        <v>856</v>
      </c>
      <c r="QDN97" s="1675" t="s">
        <v>856</v>
      </c>
      <c r="QDO97" s="1675" t="s">
        <v>856</v>
      </c>
      <c r="QDP97" s="1675" t="s">
        <v>856</v>
      </c>
      <c r="QDQ97" s="1675" t="s">
        <v>856</v>
      </c>
      <c r="QDR97" s="1675" t="s">
        <v>856</v>
      </c>
      <c r="QDS97" s="1675" t="s">
        <v>856</v>
      </c>
      <c r="QDT97" s="1675" t="s">
        <v>856</v>
      </c>
      <c r="QDU97" s="1675" t="s">
        <v>856</v>
      </c>
      <c r="QDV97" s="1675" t="s">
        <v>856</v>
      </c>
      <c r="QDW97" s="1675" t="s">
        <v>856</v>
      </c>
      <c r="QDX97" s="1675" t="s">
        <v>856</v>
      </c>
      <c r="QDY97" s="1675" t="s">
        <v>856</v>
      </c>
      <c r="QDZ97" s="1675" t="s">
        <v>856</v>
      </c>
      <c r="QEA97" s="1675" t="s">
        <v>856</v>
      </c>
      <c r="QEB97" s="1675" t="s">
        <v>856</v>
      </c>
      <c r="QEC97" s="1675" t="s">
        <v>856</v>
      </c>
      <c r="QED97" s="1675" t="s">
        <v>856</v>
      </c>
      <c r="QEE97" s="1675" t="s">
        <v>856</v>
      </c>
      <c r="QEF97" s="1675" t="s">
        <v>856</v>
      </c>
      <c r="QEG97" s="1675" t="s">
        <v>856</v>
      </c>
      <c r="QEH97" s="1675" t="s">
        <v>856</v>
      </c>
      <c r="QEI97" s="1675" t="s">
        <v>856</v>
      </c>
      <c r="QEJ97" s="1675" t="s">
        <v>856</v>
      </c>
      <c r="QEK97" s="1675" t="s">
        <v>856</v>
      </c>
      <c r="QEL97" s="1675" t="s">
        <v>856</v>
      </c>
      <c r="QEM97" s="1675" t="s">
        <v>856</v>
      </c>
      <c r="QEN97" s="1675" t="s">
        <v>856</v>
      </c>
      <c r="QEO97" s="1675" t="s">
        <v>856</v>
      </c>
      <c r="QEP97" s="1675" t="s">
        <v>856</v>
      </c>
      <c r="QEQ97" s="1675" t="s">
        <v>856</v>
      </c>
      <c r="QER97" s="1675" t="s">
        <v>856</v>
      </c>
      <c r="QES97" s="1675" t="s">
        <v>856</v>
      </c>
      <c r="QET97" s="1675" t="s">
        <v>856</v>
      </c>
      <c r="QEU97" s="1675" t="s">
        <v>856</v>
      </c>
      <c r="QEV97" s="1675" t="s">
        <v>856</v>
      </c>
      <c r="QEW97" s="1675" t="s">
        <v>856</v>
      </c>
      <c r="QEX97" s="1675" t="s">
        <v>856</v>
      </c>
      <c r="QEY97" s="1675" t="s">
        <v>856</v>
      </c>
      <c r="QEZ97" s="1675" t="s">
        <v>856</v>
      </c>
      <c r="QFA97" s="1675" t="s">
        <v>856</v>
      </c>
      <c r="QFB97" s="1675" t="s">
        <v>856</v>
      </c>
      <c r="QFC97" s="1675" t="s">
        <v>856</v>
      </c>
      <c r="QFD97" s="1675" t="s">
        <v>856</v>
      </c>
      <c r="QFE97" s="1675" t="s">
        <v>856</v>
      </c>
      <c r="QFF97" s="1675" t="s">
        <v>856</v>
      </c>
      <c r="QFG97" s="1675" t="s">
        <v>856</v>
      </c>
      <c r="QFH97" s="1675" t="s">
        <v>856</v>
      </c>
      <c r="QFI97" s="1675" t="s">
        <v>856</v>
      </c>
      <c r="QFJ97" s="1675" t="s">
        <v>856</v>
      </c>
      <c r="QFK97" s="1675" t="s">
        <v>856</v>
      </c>
      <c r="QFL97" s="1675" t="s">
        <v>856</v>
      </c>
      <c r="QFM97" s="1675" t="s">
        <v>856</v>
      </c>
      <c r="QFN97" s="1675" t="s">
        <v>856</v>
      </c>
      <c r="QFO97" s="1675" t="s">
        <v>856</v>
      </c>
      <c r="QFP97" s="1675" t="s">
        <v>856</v>
      </c>
      <c r="QFQ97" s="1675" t="s">
        <v>856</v>
      </c>
      <c r="QFR97" s="1675" t="s">
        <v>856</v>
      </c>
      <c r="QFS97" s="1675" t="s">
        <v>856</v>
      </c>
      <c r="QFT97" s="1675" t="s">
        <v>856</v>
      </c>
      <c r="QFU97" s="1675" t="s">
        <v>856</v>
      </c>
      <c r="QFV97" s="1675" t="s">
        <v>856</v>
      </c>
      <c r="QFW97" s="1675" t="s">
        <v>856</v>
      </c>
      <c r="QFX97" s="1675" t="s">
        <v>856</v>
      </c>
      <c r="QFY97" s="1675" t="s">
        <v>856</v>
      </c>
      <c r="QFZ97" s="1675" t="s">
        <v>856</v>
      </c>
      <c r="QGA97" s="1675" t="s">
        <v>856</v>
      </c>
      <c r="QGB97" s="1675" t="s">
        <v>856</v>
      </c>
      <c r="QGC97" s="1675" t="s">
        <v>856</v>
      </c>
      <c r="QGD97" s="1675" t="s">
        <v>856</v>
      </c>
      <c r="QGE97" s="1675" t="s">
        <v>856</v>
      </c>
      <c r="QGF97" s="1675" t="s">
        <v>856</v>
      </c>
      <c r="QGG97" s="1675" t="s">
        <v>856</v>
      </c>
      <c r="QGH97" s="1675" t="s">
        <v>856</v>
      </c>
      <c r="QGI97" s="1675" t="s">
        <v>856</v>
      </c>
      <c r="QGJ97" s="1675" t="s">
        <v>856</v>
      </c>
      <c r="QGK97" s="1675" t="s">
        <v>856</v>
      </c>
      <c r="QGL97" s="1675" t="s">
        <v>856</v>
      </c>
      <c r="QGM97" s="1675" t="s">
        <v>856</v>
      </c>
      <c r="QGN97" s="1675" t="s">
        <v>856</v>
      </c>
      <c r="QGO97" s="1675" t="s">
        <v>856</v>
      </c>
      <c r="QGP97" s="1675" t="s">
        <v>856</v>
      </c>
      <c r="QGQ97" s="1675" t="s">
        <v>856</v>
      </c>
      <c r="QGR97" s="1675" t="s">
        <v>856</v>
      </c>
      <c r="QGS97" s="1675" t="s">
        <v>856</v>
      </c>
      <c r="QGT97" s="1675" t="s">
        <v>856</v>
      </c>
      <c r="QGU97" s="1675" t="s">
        <v>856</v>
      </c>
      <c r="QGV97" s="1675" t="s">
        <v>856</v>
      </c>
      <c r="QGW97" s="1675" t="s">
        <v>856</v>
      </c>
      <c r="QGX97" s="1675" t="s">
        <v>856</v>
      </c>
      <c r="QGY97" s="1675" t="s">
        <v>856</v>
      </c>
      <c r="QGZ97" s="1675" t="s">
        <v>856</v>
      </c>
      <c r="QHA97" s="1675" t="s">
        <v>856</v>
      </c>
      <c r="QHB97" s="1675" t="s">
        <v>856</v>
      </c>
      <c r="QHC97" s="1675" t="s">
        <v>856</v>
      </c>
      <c r="QHD97" s="1675" t="s">
        <v>856</v>
      </c>
      <c r="QHE97" s="1675" t="s">
        <v>856</v>
      </c>
      <c r="QHF97" s="1675" t="s">
        <v>856</v>
      </c>
      <c r="QHG97" s="1675" t="s">
        <v>856</v>
      </c>
      <c r="QHH97" s="1675" t="s">
        <v>856</v>
      </c>
      <c r="QHI97" s="1675" t="s">
        <v>856</v>
      </c>
      <c r="QHJ97" s="1675" t="s">
        <v>856</v>
      </c>
      <c r="QHK97" s="1675" t="s">
        <v>856</v>
      </c>
      <c r="QHL97" s="1675" t="s">
        <v>856</v>
      </c>
      <c r="QHM97" s="1675" t="s">
        <v>856</v>
      </c>
      <c r="QHN97" s="1675" t="s">
        <v>856</v>
      </c>
      <c r="QHO97" s="1675" t="s">
        <v>856</v>
      </c>
      <c r="QHP97" s="1675" t="s">
        <v>856</v>
      </c>
      <c r="QHQ97" s="1675" t="s">
        <v>856</v>
      </c>
      <c r="QHR97" s="1675" t="s">
        <v>856</v>
      </c>
      <c r="QHS97" s="1675" t="s">
        <v>856</v>
      </c>
      <c r="QHT97" s="1675" t="s">
        <v>856</v>
      </c>
      <c r="QHU97" s="1675" t="s">
        <v>856</v>
      </c>
      <c r="QHV97" s="1675" t="s">
        <v>856</v>
      </c>
      <c r="QHW97" s="1675" t="s">
        <v>856</v>
      </c>
      <c r="QHX97" s="1675" t="s">
        <v>856</v>
      </c>
      <c r="QHY97" s="1675" t="s">
        <v>856</v>
      </c>
      <c r="QHZ97" s="1675" t="s">
        <v>856</v>
      </c>
      <c r="QIA97" s="1675" t="s">
        <v>856</v>
      </c>
      <c r="QIB97" s="1675" t="s">
        <v>856</v>
      </c>
      <c r="QIC97" s="1675" t="s">
        <v>856</v>
      </c>
      <c r="QID97" s="1675" t="s">
        <v>856</v>
      </c>
      <c r="QIE97" s="1675" t="s">
        <v>856</v>
      </c>
      <c r="QIF97" s="1675" t="s">
        <v>856</v>
      </c>
      <c r="QIG97" s="1675" t="s">
        <v>856</v>
      </c>
      <c r="QIH97" s="1675" t="s">
        <v>856</v>
      </c>
      <c r="QII97" s="1675" t="s">
        <v>856</v>
      </c>
      <c r="QIJ97" s="1675" t="s">
        <v>856</v>
      </c>
      <c r="QIK97" s="1675" t="s">
        <v>856</v>
      </c>
      <c r="QIL97" s="1675" t="s">
        <v>856</v>
      </c>
      <c r="QIM97" s="1675" t="s">
        <v>856</v>
      </c>
      <c r="QIN97" s="1675" t="s">
        <v>856</v>
      </c>
      <c r="QIO97" s="1675" t="s">
        <v>856</v>
      </c>
      <c r="QIP97" s="1675" t="s">
        <v>856</v>
      </c>
      <c r="QIQ97" s="1675" t="s">
        <v>856</v>
      </c>
      <c r="QIR97" s="1675" t="s">
        <v>856</v>
      </c>
      <c r="QIS97" s="1675" t="s">
        <v>856</v>
      </c>
      <c r="QIT97" s="1675" t="s">
        <v>856</v>
      </c>
      <c r="QIU97" s="1675" t="s">
        <v>856</v>
      </c>
      <c r="QIV97" s="1675" t="s">
        <v>856</v>
      </c>
      <c r="QIW97" s="1675" t="s">
        <v>856</v>
      </c>
      <c r="QIX97" s="1675" t="s">
        <v>856</v>
      </c>
      <c r="QIY97" s="1675" t="s">
        <v>856</v>
      </c>
      <c r="QIZ97" s="1675" t="s">
        <v>856</v>
      </c>
      <c r="QJA97" s="1675" t="s">
        <v>856</v>
      </c>
      <c r="QJB97" s="1675" t="s">
        <v>856</v>
      </c>
      <c r="QJC97" s="1675" t="s">
        <v>856</v>
      </c>
      <c r="QJD97" s="1675" t="s">
        <v>856</v>
      </c>
      <c r="QJE97" s="1675" t="s">
        <v>856</v>
      </c>
      <c r="QJF97" s="1675" t="s">
        <v>856</v>
      </c>
      <c r="QJG97" s="1675" t="s">
        <v>856</v>
      </c>
      <c r="QJH97" s="1675" t="s">
        <v>856</v>
      </c>
      <c r="QJI97" s="1675" t="s">
        <v>856</v>
      </c>
      <c r="QJJ97" s="1675" t="s">
        <v>856</v>
      </c>
      <c r="QJK97" s="1675" t="s">
        <v>856</v>
      </c>
      <c r="QJL97" s="1675" t="s">
        <v>856</v>
      </c>
      <c r="QJM97" s="1675" t="s">
        <v>856</v>
      </c>
      <c r="QJN97" s="1675" t="s">
        <v>856</v>
      </c>
      <c r="QJO97" s="1675" t="s">
        <v>856</v>
      </c>
      <c r="QJP97" s="1675" t="s">
        <v>856</v>
      </c>
      <c r="QJQ97" s="1675" t="s">
        <v>856</v>
      </c>
      <c r="QJR97" s="1675" t="s">
        <v>856</v>
      </c>
      <c r="QJS97" s="1675" t="s">
        <v>856</v>
      </c>
      <c r="QJT97" s="1675" t="s">
        <v>856</v>
      </c>
      <c r="QJU97" s="1675" t="s">
        <v>856</v>
      </c>
      <c r="QJV97" s="1675" t="s">
        <v>856</v>
      </c>
      <c r="QJW97" s="1675" t="s">
        <v>856</v>
      </c>
      <c r="QJX97" s="1675" t="s">
        <v>856</v>
      </c>
      <c r="QJY97" s="1675" t="s">
        <v>856</v>
      </c>
      <c r="QJZ97" s="1675" t="s">
        <v>856</v>
      </c>
      <c r="QKA97" s="1675" t="s">
        <v>856</v>
      </c>
      <c r="QKB97" s="1675" t="s">
        <v>856</v>
      </c>
      <c r="QKC97" s="1675" t="s">
        <v>856</v>
      </c>
      <c r="QKD97" s="1675" t="s">
        <v>856</v>
      </c>
      <c r="QKE97" s="1675" t="s">
        <v>856</v>
      </c>
      <c r="QKF97" s="1675" t="s">
        <v>856</v>
      </c>
      <c r="QKG97" s="1675" t="s">
        <v>856</v>
      </c>
      <c r="QKH97" s="1675" t="s">
        <v>856</v>
      </c>
      <c r="QKI97" s="1675" t="s">
        <v>856</v>
      </c>
      <c r="QKJ97" s="1675" t="s">
        <v>856</v>
      </c>
      <c r="QKK97" s="1675" t="s">
        <v>856</v>
      </c>
      <c r="QKL97" s="1675" t="s">
        <v>856</v>
      </c>
      <c r="QKM97" s="1675" t="s">
        <v>856</v>
      </c>
      <c r="QKN97" s="1675" t="s">
        <v>856</v>
      </c>
      <c r="QKO97" s="1675" t="s">
        <v>856</v>
      </c>
      <c r="QKP97" s="1675" t="s">
        <v>856</v>
      </c>
      <c r="QKQ97" s="1675" t="s">
        <v>856</v>
      </c>
      <c r="QKR97" s="1675" t="s">
        <v>856</v>
      </c>
      <c r="QKS97" s="1675" t="s">
        <v>856</v>
      </c>
      <c r="QKT97" s="1675" t="s">
        <v>856</v>
      </c>
      <c r="QKU97" s="1675" t="s">
        <v>856</v>
      </c>
      <c r="QKV97" s="1675" t="s">
        <v>856</v>
      </c>
      <c r="QKW97" s="1675" t="s">
        <v>856</v>
      </c>
      <c r="QKX97" s="1675" t="s">
        <v>856</v>
      </c>
      <c r="QKY97" s="1675" t="s">
        <v>856</v>
      </c>
      <c r="QKZ97" s="1675" t="s">
        <v>856</v>
      </c>
      <c r="QLA97" s="1675" t="s">
        <v>856</v>
      </c>
      <c r="QLB97" s="1675" t="s">
        <v>856</v>
      </c>
      <c r="QLC97" s="1675" t="s">
        <v>856</v>
      </c>
      <c r="QLD97" s="1675" t="s">
        <v>856</v>
      </c>
      <c r="QLE97" s="1675" t="s">
        <v>856</v>
      </c>
      <c r="QLF97" s="1675" t="s">
        <v>856</v>
      </c>
      <c r="QLG97" s="1675" t="s">
        <v>856</v>
      </c>
      <c r="QLH97" s="1675" t="s">
        <v>856</v>
      </c>
      <c r="QLI97" s="1675" t="s">
        <v>856</v>
      </c>
      <c r="QLJ97" s="1675" t="s">
        <v>856</v>
      </c>
      <c r="QLK97" s="1675" t="s">
        <v>856</v>
      </c>
      <c r="QLL97" s="1675" t="s">
        <v>856</v>
      </c>
      <c r="QLM97" s="1675" t="s">
        <v>856</v>
      </c>
      <c r="QLN97" s="1675" t="s">
        <v>856</v>
      </c>
      <c r="QLO97" s="1675" t="s">
        <v>856</v>
      </c>
      <c r="QLP97" s="1675" t="s">
        <v>856</v>
      </c>
      <c r="QLQ97" s="1675" t="s">
        <v>856</v>
      </c>
      <c r="QLR97" s="1675" t="s">
        <v>856</v>
      </c>
      <c r="QLS97" s="1675" t="s">
        <v>856</v>
      </c>
      <c r="QLT97" s="1675" t="s">
        <v>856</v>
      </c>
      <c r="QLU97" s="1675" t="s">
        <v>856</v>
      </c>
      <c r="QLV97" s="1675" t="s">
        <v>856</v>
      </c>
      <c r="QLW97" s="1675" t="s">
        <v>856</v>
      </c>
      <c r="QLX97" s="1675" t="s">
        <v>856</v>
      </c>
      <c r="QLY97" s="1675" t="s">
        <v>856</v>
      </c>
      <c r="QLZ97" s="1675" t="s">
        <v>856</v>
      </c>
      <c r="QMA97" s="1675" t="s">
        <v>856</v>
      </c>
      <c r="QMB97" s="1675" t="s">
        <v>856</v>
      </c>
      <c r="QMC97" s="1675" t="s">
        <v>856</v>
      </c>
      <c r="QMD97" s="1675" t="s">
        <v>856</v>
      </c>
      <c r="QME97" s="1675" t="s">
        <v>856</v>
      </c>
      <c r="QMF97" s="1675" t="s">
        <v>856</v>
      </c>
      <c r="QMG97" s="1675" t="s">
        <v>856</v>
      </c>
      <c r="QMH97" s="1675" t="s">
        <v>856</v>
      </c>
      <c r="QMI97" s="1675" t="s">
        <v>856</v>
      </c>
      <c r="QMJ97" s="1675" t="s">
        <v>856</v>
      </c>
      <c r="QMK97" s="1675" t="s">
        <v>856</v>
      </c>
      <c r="QML97" s="1675" t="s">
        <v>856</v>
      </c>
      <c r="QMM97" s="1675" t="s">
        <v>856</v>
      </c>
      <c r="QMN97" s="1675" t="s">
        <v>856</v>
      </c>
      <c r="QMO97" s="1675" t="s">
        <v>856</v>
      </c>
      <c r="QMP97" s="1675" t="s">
        <v>856</v>
      </c>
      <c r="QMQ97" s="1675" t="s">
        <v>856</v>
      </c>
      <c r="QMR97" s="1675" t="s">
        <v>856</v>
      </c>
      <c r="QMS97" s="1675" t="s">
        <v>856</v>
      </c>
      <c r="QMT97" s="1675" t="s">
        <v>856</v>
      </c>
      <c r="QMU97" s="1675" t="s">
        <v>856</v>
      </c>
      <c r="QMV97" s="1675" t="s">
        <v>856</v>
      </c>
      <c r="QMW97" s="1675" t="s">
        <v>856</v>
      </c>
      <c r="QMX97" s="1675" t="s">
        <v>856</v>
      </c>
      <c r="QMY97" s="1675" t="s">
        <v>856</v>
      </c>
      <c r="QMZ97" s="1675" t="s">
        <v>856</v>
      </c>
      <c r="QNA97" s="1675" t="s">
        <v>856</v>
      </c>
      <c r="QNB97" s="1675" t="s">
        <v>856</v>
      </c>
      <c r="QNC97" s="1675" t="s">
        <v>856</v>
      </c>
      <c r="QND97" s="1675" t="s">
        <v>856</v>
      </c>
      <c r="QNE97" s="1675" t="s">
        <v>856</v>
      </c>
      <c r="QNF97" s="1675" t="s">
        <v>856</v>
      </c>
      <c r="QNG97" s="1675" t="s">
        <v>856</v>
      </c>
      <c r="QNH97" s="1675" t="s">
        <v>856</v>
      </c>
      <c r="QNI97" s="1675" t="s">
        <v>856</v>
      </c>
      <c r="QNJ97" s="1675" t="s">
        <v>856</v>
      </c>
      <c r="QNK97" s="1675" t="s">
        <v>856</v>
      </c>
      <c r="QNL97" s="1675" t="s">
        <v>856</v>
      </c>
      <c r="QNM97" s="1675" t="s">
        <v>856</v>
      </c>
      <c r="QNN97" s="1675" t="s">
        <v>856</v>
      </c>
      <c r="QNO97" s="1675" t="s">
        <v>856</v>
      </c>
      <c r="QNP97" s="1675" t="s">
        <v>856</v>
      </c>
      <c r="QNQ97" s="1675" t="s">
        <v>856</v>
      </c>
      <c r="QNR97" s="1675" t="s">
        <v>856</v>
      </c>
      <c r="QNS97" s="1675" t="s">
        <v>856</v>
      </c>
      <c r="QNT97" s="1675" t="s">
        <v>856</v>
      </c>
      <c r="QNU97" s="1675" t="s">
        <v>856</v>
      </c>
      <c r="QNV97" s="1675" t="s">
        <v>856</v>
      </c>
      <c r="QNW97" s="1675" t="s">
        <v>856</v>
      </c>
      <c r="QNX97" s="1675" t="s">
        <v>856</v>
      </c>
      <c r="QNY97" s="1675" t="s">
        <v>856</v>
      </c>
      <c r="QNZ97" s="1675" t="s">
        <v>856</v>
      </c>
      <c r="QOA97" s="1675" t="s">
        <v>856</v>
      </c>
      <c r="QOB97" s="1675" t="s">
        <v>856</v>
      </c>
      <c r="QOC97" s="1675" t="s">
        <v>856</v>
      </c>
      <c r="QOD97" s="1675" t="s">
        <v>856</v>
      </c>
      <c r="QOE97" s="1675" t="s">
        <v>856</v>
      </c>
      <c r="QOF97" s="1675" t="s">
        <v>856</v>
      </c>
      <c r="QOG97" s="1675" t="s">
        <v>856</v>
      </c>
      <c r="QOH97" s="1675" t="s">
        <v>856</v>
      </c>
      <c r="QOI97" s="1675" t="s">
        <v>856</v>
      </c>
      <c r="QOJ97" s="1675" t="s">
        <v>856</v>
      </c>
      <c r="QOK97" s="1675" t="s">
        <v>856</v>
      </c>
      <c r="QOL97" s="1675" t="s">
        <v>856</v>
      </c>
      <c r="QOM97" s="1675" t="s">
        <v>856</v>
      </c>
      <c r="QON97" s="1675" t="s">
        <v>856</v>
      </c>
      <c r="QOO97" s="1675" t="s">
        <v>856</v>
      </c>
      <c r="QOP97" s="1675" t="s">
        <v>856</v>
      </c>
      <c r="QOQ97" s="1675" t="s">
        <v>856</v>
      </c>
      <c r="QOR97" s="1675" t="s">
        <v>856</v>
      </c>
      <c r="QOS97" s="1675" t="s">
        <v>856</v>
      </c>
      <c r="QOT97" s="1675" t="s">
        <v>856</v>
      </c>
      <c r="QOU97" s="1675" t="s">
        <v>856</v>
      </c>
      <c r="QOV97" s="1675" t="s">
        <v>856</v>
      </c>
      <c r="QOW97" s="1675" t="s">
        <v>856</v>
      </c>
      <c r="QOX97" s="1675" t="s">
        <v>856</v>
      </c>
      <c r="QOY97" s="1675" t="s">
        <v>856</v>
      </c>
      <c r="QOZ97" s="1675" t="s">
        <v>856</v>
      </c>
      <c r="QPA97" s="1675" t="s">
        <v>856</v>
      </c>
      <c r="QPB97" s="1675" t="s">
        <v>856</v>
      </c>
      <c r="QPC97" s="1675" t="s">
        <v>856</v>
      </c>
      <c r="QPD97" s="1675" t="s">
        <v>856</v>
      </c>
      <c r="QPE97" s="1675" t="s">
        <v>856</v>
      </c>
      <c r="QPF97" s="1675" t="s">
        <v>856</v>
      </c>
      <c r="QPG97" s="1675" t="s">
        <v>856</v>
      </c>
      <c r="QPH97" s="1675" t="s">
        <v>856</v>
      </c>
      <c r="QPI97" s="1675" t="s">
        <v>856</v>
      </c>
      <c r="QPJ97" s="1675" t="s">
        <v>856</v>
      </c>
      <c r="QPK97" s="1675" t="s">
        <v>856</v>
      </c>
      <c r="QPL97" s="1675" t="s">
        <v>856</v>
      </c>
      <c r="QPM97" s="1675" t="s">
        <v>856</v>
      </c>
      <c r="QPN97" s="1675" t="s">
        <v>856</v>
      </c>
      <c r="QPO97" s="1675" t="s">
        <v>856</v>
      </c>
      <c r="QPP97" s="1675" t="s">
        <v>856</v>
      </c>
      <c r="QPQ97" s="1675" t="s">
        <v>856</v>
      </c>
      <c r="QPR97" s="1675" t="s">
        <v>856</v>
      </c>
      <c r="QPS97" s="1675" t="s">
        <v>856</v>
      </c>
      <c r="QPT97" s="1675" t="s">
        <v>856</v>
      </c>
      <c r="QPU97" s="1675" t="s">
        <v>856</v>
      </c>
      <c r="QPV97" s="1675" t="s">
        <v>856</v>
      </c>
      <c r="QPW97" s="1675" t="s">
        <v>856</v>
      </c>
      <c r="QPX97" s="1675" t="s">
        <v>856</v>
      </c>
      <c r="QPY97" s="1675" t="s">
        <v>856</v>
      </c>
      <c r="QPZ97" s="1675" t="s">
        <v>856</v>
      </c>
      <c r="QQA97" s="1675" t="s">
        <v>856</v>
      </c>
      <c r="QQB97" s="1675" t="s">
        <v>856</v>
      </c>
      <c r="QQC97" s="1675" t="s">
        <v>856</v>
      </c>
      <c r="QQD97" s="1675" t="s">
        <v>856</v>
      </c>
      <c r="QQE97" s="1675" t="s">
        <v>856</v>
      </c>
      <c r="QQF97" s="1675" t="s">
        <v>856</v>
      </c>
      <c r="QQG97" s="1675" t="s">
        <v>856</v>
      </c>
      <c r="QQH97" s="1675" t="s">
        <v>856</v>
      </c>
      <c r="QQI97" s="1675" t="s">
        <v>856</v>
      </c>
      <c r="QQJ97" s="1675" t="s">
        <v>856</v>
      </c>
      <c r="QQK97" s="1675" t="s">
        <v>856</v>
      </c>
      <c r="QQL97" s="1675" t="s">
        <v>856</v>
      </c>
      <c r="QQM97" s="1675" t="s">
        <v>856</v>
      </c>
      <c r="QQN97" s="1675" t="s">
        <v>856</v>
      </c>
      <c r="QQO97" s="1675" t="s">
        <v>856</v>
      </c>
      <c r="QQP97" s="1675" t="s">
        <v>856</v>
      </c>
      <c r="QQQ97" s="1675" t="s">
        <v>856</v>
      </c>
      <c r="QQR97" s="1675" t="s">
        <v>856</v>
      </c>
      <c r="QQS97" s="1675" t="s">
        <v>856</v>
      </c>
      <c r="QQT97" s="1675" t="s">
        <v>856</v>
      </c>
      <c r="QQU97" s="1675" t="s">
        <v>856</v>
      </c>
      <c r="QQV97" s="1675" t="s">
        <v>856</v>
      </c>
      <c r="QQW97" s="1675" t="s">
        <v>856</v>
      </c>
      <c r="QQX97" s="1675" t="s">
        <v>856</v>
      </c>
      <c r="QQY97" s="1675" t="s">
        <v>856</v>
      </c>
      <c r="QQZ97" s="1675" t="s">
        <v>856</v>
      </c>
      <c r="QRA97" s="1675" t="s">
        <v>856</v>
      </c>
      <c r="QRB97" s="1675" t="s">
        <v>856</v>
      </c>
      <c r="QRC97" s="1675" t="s">
        <v>856</v>
      </c>
      <c r="QRD97" s="1675" t="s">
        <v>856</v>
      </c>
      <c r="QRE97" s="1675" t="s">
        <v>856</v>
      </c>
      <c r="QRF97" s="1675" t="s">
        <v>856</v>
      </c>
      <c r="QRG97" s="1675" t="s">
        <v>856</v>
      </c>
      <c r="QRH97" s="1675" t="s">
        <v>856</v>
      </c>
      <c r="QRI97" s="1675" t="s">
        <v>856</v>
      </c>
      <c r="QRJ97" s="1675" t="s">
        <v>856</v>
      </c>
      <c r="QRK97" s="1675" t="s">
        <v>856</v>
      </c>
      <c r="QRL97" s="1675" t="s">
        <v>856</v>
      </c>
      <c r="QRM97" s="1675" t="s">
        <v>856</v>
      </c>
      <c r="QRN97" s="1675" t="s">
        <v>856</v>
      </c>
      <c r="QRO97" s="1675" t="s">
        <v>856</v>
      </c>
      <c r="QRP97" s="1675" t="s">
        <v>856</v>
      </c>
      <c r="QRQ97" s="1675" t="s">
        <v>856</v>
      </c>
      <c r="QRR97" s="1675" t="s">
        <v>856</v>
      </c>
      <c r="QRS97" s="1675" t="s">
        <v>856</v>
      </c>
      <c r="QRT97" s="1675" t="s">
        <v>856</v>
      </c>
      <c r="QRU97" s="1675" t="s">
        <v>856</v>
      </c>
      <c r="QRV97" s="1675" t="s">
        <v>856</v>
      </c>
      <c r="QRW97" s="1675" t="s">
        <v>856</v>
      </c>
      <c r="QRX97" s="1675" t="s">
        <v>856</v>
      </c>
      <c r="QRY97" s="1675" t="s">
        <v>856</v>
      </c>
      <c r="QRZ97" s="1675" t="s">
        <v>856</v>
      </c>
      <c r="QSA97" s="1675" t="s">
        <v>856</v>
      </c>
      <c r="QSB97" s="1675" t="s">
        <v>856</v>
      </c>
      <c r="QSC97" s="1675" t="s">
        <v>856</v>
      </c>
      <c r="QSD97" s="1675" t="s">
        <v>856</v>
      </c>
      <c r="QSE97" s="1675" t="s">
        <v>856</v>
      </c>
      <c r="QSF97" s="1675" t="s">
        <v>856</v>
      </c>
      <c r="QSG97" s="1675" t="s">
        <v>856</v>
      </c>
      <c r="QSH97" s="1675" t="s">
        <v>856</v>
      </c>
      <c r="QSI97" s="1675" t="s">
        <v>856</v>
      </c>
      <c r="QSJ97" s="1675" t="s">
        <v>856</v>
      </c>
      <c r="QSK97" s="1675" t="s">
        <v>856</v>
      </c>
      <c r="QSL97" s="1675" t="s">
        <v>856</v>
      </c>
      <c r="QSM97" s="1675" t="s">
        <v>856</v>
      </c>
      <c r="QSN97" s="1675" t="s">
        <v>856</v>
      </c>
      <c r="QSO97" s="1675" t="s">
        <v>856</v>
      </c>
      <c r="QSP97" s="1675" t="s">
        <v>856</v>
      </c>
      <c r="QSQ97" s="1675" t="s">
        <v>856</v>
      </c>
      <c r="QSR97" s="1675" t="s">
        <v>856</v>
      </c>
      <c r="QSS97" s="1675" t="s">
        <v>856</v>
      </c>
      <c r="QST97" s="1675" t="s">
        <v>856</v>
      </c>
      <c r="QSU97" s="1675" t="s">
        <v>856</v>
      </c>
      <c r="QSV97" s="1675" t="s">
        <v>856</v>
      </c>
      <c r="QSW97" s="1675" t="s">
        <v>856</v>
      </c>
      <c r="QSX97" s="1675" t="s">
        <v>856</v>
      </c>
      <c r="QSY97" s="1675" t="s">
        <v>856</v>
      </c>
      <c r="QSZ97" s="1675" t="s">
        <v>856</v>
      </c>
      <c r="QTA97" s="1675" t="s">
        <v>856</v>
      </c>
      <c r="QTB97" s="1675" t="s">
        <v>856</v>
      </c>
      <c r="QTC97" s="1675" t="s">
        <v>856</v>
      </c>
      <c r="QTD97" s="1675" t="s">
        <v>856</v>
      </c>
      <c r="QTE97" s="1675" t="s">
        <v>856</v>
      </c>
      <c r="QTF97" s="1675" t="s">
        <v>856</v>
      </c>
      <c r="QTG97" s="1675" t="s">
        <v>856</v>
      </c>
      <c r="QTH97" s="1675" t="s">
        <v>856</v>
      </c>
      <c r="QTI97" s="1675" t="s">
        <v>856</v>
      </c>
      <c r="QTJ97" s="1675" t="s">
        <v>856</v>
      </c>
      <c r="QTK97" s="1675" t="s">
        <v>856</v>
      </c>
      <c r="QTL97" s="1675" t="s">
        <v>856</v>
      </c>
      <c r="QTM97" s="1675" t="s">
        <v>856</v>
      </c>
      <c r="QTN97" s="1675" t="s">
        <v>856</v>
      </c>
      <c r="QTO97" s="1675" t="s">
        <v>856</v>
      </c>
      <c r="QTP97" s="1675" t="s">
        <v>856</v>
      </c>
      <c r="QTQ97" s="1675" t="s">
        <v>856</v>
      </c>
      <c r="QTR97" s="1675" t="s">
        <v>856</v>
      </c>
      <c r="QTS97" s="1675" t="s">
        <v>856</v>
      </c>
      <c r="QTT97" s="1675" t="s">
        <v>856</v>
      </c>
      <c r="QTU97" s="1675" t="s">
        <v>856</v>
      </c>
      <c r="QTV97" s="1675" t="s">
        <v>856</v>
      </c>
      <c r="QTW97" s="1675" t="s">
        <v>856</v>
      </c>
      <c r="QTX97" s="1675" t="s">
        <v>856</v>
      </c>
      <c r="QTY97" s="1675" t="s">
        <v>856</v>
      </c>
      <c r="QTZ97" s="1675" t="s">
        <v>856</v>
      </c>
      <c r="QUA97" s="1675" t="s">
        <v>856</v>
      </c>
      <c r="QUB97" s="1675" t="s">
        <v>856</v>
      </c>
      <c r="QUC97" s="1675" t="s">
        <v>856</v>
      </c>
      <c r="QUD97" s="1675" t="s">
        <v>856</v>
      </c>
      <c r="QUE97" s="1675" t="s">
        <v>856</v>
      </c>
      <c r="QUF97" s="1675" t="s">
        <v>856</v>
      </c>
      <c r="QUG97" s="1675" t="s">
        <v>856</v>
      </c>
      <c r="QUH97" s="1675" t="s">
        <v>856</v>
      </c>
      <c r="QUI97" s="1675" t="s">
        <v>856</v>
      </c>
      <c r="QUJ97" s="1675" t="s">
        <v>856</v>
      </c>
      <c r="QUK97" s="1675" t="s">
        <v>856</v>
      </c>
      <c r="QUL97" s="1675" t="s">
        <v>856</v>
      </c>
      <c r="QUM97" s="1675" t="s">
        <v>856</v>
      </c>
      <c r="QUN97" s="1675" t="s">
        <v>856</v>
      </c>
      <c r="QUO97" s="1675" t="s">
        <v>856</v>
      </c>
      <c r="QUP97" s="1675" t="s">
        <v>856</v>
      </c>
      <c r="QUQ97" s="1675" t="s">
        <v>856</v>
      </c>
      <c r="QUR97" s="1675" t="s">
        <v>856</v>
      </c>
      <c r="QUS97" s="1675" t="s">
        <v>856</v>
      </c>
      <c r="QUT97" s="1675" t="s">
        <v>856</v>
      </c>
      <c r="QUU97" s="1675" t="s">
        <v>856</v>
      </c>
      <c r="QUV97" s="1675" t="s">
        <v>856</v>
      </c>
      <c r="QUW97" s="1675" t="s">
        <v>856</v>
      </c>
      <c r="QUX97" s="1675" t="s">
        <v>856</v>
      </c>
      <c r="QUY97" s="1675" t="s">
        <v>856</v>
      </c>
      <c r="QUZ97" s="1675" t="s">
        <v>856</v>
      </c>
      <c r="QVA97" s="1675" t="s">
        <v>856</v>
      </c>
      <c r="QVB97" s="1675" t="s">
        <v>856</v>
      </c>
      <c r="QVC97" s="1675" t="s">
        <v>856</v>
      </c>
      <c r="QVD97" s="1675" t="s">
        <v>856</v>
      </c>
      <c r="QVE97" s="1675" t="s">
        <v>856</v>
      </c>
      <c r="QVF97" s="1675" t="s">
        <v>856</v>
      </c>
      <c r="QVG97" s="1675" t="s">
        <v>856</v>
      </c>
      <c r="QVH97" s="1675" t="s">
        <v>856</v>
      </c>
      <c r="QVI97" s="1675" t="s">
        <v>856</v>
      </c>
      <c r="QVJ97" s="1675" t="s">
        <v>856</v>
      </c>
      <c r="QVK97" s="1675" t="s">
        <v>856</v>
      </c>
      <c r="QVL97" s="1675" t="s">
        <v>856</v>
      </c>
      <c r="QVM97" s="1675" t="s">
        <v>856</v>
      </c>
      <c r="QVN97" s="1675" t="s">
        <v>856</v>
      </c>
      <c r="QVO97" s="1675" t="s">
        <v>856</v>
      </c>
      <c r="QVP97" s="1675" t="s">
        <v>856</v>
      </c>
      <c r="QVQ97" s="1675" t="s">
        <v>856</v>
      </c>
      <c r="QVR97" s="1675" t="s">
        <v>856</v>
      </c>
      <c r="QVS97" s="1675" t="s">
        <v>856</v>
      </c>
      <c r="QVT97" s="1675" t="s">
        <v>856</v>
      </c>
      <c r="QVU97" s="1675" t="s">
        <v>856</v>
      </c>
      <c r="QVV97" s="1675" t="s">
        <v>856</v>
      </c>
      <c r="QVW97" s="1675" t="s">
        <v>856</v>
      </c>
      <c r="QVX97" s="1675" t="s">
        <v>856</v>
      </c>
      <c r="QVY97" s="1675" t="s">
        <v>856</v>
      </c>
      <c r="QVZ97" s="1675" t="s">
        <v>856</v>
      </c>
      <c r="QWA97" s="1675" t="s">
        <v>856</v>
      </c>
      <c r="QWB97" s="1675" t="s">
        <v>856</v>
      </c>
      <c r="QWC97" s="1675" t="s">
        <v>856</v>
      </c>
      <c r="QWD97" s="1675" t="s">
        <v>856</v>
      </c>
      <c r="QWE97" s="1675" t="s">
        <v>856</v>
      </c>
      <c r="QWF97" s="1675" t="s">
        <v>856</v>
      </c>
      <c r="QWG97" s="1675" t="s">
        <v>856</v>
      </c>
      <c r="QWH97" s="1675" t="s">
        <v>856</v>
      </c>
      <c r="QWI97" s="1675" t="s">
        <v>856</v>
      </c>
      <c r="QWJ97" s="1675" t="s">
        <v>856</v>
      </c>
      <c r="QWK97" s="1675" t="s">
        <v>856</v>
      </c>
      <c r="QWL97" s="1675" t="s">
        <v>856</v>
      </c>
      <c r="QWM97" s="1675" t="s">
        <v>856</v>
      </c>
      <c r="QWN97" s="1675" t="s">
        <v>856</v>
      </c>
      <c r="QWO97" s="1675" t="s">
        <v>856</v>
      </c>
      <c r="QWP97" s="1675" t="s">
        <v>856</v>
      </c>
      <c r="QWQ97" s="1675" t="s">
        <v>856</v>
      </c>
      <c r="QWR97" s="1675" t="s">
        <v>856</v>
      </c>
      <c r="QWS97" s="1675" t="s">
        <v>856</v>
      </c>
      <c r="QWT97" s="1675" t="s">
        <v>856</v>
      </c>
      <c r="QWU97" s="1675" t="s">
        <v>856</v>
      </c>
      <c r="QWV97" s="1675" t="s">
        <v>856</v>
      </c>
      <c r="QWW97" s="1675" t="s">
        <v>856</v>
      </c>
      <c r="QWX97" s="1675" t="s">
        <v>856</v>
      </c>
      <c r="QWY97" s="1675" t="s">
        <v>856</v>
      </c>
      <c r="QWZ97" s="1675" t="s">
        <v>856</v>
      </c>
      <c r="QXA97" s="1675" t="s">
        <v>856</v>
      </c>
      <c r="QXB97" s="1675" t="s">
        <v>856</v>
      </c>
      <c r="QXC97" s="1675" t="s">
        <v>856</v>
      </c>
      <c r="QXD97" s="1675" t="s">
        <v>856</v>
      </c>
      <c r="QXE97" s="1675" t="s">
        <v>856</v>
      </c>
      <c r="QXF97" s="1675" t="s">
        <v>856</v>
      </c>
      <c r="QXG97" s="1675" t="s">
        <v>856</v>
      </c>
      <c r="QXH97" s="1675" t="s">
        <v>856</v>
      </c>
      <c r="QXI97" s="1675" t="s">
        <v>856</v>
      </c>
      <c r="QXJ97" s="1675" t="s">
        <v>856</v>
      </c>
      <c r="QXK97" s="1675" t="s">
        <v>856</v>
      </c>
      <c r="QXL97" s="1675" t="s">
        <v>856</v>
      </c>
      <c r="QXM97" s="1675" t="s">
        <v>856</v>
      </c>
      <c r="QXN97" s="1675" t="s">
        <v>856</v>
      </c>
      <c r="QXO97" s="1675" t="s">
        <v>856</v>
      </c>
      <c r="QXP97" s="1675" t="s">
        <v>856</v>
      </c>
      <c r="QXQ97" s="1675" t="s">
        <v>856</v>
      </c>
      <c r="QXR97" s="1675" t="s">
        <v>856</v>
      </c>
      <c r="QXS97" s="1675" t="s">
        <v>856</v>
      </c>
      <c r="QXT97" s="1675" t="s">
        <v>856</v>
      </c>
      <c r="QXU97" s="1675" t="s">
        <v>856</v>
      </c>
      <c r="QXV97" s="1675" t="s">
        <v>856</v>
      </c>
      <c r="QXW97" s="1675" t="s">
        <v>856</v>
      </c>
      <c r="QXX97" s="1675" t="s">
        <v>856</v>
      </c>
      <c r="QXY97" s="1675" t="s">
        <v>856</v>
      </c>
      <c r="QXZ97" s="1675" t="s">
        <v>856</v>
      </c>
      <c r="QYA97" s="1675" t="s">
        <v>856</v>
      </c>
      <c r="QYB97" s="1675" t="s">
        <v>856</v>
      </c>
      <c r="QYC97" s="1675" t="s">
        <v>856</v>
      </c>
      <c r="QYD97" s="1675" t="s">
        <v>856</v>
      </c>
      <c r="QYE97" s="1675" t="s">
        <v>856</v>
      </c>
      <c r="QYF97" s="1675" t="s">
        <v>856</v>
      </c>
      <c r="QYG97" s="1675" t="s">
        <v>856</v>
      </c>
      <c r="QYH97" s="1675" t="s">
        <v>856</v>
      </c>
      <c r="QYI97" s="1675" t="s">
        <v>856</v>
      </c>
      <c r="QYJ97" s="1675" t="s">
        <v>856</v>
      </c>
      <c r="QYK97" s="1675" t="s">
        <v>856</v>
      </c>
      <c r="QYL97" s="1675" t="s">
        <v>856</v>
      </c>
      <c r="QYM97" s="1675" t="s">
        <v>856</v>
      </c>
      <c r="QYN97" s="1675" t="s">
        <v>856</v>
      </c>
      <c r="QYO97" s="1675" t="s">
        <v>856</v>
      </c>
      <c r="QYP97" s="1675" t="s">
        <v>856</v>
      </c>
      <c r="QYQ97" s="1675" t="s">
        <v>856</v>
      </c>
      <c r="QYR97" s="1675" t="s">
        <v>856</v>
      </c>
      <c r="QYS97" s="1675" t="s">
        <v>856</v>
      </c>
      <c r="QYT97" s="1675" t="s">
        <v>856</v>
      </c>
      <c r="QYU97" s="1675" t="s">
        <v>856</v>
      </c>
      <c r="QYV97" s="1675" t="s">
        <v>856</v>
      </c>
      <c r="QYW97" s="1675" t="s">
        <v>856</v>
      </c>
      <c r="QYX97" s="1675" t="s">
        <v>856</v>
      </c>
      <c r="QYY97" s="1675" t="s">
        <v>856</v>
      </c>
      <c r="QYZ97" s="1675" t="s">
        <v>856</v>
      </c>
      <c r="QZA97" s="1675" t="s">
        <v>856</v>
      </c>
      <c r="QZB97" s="1675" t="s">
        <v>856</v>
      </c>
      <c r="QZC97" s="1675" t="s">
        <v>856</v>
      </c>
      <c r="QZD97" s="1675" t="s">
        <v>856</v>
      </c>
      <c r="QZE97" s="1675" t="s">
        <v>856</v>
      </c>
      <c r="QZF97" s="1675" t="s">
        <v>856</v>
      </c>
      <c r="QZG97" s="1675" t="s">
        <v>856</v>
      </c>
      <c r="QZH97" s="1675" t="s">
        <v>856</v>
      </c>
      <c r="QZI97" s="1675" t="s">
        <v>856</v>
      </c>
      <c r="QZJ97" s="1675" t="s">
        <v>856</v>
      </c>
      <c r="QZK97" s="1675" t="s">
        <v>856</v>
      </c>
      <c r="QZL97" s="1675" t="s">
        <v>856</v>
      </c>
      <c r="QZM97" s="1675" t="s">
        <v>856</v>
      </c>
      <c r="QZN97" s="1675" t="s">
        <v>856</v>
      </c>
      <c r="QZO97" s="1675" t="s">
        <v>856</v>
      </c>
      <c r="QZP97" s="1675" t="s">
        <v>856</v>
      </c>
      <c r="QZQ97" s="1675" t="s">
        <v>856</v>
      </c>
      <c r="QZR97" s="1675" t="s">
        <v>856</v>
      </c>
      <c r="QZS97" s="1675" t="s">
        <v>856</v>
      </c>
      <c r="QZT97" s="1675" t="s">
        <v>856</v>
      </c>
      <c r="QZU97" s="1675" t="s">
        <v>856</v>
      </c>
      <c r="QZV97" s="1675" t="s">
        <v>856</v>
      </c>
      <c r="QZW97" s="1675" t="s">
        <v>856</v>
      </c>
      <c r="QZX97" s="1675" t="s">
        <v>856</v>
      </c>
      <c r="QZY97" s="1675" t="s">
        <v>856</v>
      </c>
      <c r="QZZ97" s="1675" t="s">
        <v>856</v>
      </c>
      <c r="RAA97" s="1675" t="s">
        <v>856</v>
      </c>
      <c r="RAB97" s="1675" t="s">
        <v>856</v>
      </c>
      <c r="RAC97" s="1675" t="s">
        <v>856</v>
      </c>
      <c r="RAD97" s="1675" t="s">
        <v>856</v>
      </c>
      <c r="RAE97" s="1675" t="s">
        <v>856</v>
      </c>
      <c r="RAF97" s="1675" t="s">
        <v>856</v>
      </c>
      <c r="RAG97" s="1675" t="s">
        <v>856</v>
      </c>
      <c r="RAH97" s="1675" t="s">
        <v>856</v>
      </c>
      <c r="RAI97" s="1675" t="s">
        <v>856</v>
      </c>
      <c r="RAJ97" s="1675" t="s">
        <v>856</v>
      </c>
      <c r="RAK97" s="1675" t="s">
        <v>856</v>
      </c>
      <c r="RAL97" s="1675" t="s">
        <v>856</v>
      </c>
      <c r="RAM97" s="1675" t="s">
        <v>856</v>
      </c>
      <c r="RAN97" s="1675" t="s">
        <v>856</v>
      </c>
      <c r="RAO97" s="1675" t="s">
        <v>856</v>
      </c>
      <c r="RAP97" s="1675" t="s">
        <v>856</v>
      </c>
      <c r="RAQ97" s="1675" t="s">
        <v>856</v>
      </c>
      <c r="RAR97" s="1675" t="s">
        <v>856</v>
      </c>
      <c r="RAS97" s="1675" t="s">
        <v>856</v>
      </c>
      <c r="RAT97" s="1675" t="s">
        <v>856</v>
      </c>
      <c r="RAU97" s="1675" t="s">
        <v>856</v>
      </c>
      <c r="RAV97" s="1675" t="s">
        <v>856</v>
      </c>
      <c r="RAW97" s="1675" t="s">
        <v>856</v>
      </c>
      <c r="RAX97" s="1675" t="s">
        <v>856</v>
      </c>
      <c r="RAY97" s="1675" t="s">
        <v>856</v>
      </c>
      <c r="RAZ97" s="1675" t="s">
        <v>856</v>
      </c>
      <c r="RBA97" s="1675" t="s">
        <v>856</v>
      </c>
      <c r="RBB97" s="1675" t="s">
        <v>856</v>
      </c>
      <c r="RBC97" s="1675" t="s">
        <v>856</v>
      </c>
      <c r="RBD97" s="1675" t="s">
        <v>856</v>
      </c>
      <c r="RBE97" s="1675" t="s">
        <v>856</v>
      </c>
      <c r="RBF97" s="1675" t="s">
        <v>856</v>
      </c>
      <c r="RBG97" s="1675" t="s">
        <v>856</v>
      </c>
      <c r="RBH97" s="1675" t="s">
        <v>856</v>
      </c>
      <c r="RBI97" s="1675" t="s">
        <v>856</v>
      </c>
      <c r="RBJ97" s="1675" t="s">
        <v>856</v>
      </c>
      <c r="RBK97" s="1675" t="s">
        <v>856</v>
      </c>
      <c r="RBL97" s="1675" t="s">
        <v>856</v>
      </c>
      <c r="RBM97" s="1675" t="s">
        <v>856</v>
      </c>
      <c r="RBN97" s="1675" t="s">
        <v>856</v>
      </c>
      <c r="RBO97" s="1675" t="s">
        <v>856</v>
      </c>
      <c r="RBP97" s="1675" t="s">
        <v>856</v>
      </c>
      <c r="RBQ97" s="1675" t="s">
        <v>856</v>
      </c>
      <c r="RBR97" s="1675" t="s">
        <v>856</v>
      </c>
      <c r="RBS97" s="1675" t="s">
        <v>856</v>
      </c>
      <c r="RBT97" s="1675" t="s">
        <v>856</v>
      </c>
      <c r="RBU97" s="1675" t="s">
        <v>856</v>
      </c>
      <c r="RBV97" s="1675" t="s">
        <v>856</v>
      </c>
      <c r="RBW97" s="1675" t="s">
        <v>856</v>
      </c>
      <c r="RBX97" s="1675" t="s">
        <v>856</v>
      </c>
      <c r="RBY97" s="1675" t="s">
        <v>856</v>
      </c>
      <c r="RBZ97" s="1675" t="s">
        <v>856</v>
      </c>
      <c r="RCA97" s="1675" t="s">
        <v>856</v>
      </c>
      <c r="RCB97" s="1675" t="s">
        <v>856</v>
      </c>
      <c r="RCC97" s="1675" t="s">
        <v>856</v>
      </c>
      <c r="RCD97" s="1675" t="s">
        <v>856</v>
      </c>
      <c r="RCE97" s="1675" t="s">
        <v>856</v>
      </c>
      <c r="RCF97" s="1675" t="s">
        <v>856</v>
      </c>
      <c r="RCG97" s="1675" t="s">
        <v>856</v>
      </c>
      <c r="RCH97" s="1675" t="s">
        <v>856</v>
      </c>
      <c r="RCI97" s="1675" t="s">
        <v>856</v>
      </c>
      <c r="RCJ97" s="1675" t="s">
        <v>856</v>
      </c>
      <c r="RCK97" s="1675" t="s">
        <v>856</v>
      </c>
      <c r="RCL97" s="1675" t="s">
        <v>856</v>
      </c>
      <c r="RCM97" s="1675" t="s">
        <v>856</v>
      </c>
      <c r="RCN97" s="1675" t="s">
        <v>856</v>
      </c>
      <c r="RCO97" s="1675" t="s">
        <v>856</v>
      </c>
      <c r="RCP97" s="1675" t="s">
        <v>856</v>
      </c>
      <c r="RCQ97" s="1675" t="s">
        <v>856</v>
      </c>
      <c r="RCR97" s="1675" t="s">
        <v>856</v>
      </c>
      <c r="RCS97" s="1675" t="s">
        <v>856</v>
      </c>
      <c r="RCT97" s="1675" t="s">
        <v>856</v>
      </c>
      <c r="RCU97" s="1675" t="s">
        <v>856</v>
      </c>
      <c r="RCV97" s="1675" t="s">
        <v>856</v>
      </c>
      <c r="RCW97" s="1675" t="s">
        <v>856</v>
      </c>
      <c r="RCX97" s="1675" t="s">
        <v>856</v>
      </c>
      <c r="RCY97" s="1675" t="s">
        <v>856</v>
      </c>
      <c r="RCZ97" s="1675" t="s">
        <v>856</v>
      </c>
      <c r="RDA97" s="1675" t="s">
        <v>856</v>
      </c>
      <c r="RDB97" s="1675" t="s">
        <v>856</v>
      </c>
      <c r="RDC97" s="1675" t="s">
        <v>856</v>
      </c>
      <c r="RDD97" s="1675" t="s">
        <v>856</v>
      </c>
      <c r="RDE97" s="1675" t="s">
        <v>856</v>
      </c>
      <c r="RDF97" s="1675" t="s">
        <v>856</v>
      </c>
      <c r="RDG97" s="1675" t="s">
        <v>856</v>
      </c>
      <c r="RDH97" s="1675" t="s">
        <v>856</v>
      </c>
      <c r="RDI97" s="1675" t="s">
        <v>856</v>
      </c>
      <c r="RDJ97" s="1675" t="s">
        <v>856</v>
      </c>
      <c r="RDK97" s="1675" t="s">
        <v>856</v>
      </c>
      <c r="RDL97" s="1675" t="s">
        <v>856</v>
      </c>
      <c r="RDM97" s="1675" t="s">
        <v>856</v>
      </c>
      <c r="RDN97" s="1675" t="s">
        <v>856</v>
      </c>
      <c r="RDO97" s="1675" t="s">
        <v>856</v>
      </c>
      <c r="RDP97" s="1675" t="s">
        <v>856</v>
      </c>
      <c r="RDQ97" s="1675" t="s">
        <v>856</v>
      </c>
      <c r="RDR97" s="1675" t="s">
        <v>856</v>
      </c>
      <c r="RDS97" s="1675" t="s">
        <v>856</v>
      </c>
      <c r="RDT97" s="1675" t="s">
        <v>856</v>
      </c>
      <c r="RDU97" s="1675" t="s">
        <v>856</v>
      </c>
      <c r="RDV97" s="1675" t="s">
        <v>856</v>
      </c>
      <c r="RDW97" s="1675" t="s">
        <v>856</v>
      </c>
      <c r="RDX97" s="1675" t="s">
        <v>856</v>
      </c>
      <c r="RDY97" s="1675" t="s">
        <v>856</v>
      </c>
      <c r="RDZ97" s="1675" t="s">
        <v>856</v>
      </c>
      <c r="REA97" s="1675" t="s">
        <v>856</v>
      </c>
      <c r="REB97" s="1675" t="s">
        <v>856</v>
      </c>
      <c r="REC97" s="1675" t="s">
        <v>856</v>
      </c>
      <c r="RED97" s="1675" t="s">
        <v>856</v>
      </c>
      <c r="REE97" s="1675" t="s">
        <v>856</v>
      </c>
      <c r="REF97" s="1675" t="s">
        <v>856</v>
      </c>
      <c r="REG97" s="1675" t="s">
        <v>856</v>
      </c>
      <c r="REH97" s="1675" t="s">
        <v>856</v>
      </c>
      <c r="REI97" s="1675" t="s">
        <v>856</v>
      </c>
      <c r="REJ97" s="1675" t="s">
        <v>856</v>
      </c>
      <c r="REK97" s="1675" t="s">
        <v>856</v>
      </c>
      <c r="REL97" s="1675" t="s">
        <v>856</v>
      </c>
      <c r="REM97" s="1675" t="s">
        <v>856</v>
      </c>
      <c r="REN97" s="1675" t="s">
        <v>856</v>
      </c>
      <c r="REO97" s="1675" t="s">
        <v>856</v>
      </c>
      <c r="REP97" s="1675" t="s">
        <v>856</v>
      </c>
      <c r="REQ97" s="1675" t="s">
        <v>856</v>
      </c>
      <c r="RER97" s="1675" t="s">
        <v>856</v>
      </c>
      <c r="RES97" s="1675" t="s">
        <v>856</v>
      </c>
      <c r="RET97" s="1675" t="s">
        <v>856</v>
      </c>
      <c r="REU97" s="1675" t="s">
        <v>856</v>
      </c>
      <c r="REV97" s="1675" t="s">
        <v>856</v>
      </c>
      <c r="REW97" s="1675" t="s">
        <v>856</v>
      </c>
      <c r="REX97" s="1675" t="s">
        <v>856</v>
      </c>
      <c r="REY97" s="1675" t="s">
        <v>856</v>
      </c>
      <c r="REZ97" s="1675" t="s">
        <v>856</v>
      </c>
      <c r="RFA97" s="1675" t="s">
        <v>856</v>
      </c>
      <c r="RFB97" s="1675" t="s">
        <v>856</v>
      </c>
      <c r="RFC97" s="1675" t="s">
        <v>856</v>
      </c>
      <c r="RFD97" s="1675" t="s">
        <v>856</v>
      </c>
      <c r="RFE97" s="1675" t="s">
        <v>856</v>
      </c>
      <c r="RFF97" s="1675" t="s">
        <v>856</v>
      </c>
      <c r="RFG97" s="1675" t="s">
        <v>856</v>
      </c>
      <c r="RFH97" s="1675" t="s">
        <v>856</v>
      </c>
      <c r="RFI97" s="1675" t="s">
        <v>856</v>
      </c>
      <c r="RFJ97" s="1675" t="s">
        <v>856</v>
      </c>
      <c r="RFK97" s="1675" t="s">
        <v>856</v>
      </c>
      <c r="RFL97" s="1675" t="s">
        <v>856</v>
      </c>
      <c r="RFM97" s="1675" t="s">
        <v>856</v>
      </c>
      <c r="RFN97" s="1675" t="s">
        <v>856</v>
      </c>
      <c r="RFO97" s="1675" t="s">
        <v>856</v>
      </c>
      <c r="RFP97" s="1675" t="s">
        <v>856</v>
      </c>
      <c r="RFQ97" s="1675" t="s">
        <v>856</v>
      </c>
      <c r="RFR97" s="1675" t="s">
        <v>856</v>
      </c>
      <c r="RFS97" s="1675" t="s">
        <v>856</v>
      </c>
      <c r="RFT97" s="1675" t="s">
        <v>856</v>
      </c>
      <c r="RFU97" s="1675" t="s">
        <v>856</v>
      </c>
      <c r="RFV97" s="1675" t="s">
        <v>856</v>
      </c>
      <c r="RFW97" s="1675" t="s">
        <v>856</v>
      </c>
      <c r="RFX97" s="1675" t="s">
        <v>856</v>
      </c>
      <c r="RFY97" s="1675" t="s">
        <v>856</v>
      </c>
      <c r="RFZ97" s="1675" t="s">
        <v>856</v>
      </c>
      <c r="RGA97" s="1675" t="s">
        <v>856</v>
      </c>
      <c r="RGB97" s="1675" t="s">
        <v>856</v>
      </c>
      <c r="RGC97" s="1675" t="s">
        <v>856</v>
      </c>
      <c r="RGD97" s="1675" t="s">
        <v>856</v>
      </c>
      <c r="RGE97" s="1675" t="s">
        <v>856</v>
      </c>
      <c r="RGF97" s="1675" t="s">
        <v>856</v>
      </c>
      <c r="RGG97" s="1675" t="s">
        <v>856</v>
      </c>
      <c r="RGH97" s="1675" t="s">
        <v>856</v>
      </c>
      <c r="RGI97" s="1675" t="s">
        <v>856</v>
      </c>
      <c r="RGJ97" s="1675" t="s">
        <v>856</v>
      </c>
      <c r="RGK97" s="1675" t="s">
        <v>856</v>
      </c>
      <c r="RGL97" s="1675" t="s">
        <v>856</v>
      </c>
      <c r="RGM97" s="1675" t="s">
        <v>856</v>
      </c>
      <c r="RGN97" s="1675" t="s">
        <v>856</v>
      </c>
      <c r="RGO97" s="1675" t="s">
        <v>856</v>
      </c>
      <c r="RGP97" s="1675" t="s">
        <v>856</v>
      </c>
      <c r="RGQ97" s="1675" t="s">
        <v>856</v>
      </c>
      <c r="RGR97" s="1675" t="s">
        <v>856</v>
      </c>
      <c r="RGS97" s="1675" t="s">
        <v>856</v>
      </c>
      <c r="RGT97" s="1675" t="s">
        <v>856</v>
      </c>
      <c r="RGU97" s="1675" t="s">
        <v>856</v>
      </c>
      <c r="RGV97" s="1675" t="s">
        <v>856</v>
      </c>
      <c r="RGW97" s="1675" t="s">
        <v>856</v>
      </c>
      <c r="RGX97" s="1675" t="s">
        <v>856</v>
      </c>
      <c r="RGY97" s="1675" t="s">
        <v>856</v>
      </c>
      <c r="RGZ97" s="1675" t="s">
        <v>856</v>
      </c>
      <c r="RHA97" s="1675" t="s">
        <v>856</v>
      </c>
      <c r="RHB97" s="1675" t="s">
        <v>856</v>
      </c>
      <c r="RHC97" s="1675" t="s">
        <v>856</v>
      </c>
      <c r="RHD97" s="1675" t="s">
        <v>856</v>
      </c>
      <c r="RHE97" s="1675" t="s">
        <v>856</v>
      </c>
      <c r="RHF97" s="1675" t="s">
        <v>856</v>
      </c>
      <c r="RHG97" s="1675" t="s">
        <v>856</v>
      </c>
      <c r="RHH97" s="1675" t="s">
        <v>856</v>
      </c>
      <c r="RHI97" s="1675" t="s">
        <v>856</v>
      </c>
      <c r="RHJ97" s="1675" t="s">
        <v>856</v>
      </c>
      <c r="RHK97" s="1675" t="s">
        <v>856</v>
      </c>
      <c r="RHL97" s="1675" t="s">
        <v>856</v>
      </c>
      <c r="RHM97" s="1675" t="s">
        <v>856</v>
      </c>
      <c r="RHN97" s="1675" t="s">
        <v>856</v>
      </c>
      <c r="RHO97" s="1675" t="s">
        <v>856</v>
      </c>
      <c r="RHP97" s="1675" t="s">
        <v>856</v>
      </c>
      <c r="RHQ97" s="1675" t="s">
        <v>856</v>
      </c>
      <c r="RHR97" s="1675" t="s">
        <v>856</v>
      </c>
      <c r="RHS97" s="1675" t="s">
        <v>856</v>
      </c>
      <c r="RHT97" s="1675" t="s">
        <v>856</v>
      </c>
      <c r="RHU97" s="1675" t="s">
        <v>856</v>
      </c>
      <c r="RHV97" s="1675" t="s">
        <v>856</v>
      </c>
      <c r="RHW97" s="1675" t="s">
        <v>856</v>
      </c>
      <c r="RHX97" s="1675" t="s">
        <v>856</v>
      </c>
      <c r="RHY97" s="1675" t="s">
        <v>856</v>
      </c>
      <c r="RHZ97" s="1675" t="s">
        <v>856</v>
      </c>
      <c r="RIA97" s="1675" t="s">
        <v>856</v>
      </c>
      <c r="RIB97" s="1675" t="s">
        <v>856</v>
      </c>
      <c r="RIC97" s="1675" t="s">
        <v>856</v>
      </c>
      <c r="RID97" s="1675" t="s">
        <v>856</v>
      </c>
      <c r="RIE97" s="1675" t="s">
        <v>856</v>
      </c>
      <c r="RIF97" s="1675" t="s">
        <v>856</v>
      </c>
      <c r="RIG97" s="1675" t="s">
        <v>856</v>
      </c>
      <c r="RIH97" s="1675" t="s">
        <v>856</v>
      </c>
      <c r="RII97" s="1675" t="s">
        <v>856</v>
      </c>
      <c r="RIJ97" s="1675" t="s">
        <v>856</v>
      </c>
      <c r="RIK97" s="1675" t="s">
        <v>856</v>
      </c>
      <c r="RIL97" s="1675" t="s">
        <v>856</v>
      </c>
      <c r="RIM97" s="1675" t="s">
        <v>856</v>
      </c>
      <c r="RIN97" s="1675" t="s">
        <v>856</v>
      </c>
      <c r="RIO97" s="1675" t="s">
        <v>856</v>
      </c>
      <c r="RIP97" s="1675" t="s">
        <v>856</v>
      </c>
      <c r="RIQ97" s="1675" t="s">
        <v>856</v>
      </c>
      <c r="RIR97" s="1675" t="s">
        <v>856</v>
      </c>
      <c r="RIS97" s="1675" t="s">
        <v>856</v>
      </c>
      <c r="RIT97" s="1675" t="s">
        <v>856</v>
      </c>
      <c r="RIU97" s="1675" t="s">
        <v>856</v>
      </c>
      <c r="RIV97" s="1675" t="s">
        <v>856</v>
      </c>
      <c r="RIW97" s="1675" t="s">
        <v>856</v>
      </c>
      <c r="RIX97" s="1675" t="s">
        <v>856</v>
      </c>
      <c r="RIY97" s="1675" t="s">
        <v>856</v>
      </c>
      <c r="RIZ97" s="1675" t="s">
        <v>856</v>
      </c>
      <c r="RJA97" s="1675" t="s">
        <v>856</v>
      </c>
      <c r="RJB97" s="1675" t="s">
        <v>856</v>
      </c>
      <c r="RJC97" s="1675" t="s">
        <v>856</v>
      </c>
      <c r="RJD97" s="1675" t="s">
        <v>856</v>
      </c>
      <c r="RJE97" s="1675" t="s">
        <v>856</v>
      </c>
      <c r="RJF97" s="1675" t="s">
        <v>856</v>
      </c>
      <c r="RJG97" s="1675" t="s">
        <v>856</v>
      </c>
      <c r="RJH97" s="1675" t="s">
        <v>856</v>
      </c>
      <c r="RJI97" s="1675" t="s">
        <v>856</v>
      </c>
      <c r="RJJ97" s="1675" t="s">
        <v>856</v>
      </c>
      <c r="RJK97" s="1675" t="s">
        <v>856</v>
      </c>
      <c r="RJL97" s="1675" t="s">
        <v>856</v>
      </c>
      <c r="RJM97" s="1675" t="s">
        <v>856</v>
      </c>
      <c r="RJN97" s="1675" t="s">
        <v>856</v>
      </c>
      <c r="RJO97" s="1675" t="s">
        <v>856</v>
      </c>
      <c r="RJP97" s="1675" t="s">
        <v>856</v>
      </c>
      <c r="RJQ97" s="1675" t="s">
        <v>856</v>
      </c>
      <c r="RJR97" s="1675" t="s">
        <v>856</v>
      </c>
      <c r="RJS97" s="1675" t="s">
        <v>856</v>
      </c>
      <c r="RJT97" s="1675" t="s">
        <v>856</v>
      </c>
      <c r="RJU97" s="1675" t="s">
        <v>856</v>
      </c>
      <c r="RJV97" s="1675" t="s">
        <v>856</v>
      </c>
      <c r="RJW97" s="1675" t="s">
        <v>856</v>
      </c>
      <c r="RJX97" s="1675" t="s">
        <v>856</v>
      </c>
      <c r="RJY97" s="1675" t="s">
        <v>856</v>
      </c>
      <c r="RJZ97" s="1675" t="s">
        <v>856</v>
      </c>
      <c r="RKA97" s="1675" t="s">
        <v>856</v>
      </c>
      <c r="RKB97" s="1675" t="s">
        <v>856</v>
      </c>
      <c r="RKC97" s="1675" t="s">
        <v>856</v>
      </c>
      <c r="RKD97" s="1675" t="s">
        <v>856</v>
      </c>
      <c r="RKE97" s="1675" t="s">
        <v>856</v>
      </c>
      <c r="RKF97" s="1675" t="s">
        <v>856</v>
      </c>
      <c r="RKG97" s="1675" t="s">
        <v>856</v>
      </c>
      <c r="RKH97" s="1675" t="s">
        <v>856</v>
      </c>
      <c r="RKI97" s="1675" t="s">
        <v>856</v>
      </c>
      <c r="RKJ97" s="1675" t="s">
        <v>856</v>
      </c>
      <c r="RKK97" s="1675" t="s">
        <v>856</v>
      </c>
      <c r="RKL97" s="1675" t="s">
        <v>856</v>
      </c>
      <c r="RKM97" s="1675" t="s">
        <v>856</v>
      </c>
      <c r="RKN97" s="1675" t="s">
        <v>856</v>
      </c>
      <c r="RKO97" s="1675" t="s">
        <v>856</v>
      </c>
      <c r="RKP97" s="1675" t="s">
        <v>856</v>
      </c>
      <c r="RKQ97" s="1675" t="s">
        <v>856</v>
      </c>
      <c r="RKR97" s="1675" t="s">
        <v>856</v>
      </c>
      <c r="RKS97" s="1675" t="s">
        <v>856</v>
      </c>
      <c r="RKT97" s="1675" t="s">
        <v>856</v>
      </c>
      <c r="RKU97" s="1675" t="s">
        <v>856</v>
      </c>
      <c r="RKV97" s="1675" t="s">
        <v>856</v>
      </c>
      <c r="RKW97" s="1675" t="s">
        <v>856</v>
      </c>
      <c r="RKX97" s="1675" t="s">
        <v>856</v>
      </c>
      <c r="RKY97" s="1675" t="s">
        <v>856</v>
      </c>
      <c r="RKZ97" s="1675" t="s">
        <v>856</v>
      </c>
      <c r="RLA97" s="1675" t="s">
        <v>856</v>
      </c>
      <c r="RLB97" s="1675" t="s">
        <v>856</v>
      </c>
      <c r="RLC97" s="1675" t="s">
        <v>856</v>
      </c>
      <c r="RLD97" s="1675" t="s">
        <v>856</v>
      </c>
      <c r="RLE97" s="1675" t="s">
        <v>856</v>
      </c>
      <c r="RLF97" s="1675" t="s">
        <v>856</v>
      </c>
      <c r="RLG97" s="1675" t="s">
        <v>856</v>
      </c>
      <c r="RLH97" s="1675" t="s">
        <v>856</v>
      </c>
      <c r="RLI97" s="1675" t="s">
        <v>856</v>
      </c>
      <c r="RLJ97" s="1675" t="s">
        <v>856</v>
      </c>
      <c r="RLK97" s="1675" t="s">
        <v>856</v>
      </c>
      <c r="RLL97" s="1675" t="s">
        <v>856</v>
      </c>
      <c r="RLM97" s="1675" t="s">
        <v>856</v>
      </c>
      <c r="RLN97" s="1675" t="s">
        <v>856</v>
      </c>
      <c r="RLO97" s="1675" t="s">
        <v>856</v>
      </c>
      <c r="RLP97" s="1675" t="s">
        <v>856</v>
      </c>
      <c r="RLQ97" s="1675" t="s">
        <v>856</v>
      </c>
      <c r="RLR97" s="1675" t="s">
        <v>856</v>
      </c>
      <c r="RLS97" s="1675" t="s">
        <v>856</v>
      </c>
      <c r="RLT97" s="1675" t="s">
        <v>856</v>
      </c>
      <c r="RLU97" s="1675" t="s">
        <v>856</v>
      </c>
      <c r="RLV97" s="1675" t="s">
        <v>856</v>
      </c>
      <c r="RLW97" s="1675" t="s">
        <v>856</v>
      </c>
      <c r="RLX97" s="1675" t="s">
        <v>856</v>
      </c>
      <c r="RLY97" s="1675" t="s">
        <v>856</v>
      </c>
      <c r="RLZ97" s="1675" t="s">
        <v>856</v>
      </c>
      <c r="RMA97" s="1675" t="s">
        <v>856</v>
      </c>
      <c r="RMB97" s="1675" t="s">
        <v>856</v>
      </c>
      <c r="RMC97" s="1675" t="s">
        <v>856</v>
      </c>
      <c r="RMD97" s="1675" t="s">
        <v>856</v>
      </c>
      <c r="RME97" s="1675" t="s">
        <v>856</v>
      </c>
      <c r="RMF97" s="1675" t="s">
        <v>856</v>
      </c>
      <c r="RMG97" s="1675" t="s">
        <v>856</v>
      </c>
      <c r="RMH97" s="1675" t="s">
        <v>856</v>
      </c>
      <c r="RMI97" s="1675" t="s">
        <v>856</v>
      </c>
      <c r="RMJ97" s="1675" t="s">
        <v>856</v>
      </c>
      <c r="RMK97" s="1675" t="s">
        <v>856</v>
      </c>
      <c r="RML97" s="1675" t="s">
        <v>856</v>
      </c>
      <c r="RMM97" s="1675" t="s">
        <v>856</v>
      </c>
      <c r="RMN97" s="1675" t="s">
        <v>856</v>
      </c>
      <c r="RMO97" s="1675" t="s">
        <v>856</v>
      </c>
      <c r="RMP97" s="1675" t="s">
        <v>856</v>
      </c>
      <c r="RMQ97" s="1675" t="s">
        <v>856</v>
      </c>
      <c r="RMR97" s="1675" t="s">
        <v>856</v>
      </c>
      <c r="RMS97" s="1675" t="s">
        <v>856</v>
      </c>
      <c r="RMT97" s="1675" t="s">
        <v>856</v>
      </c>
      <c r="RMU97" s="1675" t="s">
        <v>856</v>
      </c>
      <c r="RMV97" s="1675" t="s">
        <v>856</v>
      </c>
      <c r="RMW97" s="1675" t="s">
        <v>856</v>
      </c>
      <c r="RMX97" s="1675" t="s">
        <v>856</v>
      </c>
      <c r="RMY97" s="1675" t="s">
        <v>856</v>
      </c>
      <c r="RMZ97" s="1675" t="s">
        <v>856</v>
      </c>
      <c r="RNA97" s="1675" t="s">
        <v>856</v>
      </c>
      <c r="RNB97" s="1675" t="s">
        <v>856</v>
      </c>
      <c r="RNC97" s="1675" t="s">
        <v>856</v>
      </c>
      <c r="RND97" s="1675" t="s">
        <v>856</v>
      </c>
      <c r="RNE97" s="1675" t="s">
        <v>856</v>
      </c>
      <c r="RNF97" s="1675" t="s">
        <v>856</v>
      </c>
      <c r="RNG97" s="1675" t="s">
        <v>856</v>
      </c>
      <c r="RNH97" s="1675" t="s">
        <v>856</v>
      </c>
      <c r="RNI97" s="1675" t="s">
        <v>856</v>
      </c>
      <c r="RNJ97" s="1675" t="s">
        <v>856</v>
      </c>
      <c r="RNK97" s="1675" t="s">
        <v>856</v>
      </c>
      <c r="RNL97" s="1675" t="s">
        <v>856</v>
      </c>
      <c r="RNM97" s="1675" t="s">
        <v>856</v>
      </c>
      <c r="RNN97" s="1675" t="s">
        <v>856</v>
      </c>
      <c r="RNO97" s="1675" t="s">
        <v>856</v>
      </c>
      <c r="RNP97" s="1675" t="s">
        <v>856</v>
      </c>
      <c r="RNQ97" s="1675" t="s">
        <v>856</v>
      </c>
      <c r="RNR97" s="1675" t="s">
        <v>856</v>
      </c>
      <c r="RNS97" s="1675" t="s">
        <v>856</v>
      </c>
      <c r="RNT97" s="1675" t="s">
        <v>856</v>
      </c>
      <c r="RNU97" s="1675" t="s">
        <v>856</v>
      </c>
      <c r="RNV97" s="1675" t="s">
        <v>856</v>
      </c>
      <c r="RNW97" s="1675" t="s">
        <v>856</v>
      </c>
      <c r="RNX97" s="1675" t="s">
        <v>856</v>
      </c>
      <c r="RNY97" s="1675" t="s">
        <v>856</v>
      </c>
      <c r="RNZ97" s="1675" t="s">
        <v>856</v>
      </c>
      <c r="ROA97" s="1675" t="s">
        <v>856</v>
      </c>
      <c r="ROB97" s="1675" t="s">
        <v>856</v>
      </c>
      <c r="ROC97" s="1675" t="s">
        <v>856</v>
      </c>
      <c r="ROD97" s="1675" t="s">
        <v>856</v>
      </c>
      <c r="ROE97" s="1675" t="s">
        <v>856</v>
      </c>
      <c r="ROF97" s="1675" t="s">
        <v>856</v>
      </c>
      <c r="ROG97" s="1675" t="s">
        <v>856</v>
      </c>
      <c r="ROH97" s="1675" t="s">
        <v>856</v>
      </c>
      <c r="ROI97" s="1675" t="s">
        <v>856</v>
      </c>
      <c r="ROJ97" s="1675" t="s">
        <v>856</v>
      </c>
      <c r="ROK97" s="1675" t="s">
        <v>856</v>
      </c>
      <c r="ROL97" s="1675" t="s">
        <v>856</v>
      </c>
      <c r="ROM97" s="1675" t="s">
        <v>856</v>
      </c>
      <c r="RON97" s="1675" t="s">
        <v>856</v>
      </c>
      <c r="ROO97" s="1675" t="s">
        <v>856</v>
      </c>
      <c r="ROP97" s="1675" t="s">
        <v>856</v>
      </c>
      <c r="ROQ97" s="1675" t="s">
        <v>856</v>
      </c>
      <c r="ROR97" s="1675" t="s">
        <v>856</v>
      </c>
      <c r="ROS97" s="1675" t="s">
        <v>856</v>
      </c>
      <c r="ROT97" s="1675" t="s">
        <v>856</v>
      </c>
      <c r="ROU97" s="1675" t="s">
        <v>856</v>
      </c>
      <c r="ROV97" s="1675" t="s">
        <v>856</v>
      </c>
      <c r="ROW97" s="1675" t="s">
        <v>856</v>
      </c>
      <c r="ROX97" s="1675" t="s">
        <v>856</v>
      </c>
      <c r="ROY97" s="1675" t="s">
        <v>856</v>
      </c>
      <c r="ROZ97" s="1675" t="s">
        <v>856</v>
      </c>
      <c r="RPA97" s="1675" t="s">
        <v>856</v>
      </c>
      <c r="RPB97" s="1675" t="s">
        <v>856</v>
      </c>
      <c r="RPC97" s="1675" t="s">
        <v>856</v>
      </c>
      <c r="RPD97" s="1675" t="s">
        <v>856</v>
      </c>
      <c r="RPE97" s="1675" t="s">
        <v>856</v>
      </c>
      <c r="RPF97" s="1675" t="s">
        <v>856</v>
      </c>
      <c r="RPG97" s="1675" t="s">
        <v>856</v>
      </c>
      <c r="RPH97" s="1675" t="s">
        <v>856</v>
      </c>
      <c r="RPI97" s="1675" t="s">
        <v>856</v>
      </c>
      <c r="RPJ97" s="1675" t="s">
        <v>856</v>
      </c>
      <c r="RPK97" s="1675" t="s">
        <v>856</v>
      </c>
      <c r="RPL97" s="1675" t="s">
        <v>856</v>
      </c>
      <c r="RPM97" s="1675" t="s">
        <v>856</v>
      </c>
      <c r="RPN97" s="1675" t="s">
        <v>856</v>
      </c>
      <c r="RPO97" s="1675" t="s">
        <v>856</v>
      </c>
      <c r="RPP97" s="1675" t="s">
        <v>856</v>
      </c>
      <c r="RPQ97" s="1675" t="s">
        <v>856</v>
      </c>
      <c r="RPR97" s="1675" t="s">
        <v>856</v>
      </c>
      <c r="RPS97" s="1675" t="s">
        <v>856</v>
      </c>
      <c r="RPT97" s="1675" t="s">
        <v>856</v>
      </c>
      <c r="RPU97" s="1675" t="s">
        <v>856</v>
      </c>
      <c r="RPV97" s="1675" t="s">
        <v>856</v>
      </c>
      <c r="RPW97" s="1675" t="s">
        <v>856</v>
      </c>
      <c r="RPX97" s="1675" t="s">
        <v>856</v>
      </c>
      <c r="RPY97" s="1675" t="s">
        <v>856</v>
      </c>
      <c r="RPZ97" s="1675" t="s">
        <v>856</v>
      </c>
      <c r="RQA97" s="1675" t="s">
        <v>856</v>
      </c>
      <c r="RQB97" s="1675" t="s">
        <v>856</v>
      </c>
      <c r="RQC97" s="1675" t="s">
        <v>856</v>
      </c>
      <c r="RQD97" s="1675" t="s">
        <v>856</v>
      </c>
      <c r="RQE97" s="1675" t="s">
        <v>856</v>
      </c>
      <c r="RQF97" s="1675" t="s">
        <v>856</v>
      </c>
      <c r="RQG97" s="1675" t="s">
        <v>856</v>
      </c>
      <c r="RQH97" s="1675" t="s">
        <v>856</v>
      </c>
      <c r="RQI97" s="1675" t="s">
        <v>856</v>
      </c>
      <c r="RQJ97" s="1675" t="s">
        <v>856</v>
      </c>
      <c r="RQK97" s="1675" t="s">
        <v>856</v>
      </c>
      <c r="RQL97" s="1675" t="s">
        <v>856</v>
      </c>
      <c r="RQM97" s="1675" t="s">
        <v>856</v>
      </c>
      <c r="RQN97" s="1675" t="s">
        <v>856</v>
      </c>
      <c r="RQO97" s="1675" t="s">
        <v>856</v>
      </c>
      <c r="RQP97" s="1675" t="s">
        <v>856</v>
      </c>
      <c r="RQQ97" s="1675" t="s">
        <v>856</v>
      </c>
      <c r="RQR97" s="1675" t="s">
        <v>856</v>
      </c>
      <c r="RQS97" s="1675" t="s">
        <v>856</v>
      </c>
      <c r="RQT97" s="1675" t="s">
        <v>856</v>
      </c>
      <c r="RQU97" s="1675" t="s">
        <v>856</v>
      </c>
      <c r="RQV97" s="1675" t="s">
        <v>856</v>
      </c>
      <c r="RQW97" s="1675" t="s">
        <v>856</v>
      </c>
      <c r="RQX97" s="1675" t="s">
        <v>856</v>
      </c>
      <c r="RQY97" s="1675" t="s">
        <v>856</v>
      </c>
      <c r="RQZ97" s="1675" t="s">
        <v>856</v>
      </c>
      <c r="RRA97" s="1675" t="s">
        <v>856</v>
      </c>
      <c r="RRB97" s="1675" t="s">
        <v>856</v>
      </c>
      <c r="RRC97" s="1675" t="s">
        <v>856</v>
      </c>
      <c r="RRD97" s="1675" t="s">
        <v>856</v>
      </c>
      <c r="RRE97" s="1675" t="s">
        <v>856</v>
      </c>
      <c r="RRF97" s="1675" t="s">
        <v>856</v>
      </c>
      <c r="RRG97" s="1675" t="s">
        <v>856</v>
      </c>
      <c r="RRH97" s="1675" t="s">
        <v>856</v>
      </c>
      <c r="RRI97" s="1675" t="s">
        <v>856</v>
      </c>
      <c r="RRJ97" s="1675" t="s">
        <v>856</v>
      </c>
      <c r="RRK97" s="1675" t="s">
        <v>856</v>
      </c>
      <c r="RRL97" s="1675" t="s">
        <v>856</v>
      </c>
      <c r="RRM97" s="1675" t="s">
        <v>856</v>
      </c>
      <c r="RRN97" s="1675" t="s">
        <v>856</v>
      </c>
      <c r="RRO97" s="1675" t="s">
        <v>856</v>
      </c>
      <c r="RRP97" s="1675" t="s">
        <v>856</v>
      </c>
      <c r="RRQ97" s="1675" t="s">
        <v>856</v>
      </c>
      <c r="RRR97" s="1675" t="s">
        <v>856</v>
      </c>
      <c r="RRS97" s="1675" t="s">
        <v>856</v>
      </c>
      <c r="RRT97" s="1675" t="s">
        <v>856</v>
      </c>
      <c r="RRU97" s="1675" t="s">
        <v>856</v>
      </c>
      <c r="RRV97" s="1675" t="s">
        <v>856</v>
      </c>
      <c r="RRW97" s="1675" t="s">
        <v>856</v>
      </c>
      <c r="RRX97" s="1675" t="s">
        <v>856</v>
      </c>
      <c r="RRY97" s="1675" t="s">
        <v>856</v>
      </c>
      <c r="RRZ97" s="1675" t="s">
        <v>856</v>
      </c>
      <c r="RSA97" s="1675" t="s">
        <v>856</v>
      </c>
      <c r="RSB97" s="1675" t="s">
        <v>856</v>
      </c>
      <c r="RSC97" s="1675" t="s">
        <v>856</v>
      </c>
      <c r="RSD97" s="1675" t="s">
        <v>856</v>
      </c>
      <c r="RSE97" s="1675" t="s">
        <v>856</v>
      </c>
      <c r="RSF97" s="1675" t="s">
        <v>856</v>
      </c>
      <c r="RSG97" s="1675" t="s">
        <v>856</v>
      </c>
      <c r="RSH97" s="1675" t="s">
        <v>856</v>
      </c>
      <c r="RSI97" s="1675" t="s">
        <v>856</v>
      </c>
      <c r="RSJ97" s="1675" t="s">
        <v>856</v>
      </c>
      <c r="RSK97" s="1675" t="s">
        <v>856</v>
      </c>
      <c r="RSL97" s="1675" t="s">
        <v>856</v>
      </c>
      <c r="RSM97" s="1675" t="s">
        <v>856</v>
      </c>
      <c r="RSN97" s="1675" t="s">
        <v>856</v>
      </c>
      <c r="RSO97" s="1675" t="s">
        <v>856</v>
      </c>
      <c r="RSP97" s="1675" t="s">
        <v>856</v>
      </c>
      <c r="RSQ97" s="1675" t="s">
        <v>856</v>
      </c>
      <c r="RSR97" s="1675" t="s">
        <v>856</v>
      </c>
      <c r="RSS97" s="1675" t="s">
        <v>856</v>
      </c>
      <c r="RST97" s="1675" t="s">
        <v>856</v>
      </c>
      <c r="RSU97" s="1675" t="s">
        <v>856</v>
      </c>
      <c r="RSV97" s="1675" t="s">
        <v>856</v>
      </c>
      <c r="RSW97" s="1675" t="s">
        <v>856</v>
      </c>
      <c r="RSX97" s="1675" t="s">
        <v>856</v>
      </c>
      <c r="RSY97" s="1675" t="s">
        <v>856</v>
      </c>
      <c r="RSZ97" s="1675" t="s">
        <v>856</v>
      </c>
      <c r="RTA97" s="1675" t="s">
        <v>856</v>
      </c>
      <c r="RTB97" s="1675" t="s">
        <v>856</v>
      </c>
      <c r="RTC97" s="1675" t="s">
        <v>856</v>
      </c>
      <c r="RTD97" s="1675" t="s">
        <v>856</v>
      </c>
      <c r="RTE97" s="1675" t="s">
        <v>856</v>
      </c>
      <c r="RTF97" s="1675" t="s">
        <v>856</v>
      </c>
      <c r="RTG97" s="1675" t="s">
        <v>856</v>
      </c>
      <c r="RTH97" s="1675" t="s">
        <v>856</v>
      </c>
      <c r="RTI97" s="1675" t="s">
        <v>856</v>
      </c>
      <c r="RTJ97" s="1675" t="s">
        <v>856</v>
      </c>
      <c r="RTK97" s="1675" t="s">
        <v>856</v>
      </c>
      <c r="RTL97" s="1675" t="s">
        <v>856</v>
      </c>
      <c r="RTM97" s="1675" t="s">
        <v>856</v>
      </c>
      <c r="RTN97" s="1675" t="s">
        <v>856</v>
      </c>
      <c r="RTO97" s="1675" t="s">
        <v>856</v>
      </c>
      <c r="RTP97" s="1675" t="s">
        <v>856</v>
      </c>
      <c r="RTQ97" s="1675" t="s">
        <v>856</v>
      </c>
      <c r="RTR97" s="1675" t="s">
        <v>856</v>
      </c>
      <c r="RTS97" s="1675" t="s">
        <v>856</v>
      </c>
      <c r="RTT97" s="1675" t="s">
        <v>856</v>
      </c>
      <c r="RTU97" s="1675" t="s">
        <v>856</v>
      </c>
      <c r="RTV97" s="1675" t="s">
        <v>856</v>
      </c>
      <c r="RTW97" s="1675" t="s">
        <v>856</v>
      </c>
      <c r="RTX97" s="1675" t="s">
        <v>856</v>
      </c>
      <c r="RTY97" s="1675" t="s">
        <v>856</v>
      </c>
      <c r="RTZ97" s="1675" t="s">
        <v>856</v>
      </c>
      <c r="RUA97" s="1675" t="s">
        <v>856</v>
      </c>
      <c r="RUB97" s="1675" t="s">
        <v>856</v>
      </c>
      <c r="RUC97" s="1675" t="s">
        <v>856</v>
      </c>
      <c r="RUD97" s="1675" t="s">
        <v>856</v>
      </c>
      <c r="RUE97" s="1675" t="s">
        <v>856</v>
      </c>
      <c r="RUF97" s="1675" t="s">
        <v>856</v>
      </c>
      <c r="RUG97" s="1675" t="s">
        <v>856</v>
      </c>
      <c r="RUH97" s="1675" t="s">
        <v>856</v>
      </c>
      <c r="RUI97" s="1675" t="s">
        <v>856</v>
      </c>
      <c r="RUJ97" s="1675" t="s">
        <v>856</v>
      </c>
      <c r="RUK97" s="1675" t="s">
        <v>856</v>
      </c>
      <c r="RUL97" s="1675" t="s">
        <v>856</v>
      </c>
      <c r="RUM97" s="1675" t="s">
        <v>856</v>
      </c>
      <c r="RUN97" s="1675" t="s">
        <v>856</v>
      </c>
      <c r="RUO97" s="1675" t="s">
        <v>856</v>
      </c>
      <c r="RUP97" s="1675" t="s">
        <v>856</v>
      </c>
      <c r="RUQ97" s="1675" t="s">
        <v>856</v>
      </c>
      <c r="RUR97" s="1675" t="s">
        <v>856</v>
      </c>
      <c r="RUS97" s="1675" t="s">
        <v>856</v>
      </c>
      <c r="RUT97" s="1675" t="s">
        <v>856</v>
      </c>
      <c r="RUU97" s="1675" t="s">
        <v>856</v>
      </c>
      <c r="RUV97" s="1675" t="s">
        <v>856</v>
      </c>
      <c r="RUW97" s="1675" t="s">
        <v>856</v>
      </c>
      <c r="RUX97" s="1675" t="s">
        <v>856</v>
      </c>
      <c r="RUY97" s="1675" t="s">
        <v>856</v>
      </c>
      <c r="RUZ97" s="1675" t="s">
        <v>856</v>
      </c>
      <c r="RVA97" s="1675" t="s">
        <v>856</v>
      </c>
      <c r="RVB97" s="1675" t="s">
        <v>856</v>
      </c>
      <c r="RVC97" s="1675" t="s">
        <v>856</v>
      </c>
      <c r="RVD97" s="1675" t="s">
        <v>856</v>
      </c>
      <c r="RVE97" s="1675" t="s">
        <v>856</v>
      </c>
      <c r="RVF97" s="1675" t="s">
        <v>856</v>
      </c>
      <c r="RVG97" s="1675" t="s">
        <v>856</v>
      </c>
      <c r="RVH97" s="1675" t="s">
        <v>856</v>
      </c>
      <c r="RVI97" s="1675" t="s">
        <v>856</v>
      </c>
      <c r="RVJ97" s="1675" t="s">
        <v>856</v>
      </c>
      <c r="RVK97" s="1675" t="s">
        <v>856</v>
      </c>
      <c r="RVL97" s="1675" t="s">
        <v>856</v>
      </c>
      <c r="RVM97" s="1675" t="s">
        <v>856</v>
      </c>
      <c r="RVN97" s="1675" t="s">
        <v>856</v>
      </c>
      <c r="RVO97" s="1675" t="s">
        <v>856</v>
      </c>
      <c r="RVP97" s="1675" t="s">
        <v>856</v>
      </c>
      <c r="RVQ97" s="1675" t="s">
        <v>856</v>
      </c>
      <c r="RVR97" s="1675" t="s">
        <v>856</v>
      </c>
      <c r="RVS97" s="1675" t="s">
        <v>856</v>
      </c>
      <c r="RVT97" s="1675" t="s">
        <v>856</v>
      </c>
      <c r="RVU97" s="1675" t="s">
        <v>856</v>
      </c>
      <c r="RVV97" s="1675" t="s">
        <v>856</v>
      </c>
      <c r="RVW97" s="1675" t="s">
        <v>856</v>
      </c>
      <c r="RVX97" s="1675" t="s">
        <v>856</v>
      </c>
      <c r="RVY97" s="1675" t="s">
        <v>856</v>
      </c>
      <c r="RVZ97" s="1675" t="s">
        <v>856</v>
      </c>
      <c r="RWA97" s="1675" t="s">
        <v>856</v>
      </c>
      <c r="RWB97" s="1675" t="s">
        <v>856</v>
      </c>
      <c r="RWC97" s="1675" t="s">
        <v>856</v>
      </c>
      <c r="RWD97" s="1675" t="s">
        <v>856</v>
      </c>
      <c r="RWE97" s="1675" t="s">
        <v>856</v>
      </c>
      <c r="RWF97" s="1675" t="s">
        <v>856</v>
      </c>
      <c r="RWG97" s="1675" t="s">
        <v>856</v>
      </c>
      <c r="RWH97" s="1675" t="s">
        <v>856</v>
      </c>
      <c r="RWI97" s="1675" t="s">
        <v>856</v>
      </c>
      <c r="RWJ97" s="1675" t="s">
        <v>856</v>
      </c>
      <c r="RWK97" s="1675" t="s">
        <v>856</v>
      </c>
      <c r="RWL97" s="1675" t="s">
        <v>856</v>
      </c>
      <c r="RWM97" s="1675" t="s">
        <v>856</v>
      </c>
      <c r="RWN97" s="1675" t="s">
        <v>856</v>
      </c>
      <c r="RWO97" s="1675" t="s">
        <v>856</v>
      </c>
      <c r="RWP97" s="1675" t="s">
        <v>856</v>
      </c>
      <c r="RWQ97" s="1675" t="s">
        <v>856</v>
      </c>
      <c r="RWR97" s="1675" t="s">
        <v>856</v>
      </c>
      <c r="RWS97" s="1675" t="s">
        <v>856</v>
      </c>
      <c r="RWT97" s="1675" t="s">
        <v>856</v>
      </c>
      <c r="RWU97" s="1675" t="s">
        <v>856</v>
      </c>
      <c r="RWV97" s="1675" t="s">
        <v>856</v>
      </c>
      <c r="RWW97" s="1675" t="s">
        <v>856</v>
      </c>
      <c r="RWX97" s="1675" t="s">
        <v>856</v>
      </c>
      <c r="RWY97" s="1675" t="s">
        <v>856</v>
      </c>
      <c r="RWZ97" s="1675" t="s">
        <v>856</v>
      </c>
      <c r="RXA97" s="1675" t="s">
        <v>856</v>
      </c>
      <c r="RXB97" s="1675" t="s">
        <v>856</v>
      </c>
      <c r="RXC97" s="1675" t="s">
        <v>856</v>
      </c>
      <c r="RXD97" s="1675" t="s">
        <v>856</v>
      </c>
      <c r="RXE97" s="1675" t="s">
        <v>856</v>
      </c>
      <c r="RXF97" s="1675" t="s">
        <v>856</v>
      </c>
      <c r="RXG97" s="1675" t="s">
        <v>856</v>
      </c>
      <c r="RXH97" s="1675" t="s">
        <v>856</v>
      </c>
      <c r="RXI97" s="1675" t="s">
        <v>856</v>
      </c>
      <c r="RXJ97" s="1675" t="s">
        <v>856</v>
      </c>
      <c r="RXK97" s="1675" t="s">
        <v>856</v>
      </c>
      <c r="RXL97" s="1675" t="s">
        <v>856</v>
      </c>
      <c r="RXM97" s="1675" t="s">
        <v>856</v>
      </c>
      <c r="RXN97" s="1675" t="s">
        <v>856</v>
      </c>
      <c r="RXO97" s="1675" t="s">
        <v>856</v>
      </c>
      <c r="RXP97" s="1675" t="s">
        <v>856</v>
      </c>
      <c r="RXQ97" s="1675" t="s">
        <v>856</v>
      </c>
      <c r="RXR97" s="1675" t="s">
        <v>856</v>
      </c>
      <c r="RXS97" s="1675" t="s">
        <v>856</v>
      </c>
      <c r="RXT97" s="1675" t="s">
        <v>856</v>
      </c>
      <c r="RXU97" s="1675" t="s">
        <v>856</v>
      </c>
      <c r="RXV97" s="1675" t="s">
        <v>856</v>
      </c>
      <c r="RXW97" s="1675" t="s">
        <v>856</v>
      </c>
      <c r="RXX97" s="1675" t="s">
        <v>856</v>
      </c>
      <c r="RXY97" s="1675" t="s">
        <v>856</v>
      </c>
      <c r="RXZ97" s="1675" t="s">
        <v>856</v>
      </c>
      <c r="RYA97" s="1675" t="s">
        <v>856</v>
      </c>
      <c r="RYB97" s="1675" t="s">
        <v>856</v>
      </c>
      <c r="RYC97" s="1675" t="s">
        <v>856</v>
      </c>
      <c r="RYD97" s="1675" t="s">
        <v>856</v>
      </c>
      <c r="RYE97" s="1675" t="s">
        <v>856</v>
      </c>
      <c r="RYF97" s="1675" t="s">
        <v>856</v>
      </c>
      <c r="RYG97" s="1675" t="s">
        <v>856</v>
      </c>
      <c r="RYH97" s="1675" t="s">
        <v>856</v>
      </c>
      <c r="RYI97" s="1675" t="s">
        <v>856</v>
      </c>
      <c r="RYJ97" s="1675" t="s">
        <v>856</v>
      </c>
      <c r="RYK97" s="1675" t="s">
        <v>856</v>
      </c>
      <c r="RYL97" s="1675" t="s">
        <v>856</v>
      </c>
      <c r="RYM97" s="1675" t="s">
        <v>856</v>
      </c>
      <c r="RYN97" s="1675" t="s">
        <v>856</v>
      </c>
      <c r="RYO97" s="1675" t="s">
        <v>856</v>
      </c>
      <c r="RYP97" s="1675" t="s">
        <v>856</v>
      </c>
      <c r="RYQ97" s="1675" t="s">
        <v>856</v>
      </c>
      <c r="RYR97" s="1675" t="s">
        <v>856</v>
      </c>
      <c r="RYS97" s="1675" t="s">
        <v>856</v>
      </c>
      <c r="RYT97" s="1675" t="s">
        <v>856</v>
      </c>
      <c r="RYU97" s="1675" t="s">
        <v>856</v>
      </c>
      <c r="RYV97" s="1675" t="s">
        <v>856</v>
      </c>
      <c r="RYW97" s="1675" t="s">
        <v>856</v>
      </c>
      <c r="RYX97" s="1675" t="s">
        <v>856</v>
      </c>
      <c r="RYY97" s="1675" t="s">
        <v>856</v>
      </c>
      <c r="RYZ97" s="1675" t="s">
        <v>856</v>
      </c>
      <c r="RZA97" s="1675" t="s">
        <v>856</v>
      </c>
      <c r="RZB97" s="1675" t="s">
        <v>856</v>
      </c>
      <c r="RZC97" s="1675" t="s">
        <v>856</v>
      </c>
      <c r="RZD97" s="1675" t="s">
        <v>856</v>
      </c>
      <c r="RZE97" s="1675" t="s">
        <v>856</v>
      </c>
      <c r="RZF97" s="1675" t="s">
        <v>856</v>
      </c>
      <c r="RZG97" s="1675" t="s">
        <v>856</v>
      </c>
      <c r="RZH97" s="1675" t="s">
        <v>856</v>
      </c>
      <c r="RZI97" s="1675" t="s">
        <v>856</v>
      </c>
      <c r="RZJ97" s="1675" t="s">
        <v>856</v>
      </c>
      <c r="RZK97" s="1675" t="s">
        <v>856</v>
      </c>
      <c r="RZL97" s="1675" t="s">
        <v>856</v>
      </c>
      <c r="RZM97" s="1675" t="s">
        <v>856</v>
      </c>
      <c r="RZN97" s="1675" t="s">
        <v>856</v>
      </c>
      <c r="RZO97" s="1675" t="s">
        <v>856</v>
      </c>
      <c r="RZP97" s="1675" t="s">
        <v>856</v>
      </c>
      <c r="RZQ97" s="1675" t="s">
        <v>856</v>
      </c>
      <c r="RZR97" s="1675" t="s">
        <v>856</v>
      </c>
      <c r="RZS97" s="1675" t="s">
        <v>856</v>
      </c>
      <c r="RZT97" s="1675" t="s">
        <v>856</v>
      </c>
      <c r="RZU97" s="1675" t="s">
        <v>856</v>
      </c>
      <c r="RZV97" s="1675" t="s">
        <v>856</v>
      </c>
      <c r="RZW97" s="1675" t="s">
        <v>856</v>
      </c>
      <c r="RZX97" s="1675" t="s">
        <v>856</v>
      </c>
      <c r="RZY97" s="1675" t="s">
        <v>856</v>
      </c>
      <c r="RZZ97" s="1675" t="s">
        <v>856</v>
      </c>
      <c r="SAA97" s="1675" t="s">
        <v>856</v>
      </c>
      <c r="SAB97" s="1675" t="s">
        <v>856</v>
      </c>
      <c r="SAC97" s="1675" t="s">
        <v>856</v>
      </c>
      <c r="SAD97" s="1675" t="s">
        <v>856</v>
      </c>
      <c r="SAE97" s="1675" t="s">
        <v>856</v>
      </c>
      <c r="SAF97" s="1675" t="s">
        <v>856</v>
      </c>
      <c r="SAG97" s="1675" t="s">
        <v>856</v>
      </c>
      <c r="SAH97" s="1675" t="s">
        <v>856</v>
      </c>
      <c r="SAI97" s="1675" t="s">
        <v>856</v>
      </c>
      <c r="SAJ97" s="1675" t="s">
        <v>856</v>
      </c>
      <c r="SAK97" s="1675" t="s">
        <v>856</v>
      </c>
      <c r="SAL97" s="1675" t="s">
        <v>856</v>
      </c>
      <c r="SAM97" s="1675" t="s">
        <v>856</v>
      </c>
      <c r="SAN97" s="1675" t="s">
        <v>856</v>
      </c>
      <c r="SAO97" s="1675" t="s">
        <v>856</v>
      </c>
      <c r="SAP97" s="1675" t="s">
        <v>856</v>
      </c>
      <c r="SAQ97" s="1675" t="s">
        <v>856</v>
      </c>
      <c r="SAR97" s="1675" t="s">
        <v>856</v>
      </c>
      <c r="SAS97" s="1675" t="s">
        <v>856</v>
      </c>
      <c r="SAT97" s="1675" t="s">
        <v>856</v>
      </c>
      <c r="SAU97" s="1675" t="s">
        <v>856</v>
      </c>
      <c r="SAV97" s="1675" t="s">
        <v>856</v>
      </c>
      <c r="SAW97" s="1675" t="s">
        <v>856</v>
      </c>
      <c r="SAX97" s="1675" t="s">
        <v>856</v>
      </c>
      <c r="SAY97" s="1675" t="s">
        <v>856</v>
      </c>
      <c r="SAZ97" s="1675" t="s">
        <v>856</v>
      </c>
      <c r="SBA97" s="1675" t="s">
        <v>856</v>
      </c>
      <c r="SBB97" s="1675" t="s">
        <v>856</v>
      </c>
      <c r="SBC97" s="1675" t="s">
        <v>856</v>
      </c>
      <c r="SBD97" s="1675" t="s">
        <v>856</v>
      </c>
      <c r="SBE97" s="1675" t="s">
        <v>856</v>
      </c>
      <c r="SBF97" s="1675" t="s">
        <v>856</v>
      </c>
      <c r="SBG97" s="1675" t="s">
        <v>856</v>
      </c>
      <c r="SBH97" s="1675" t="s">
        <v>856</v>
      </c>
      <c r="SBI97" s="1675" t="s">
        <v>856</v>
      </c>
      <c r="SBJ97" s="1675" t="s">
        <v>856</v>
      </c>
      <c r="SBK97" s="1675" t="s">
        <v>856</v>
      </c>
      <c r="SBL97" s="1675" t="s">
        <v>856</v>
      </c>
      <c r="SBM97" s="1675" t="s">
        <v>856</v>
      </c>
      <c r="SBN97" s="1675" t="s">
        <v>856</v>
      </c>
      <c r="SBO97" s="1675" t="s">
        <v>856</v>
      </c>
      <c r="SBP97" s="1675" t="s">
        <v>856</v>
      </c>
      <c r="SBQ97" s="1675" t="s">
        <v>856</v>
      </c>
      <c r="SBR97" s="1675" t="s">
        <v>856</v>
      </c>
      <c r="SBS97" s="1675" t="s">
        <v>856</v>
      </c>
      <c r="SBT97" s="1675" t="s">
        <v>856</v>
      </c>
      <c r="SBU97" s="1675" t="s">
        <v>856</v>
      </c>
      <c r="SBV97" s="1675" t="s">
        <v>856</v>
      </c>
      <c r="SBW97" s="1675" t="s">
        <v>856</v>
      </c>
      <c r="SBX97" s="1675" t="s">
        <v>856</v>
      </c>
      <c r="SBY97" s="1675" t="s">
        <v>856</v>
      </c>
      <c r="SBZ97" s="1675" t="s">
        <v>856</v>
      </c>
      <c r="SCA97" s="1675" t="s">
        <v>856</v>
      </c>
      <c r="SCB97" s="1675" t="s">
        <v>856</v>
      </c>
      <c r="SCC97" s="1675" t="s">
        <v>856</v>
      </c>
      <c r="SCD97" s="1675" t="s">
        <v>856</v>
      </c>
      <c r="SCE97" s="1675" t="s">
        <v>856</v>
      </c>
      <c r="SCF97" s="1675" t="s">
        <v>856</v>
      </c>
      <c r="SCG97" s="1675" t="s">
        <v>856</v>
      </c>
      <c r="SCH97" s="1675" t="s">
        <v>856</v>
      </c>
      <c r="SCI97" s="1675" t="s">
        <v>856</v>
      </c>
      <c r="SCJ97" s="1675" t="s">
        <v>856</v>
      </c>
      <c r="SCK97" s="1675" t="s">
        <v>856</v>
      </c>
      <c r="SCL97" s="1675" t="s">
        <v>856</v>
      </c>
      <c r="SCM97" s="1675" t="s">
        <v>856</v>
      </c>
      <c r="SCN97" s="1675" t="s">
        <v>856</v>
      </c>
      <c r="SCO97" s="1675" t="s">
        <v>856</v>
      </c>
      <c r="SCP97" s="1675" t="s">
        <v>856</v>
      </c>
      <c r="SCQ97" s="1675" t="s">
        <v>856</v>
      </c>
      <c r="SCR97" s="1675" t="s">
        <v>856</v>
      </c>
      <c r="SCS97" s="1675" t="s">
        <v>856</v>
      </c>
      <c r="SCT97" s="1675" t="s">
        <v>856</v>
      </c>
      <c r="SCU97" s="1675" t="s">
        <v>856</v>
      </c>
      <c r="SCV97" s="1675" t="s">
        <v>856</v>
      </c>
      <c r="SCW97" s="1675" t="s">
        <v>856</v>
      </c>
      <c r="SCX97" s="1675" t="s">
        <v>856</v>
      </c>
      <c r="SCY97" s="1675" t="s">
        <v>856</v>
      </c>
      <c r="SCZ97" s="1675" t="s">
        <v>856</v>
      </c>
      <c r="SDA97" s="1675" t="s">
        <v>856</v>
      </c>
      <c r="SDB97" s="1675" t="s">
        <v>856</v>
      </c>
      <c r="SDC97" s="1675" t="s">
        <v>856</v>
      </c>
      <c r="SDD97" s="1675" t="s">
        <v>856</v>
      </c>
      <c r="SDE97" s="1675" t="s">
        <v>856</v>
      </c>
      <c r="SDF97" s="1675" t="s">
        <v>856</v>
      </c>
      <c r="SDG97" s="1675" t="s">
        <v>856</v>
      </c>
      <c r="SDH97" s="1675" t="s">
        <v>856</v>
      </c>
      <c r="SDI97" s="1675" t="s">
        <v>856</v>
      </c>
      <c r="SDJ97" s="1675" t="s">
        <v>856</v>
      </c>
      <c r="SDK97" s="1675" t="s">
        <v>856</v>
      </c>
      <c r="SDL97" s="1675" t="s">
        <v>856</v>
      </c>
      <c r="SDM97" s="1675" t="s">
        <v>856</v>
      </c>
      <c r="SDN97" s="1675" t="s">
        <v>856</v>
      </c>
      <c r="SDO97" s="1675" t="s">
        <v>856</v>
      </c>
      <c r="SDP97" s="1675" t="s">
        <v>856</v>
      </c>
      <c r="SDQ97" s="1675" t="s">
        <v>856</v>
      </c>
      <c r="SDR97" s="1675" t="s">
        <v>856</v>
      </c>
      <c r="SDS97" s="1675" t="s">
        <v>856</v>
      </c>
      <c r="SDT97" s="1675" t="s">
        <v>856</v>
      </c>
      <c r="SDU97" s="1675" t="s">
        <v>856</v>
      </c>
      <c r="SDV97" s="1675" t="s">
        <v>856</v>
      </c>
      <c r="SDW97" s="1675" t="s">
        <v>856</v>
      </c>
      <c r="SDX97" s="1675" t="s">
        <v>856</v>
      </c>
      <c r="SDY97" s="1675" t="s">
        <v>856</v>
      </c>
      <c r="SDZ97" s="1675" t="s">
        <v>856</v>
      </c>
      <c r="SEA97" s="1675" t="s">
        <v>856</v>
      </c>
      <c r="SEB97" s="1675" t="s">
        <v>856</v>
      </c>
      <c r="SEC97" s="1675" t="s">
        <v>856</v>
      </c>
      <c r="SED97" s="1675" t="s">
        <v>856</v>
      </c>
      <c r="SEE97" s="1675" t="s">
        <v>856</v>
      </c>
      <c r="SEF97" s="1675" t="s">
        <v>856</v>
      </c>
      <c r="SEG97" s="1675" t="s">
        <v>856</v>
      </c>
      <c r="SEH97" s="1675" t="s">
        <v>856</v>
      </c>
      <c r="SEI97" s="1675" t="s">
        <v>856</v>
      </c>
      <c r="SEJ97" s="1675" t="s">
        <v>856</v>
      </c>
      <c r="SEK97" s="1675" t="s">
        <v>856</v>
      </c>
      <c r="SEL97" s="1675" t="s">
        <v>856</v>
      </c>
      <c r="SEM97" s="1675" t="s">
        <v>856</v>
      </c>
      <c r="SEN97" s="1675" t="s">
        <v>856</v>
      </c>
      <c r="SEO97" s="1675" t="s">
        <v>856</v>
      </c>
      <c r="SEP97" s="1675" t="s">
        <v>856</v>
      </c>
      <c r="SEQ97" s="1675" t="s">
        <v>856</v>
      </c>
      <c r="SER97" s="1675" t="s">
        <v>856</v>
      </c>
      <c r="SES97" s="1675" t="s">
        <v>856</v>
      </c>
      <c r="SET97" s="1675" t="s">
        <v>856</v>
      </c>
      <c r="SEU97" s="1675" t="s">
        <v>856</v>
      </c>
      <c r="SEV97" s="1675" t="s">
        <v>856</v>
      </c>
      <c r="SEW97" s="1675" t="s">
        <v>856</v>
      </c>
      <c r="SEX97" s="1675" t="s">
        <v>856</v>
      </c>
      <c r="SEY97" s="1675" t="s">
        <v>856</v>
      </c>
      <c r="SEZ97" s="1675" t="s">
        <v>856</v>
      </c>
      <c r="SFA97" s="1675" t="s">
        <v>856</v>
      </c>
      <c r="SFB97" s="1675" t="s">
        <v>856</v>
      </c>
      <c r="SFC97" s="1675" t="s">
        <v>856</v>
      </c>
      <c r="SFD97" s="1675" t="s">
        <v>856</v>
      </c>
      <c r="SFE97" s="1675" t="s">
        <v>856</v>
      </c>
      <c r="SFF97" s="1675" t="s">
        <v>856</v>
      </c>
      <c r="SFG97" s="1675" t="s">
        <v>856</v>
      </c>
      <c r="SFH97" s="1675" t="s">
        <v>856</v>
      </c>
      <c r="SFI97" s="1675" t="s">
        <v>856</v>
      </c>
      <c r="SFJ97" s="1675" t="s">
        <v>856</v>
      </c>
      <c r="SFK97" s="1675" t="s">
        <v>856</v>
      </c>
      <c r="SFL97" s="1675" t="s">
        <v>856</v>
      </c>
      <c r="SFM97" s="1675" t="s">
        <v>856</v>
      </c>
      <c r="SFN97" s="1675" t="s">
        <v>856</v>
      </c>
      <c r="SFO97" s="1675" t="s">
        <v>856</v>
      </c>
      <c r="SFP97" s="1675" t="s">
        <v>856</v>
      </c>
      <c r="SFQ97" s="1675" t="s">
        <v>856</v>
      </c>
      <c r="SFR97" s="1675" t="s">
        <v>856</v>
      </c>
      <c r="SFS97" s="1675" t="s">
        <v>856</v>
      </c>
      <c r="SFT97" s="1675" t="s">
        <v>856</v>
      </c>
      <c r="SFU97" s="1675" t="s">
        <v>856</v>
      </c>
      <c r="SFV97" s="1675" t="s">
        <v>856</v>
      </c>
      <c r="SFW97" s="1675" t="s">
        <v>856</v>
      </c>
      <c r="SFX97" s="1675" t="s">
        <v>856</v>
      </c>
      <c r="SFY97" s="1675" t="s">
        <v>856</v>
      </c>
      <c r="SFZ97" s="1675" t="s">
        <v>856</v>
      </c>
      <c r="SGA97" s="1675" t="s">
        <v>856</v>
      </c>
      <c r="SGB97" s="1675" t="s">
        <v>856</v>
      </c>
      <c r="SGC97" s="1675" t="s">
        <v>856</v>
      </c>
      <c r="SGD97" s="1675" t="s">
        <v>856</v>
      </c>
      <c r="SGE97" s="1675" t="s">
        <v>856</v>
      </c>
      <c r="SGF97" s="1675" t="s">
        <v>856</v>
      </c>
      <c r="SGG97" s="1675" t="s">
        <v>856</v>
      </c>
      <c r="SGH97" s="1675" t="s">
        <v>856</v>
      </c>
      <c r="SGI97" s="1675" t="s">
        <v>856</v>
      </c>
      <c r="SGJ97" s="1675" t="s">
        <v>856</v>
      </c>
      <c r="SGK97" s="1675" t="s">
        <v>856</v>
      </c>
      <c r="SGL97" s="1675" t="s">
        <v>856</v>
      </c>
      <c r="SGM97" s="1675" t="s">
        <v>856</v>
      </c>
      <c r="SGN97" s="1675" t="s">
        <v>856</v>
      </c>
      <c r="SGO97" s="1675" t="s">
        <v>856</v>
      </c>
      <c r="SGP97" s="1675" t="s">
        <v>856</v>
      </c>
      <c r="SGQ97" s="1675" t="s">
        <v>856</v>
      </c>
      <c r="SGR97" s="1675" t="s">
        <v>856</v>
      </c>
      <c r="SGS97" s="1675" t="s">
        <v>856</v>
      </c>
      <c r="SGT97" s="1675" t="s">
        <v>856</v>
      </c>
      <c r="SGU97" s="1675" t="s">
        <v>856</v>
      </c>
      <c r="SGV97" s="1675" t="s">
        <v>856</v>
      </c>
      <c r="SGW97" s="1675" t="s">
        <v>856</v>
      </c>
      <c r="SGX97" s="1675" t="s">
        <v>856</v>
      </c>
      <c r="SGY97" s="1675" t="s">
        <v>856</v>
      </c>
      <c r="SGZ97" s="1675" t="s">
        <v>856</v>
      </c>
      <c r="SHA97" s="1675" t="s">
        <v>856</v>
      </c>
      <c r="SHB97" s="1675" t="s">
        <v>856</v>
      </c>
      <c r="SHC97" s="1675" t="s">
        <v>856</v>
      </c>
      <c r="SHD97" s="1675" t="s">
        <v>856</v>
      </c>
      <c r="SHE97" s="1675" t="s">
        <v>856</v>
      </c>
      <c r="SHF97" s="1675" t="s">
        <v>856</v>
      </c>
      <c r="SHG97" s="1675" t="s">
        <v>856</v>
      </c>
      <c r="SHH97" s="1675" t="s">
        <v>856</v>
      </c>
      <c r="SHI97" s="1675" t="s">
        <v>856</v>
      </c>
      <c r="SHJ97" s="1675" t="s">
        <v>856</v>
      </c>
      <c r="SHK97" s="1675" t="s">
        <v>856</v>
      </c>
      <c r="SHL97" s="1675" t="s">
        <v>856</v>
      </c>
      <c r="SHM97" s="1675" t="s">
        <v>856</v>
      </c>
      <c r="SHN97" s="1675" t="s">
        <v>856</v>
      </c>
      <c r="SHO97" s="1675" t="s">
        <v>856</v>
      </c>
      <c r="SHP97" s="1675" t="s">
        <v>856</v>
      </c>
      <c r="SHQ97" s="1675" t="s">
        <v>856</v>
      </c>
      <c r="SHR97" s="1675" t="s">
        <v>856</v>
      </c>
      <c r="SHS97" s="1675" t="s">
        <v>856</v>
      </c>
      <c r="SHT97" s="1675" t="s">
        <v>856</v>
      </c>
      <c r="SHU97" s="1675" t="s">
        <v>856</v>
      </c>
      <c r="SHV97" s="1675" t="s">
        <v>856</v>
      </c>
      <c r="SHW97" s="1675" t="s">
        <v>856</v>
      </c>
      <c r="SHX97" s="1675" t="s">
        <v>856</v>
      </c>
      <c r="SHY97" s="1675" t="s">
        <v>856</v>
      </c>
      <c r="SHZ97" s="1675" t="s">
        <v>856</v>
      </c>
      <c r="SIA97" s="1675" t="s">
        <v>856</v>
      </c>
      <c r="SIB97" s="1675" t="s">
        <v>856</v>
      </c>
      <c r="SIC97" s="1675" t="s">
        <v>856</v>
      </c>
      <c r="SID97" s="1675" t="s">
        <v>856</v>
      </c>
      <c r="SIE97" s="1675" t="s">
        <v>856</v>
      </c>
      <c r="SIF97" s="1675" t="s">
        <v>856</v>
      </c>
      <c r="SIG97" s="1675" t="s">
        <v>856</v>
      </c>
      <c r="SIH97" s="1675" t="s">
        <v>856</v>
      </c>
      <c r="SII97" s="1675" t="s">
        <v>856</v>
      </c>
      <c r="SIJ97" s="1675" t="s">
        <v>856</v>
      </c>
      <c r="SIK97" s="1675" t="s">
        <v>856</v>
      </c>
      <c r="SIL97" s="1675" t="s">
        <v>856</v>
      </c>
      <c r="SIM97" s="1675" t="s">
        <v>856</v>
      </c>
      <c r="SIN97" s="1675" t="s">
        <v>856</v>
      </c>
      <c r="SIO97" s="1675" t="s">
        <v>856</v>
      </c>
      <c r="SIP97" s="1675" t="s">
        <v>856</v>
      </c>
      <c r="SIQ97" s="1675" t="s">
        <v>856</v>
      </c>
      <c r="SIR97" s="1675" t="s">
        <v>856</v>
      </c>
      <c r="SIS97" s="1675" t="s">
        <v>856</v>
      </c>
      <c r="SIT97" s="1675" t="s">
        <v>856</v>
      </c>
      <c r="SIU97" s="1675" t="s">
        <v>856</v>
      </c>
      <c r="SIV97" s="1675" t="s">
        <v>856</v>
      </c>
      <c r="SIW97" s="1675" t="s">
        <v>856</v>
      </c>
      <c r="SIX97" s="1675" t="s">
        <v>856</v>
      </c>
      <c r="SIY97" s="1675" t="s">
        <v>856</v>
      </c>
      <c r="SIZ97" s="1675" t="s">
        <v>856</v>
      </c>
      <c r="SJA97" s="1675" t="s">
        <v>856</v>
      </c>
      <c r="SJB97" s="1675" t="s">
        <v>856</v>
      </c>
      <c r="SJC97" s="1675" t="s">
        <v>856</v>
      </c>
      <c r="SJD97" s="1675" t="s">
        <v>856</v>
      </c>
      <c r="SJE97" s="1675" t="s">
        <v>856</v>
      </c>
      <c r="SJF97" s="1675" t="s">
        <v>856</v>
      </c>
      <c r="SJG97" s="1675" t="s">
        <v>856</v>
      </c>
      <c r="SJH97" s="1675" t="s">
        <v>856</v>
      </c>
      <c r="SJI97" s="1675" t="s">
        <v>856</v>
      </c>
      <c r="SJJ97" s="1675" t="s">
        <v>856</v>
      </c>
      <c r="SJK97" s="1675" t="s">
        <v>856</v>
      </c>
      <c r="SJL97" s="1675" t="s">
        <v>856</v>
      </c>
      <c r="SJM97" s="1675" t="s">
        <v>856</v>
      </c>
      <c r="SJN97" s="1675" t="s">
        <v>856</v>
      </c>
      <c r="SJO97" s="1675" t="s">
        <v>856</v>
      </c>
      <c r="SJP97" s="1675" t="s">
        <v>856</v>
      </c>
      <c r="SJQ97" s="1675" t="s">
        <v>856</v>
      </c>
      <c r="SJR97" s="1675" t="s">
        <v>856</v>
      </c>
      <c r="SJS97" s="1675" t="s">
        <v>856</v>
      </c>
      <c r="SJT97" s="1675" t="s">
        <v>856</v>
      </c>
      <c r="SJU97" s="1675" t="s">
        <v>856</v>
      </c>
      <c r="SJV97" s="1675" t="s">
        <v>856</v>
      </c>
      <c r="SJW97" s="1675" t="s">
        <v>856</v>
      </c>
      <c r="SJX97" s="1675" t="s">
        <v>856</v>
      </c>
      <c r="SJY97" s="1675" t="s">
        <v>856</v>
      </c>
      <c r="SJZ97" s="1675" t="s">
        <v>856</v>
      </c>
      <c r="SKA97" s="1675" t="s">
        <v>856</v>
      </c>
      <c r="SKB97" s="1675" t="s">
        <v>856</v>
      </c>
      <c r="SKC97" s="1675" t="s">
        <v>856</v>
      </c>
      <c r="SKD97" s="1675" t="s">
        <v>856</v>
      </c>
      <c r="SKE97" s="1675" t="s">
        <v>856</v>
      </c>
      <c r="SKF97" s="1675" t="s">
        <v>856</v>
      </c>
      <c r="SKG97" s="1675" t="s">
        <v>856</v>
      </c>
      <c r="SKH97" s="1675" t="s">
        <v>856</v>
      </c>
      <c r="SKI97" s="1675" t="s">
        <v>856</v>
      </c>
      <c r="SKJ97" s="1675" t="s">
        <v>856</v>
      </c>
      <c r="SKK97" s="1675" t="s">
        <v>856</v>
      </c>
      <c r="SKL97" s="1675" t="s">
        <v>856</v>
      </c>
      <c r="SKM97" s="1675" t="s">
        <v>856</v>
      </c>
      <c r="SKN97" s="1675" t="s">
        <v>856</v>
      </c>
      <c r="SKO97" s="1675" t="s">
        <v>856</v>
      </c>
      <c r="SKP97" s="1675" t="s">
        <v>856</v>
      </c>
      <c r="SKQ97" s="1675" t="s">
        <v>856</v>
      </c>
      <c r="SKR97" s="1675" t="s">
        <v>856</v>
      </c>
      <c r="SKS97" s="1675" t="s">
        <v>856</v>
      </c>
      <c r="SKT97" s="1675" t="s">
        <v>856</v>
      </c>
      <c r="SKU97" s="1675" t="s">
        <v>856</v>
      </c>
      <c r="SKV97" s="1675" t="s">
        <v>856</v>
      </c>
      <c r="SKW97" s="1675" t="s">
        <v>856</v>
      </c>
      <c r="SKX97" s="1675" t="s">
        <v>856</v>
      </c>
      <c r="SKY97" s="1675" t="s">
        <v>856</v>
      </c>
      <c r="SKZ97" s="1675" t="s">
        <v>856</v>
      </c>
      <c r="SLA97" s="1675" t="s">
        <v>856</v>
      </c>
      <c r="SLB97" s="1675" t="s">
        <v>856</v>
      </c>
      <c r="SLC97" s="1675" t="s">
        <v>856</v>
      </c>
      <c r="SLD97" s="1675" t="s">
        <v>856</v>
      </c>
      <c r="SLE97" s="1675" t="s">
        <v>856</v>
      </c>
      <c r="SLF97" s="1675" t="s">
        <v>856</v>
      </c>
      <c r="SLG97" s="1675" t="s">
        <v>856</v>
      </c>
      <c r="SLH97" s="1675" t="s">
        <v>856</v>
      </c>
      <c r="SLI97" s="1675" t="s">
        <v>856</v>
      </c>
      <c r="SLJ97" s="1675" t="s">
        <v>856</v>
      </c>
      <c r="SLK97" s="1675" t="s">
        <v>856</v>
      </c>
      <c r="SLL97" s="1675" t="s">
        <v>856</v>
      </c>
      <c r="SLM97" s="1675" t="s">
        <v>856</v>
      </c>
      <c r="SLN97" s="1675" t="s">
        <v>856</v>
      </c>
      <c r="SLO97" s="1675" t="s">
        <v>856</v>
      </c>
      <c r="SLP97" s="1675" t="s">
        <v>856</v>
      </c>
      <c r="SLQ97" s="1675" t="s">
        <v>856</v>
      </c>
      <c r="SLR97" s="1675" t="s">
        <v>856</v>
      </c>
      <c r="SLS97" s="1675" t="s">
        <v>856</v>
      </c>
      <c r="SLT97" s="1675" t="s">
        <v>856</v>
      </c>
      <c r="SLU97" s="1675" t="s">
        <v>856</v>
      </c>
      <c r="SLV97" s="1675" t="s">
        <v>856</v>
      </c>
      <c r="SLW97" s="1675" t="s">
        <v>856</v>
      </c>
      <c r="SLX97" s="1675" t="s">
        <v>856</v>
      </c>
      <c r="SLY97" s="1675" t="s">
        <v>856</v>
      </c>
      <c r="SLZ97" s="1675" t="s">
        <v>856</v>
      </c>
      <c r="SMA97" s="1675" t="s">
        <v>856</v>
      </c>
      <c r="SMB97" s="1675" t="s">
        <v>856</v>
      </c>
      <c r="SMC97" s="1675" t="s">
        <v>856</v>
      </c>
      <c r="SMD97" s="1675" t="s">
        <v>856</v>
      </c>
      <c r="SME97" s="1675" t="s">
        <v>856</v>
      </c>
      <c r="SMF97" s="1675" t="s">
        <v>856</v>
      </c>
      <c r="SMG97" s="1675" t="s">
        <v>856</v>
      </c>
      <c r="SMH97" s="1675" t="s">
        <v>856</v>
      </c>
      <c r="SMI97" s="1675" t="s">
        <v>856</v>
      </c>
      <c r="SMJ97" s="1675" t="s">
        <v>856</v>
      </c>
      <c r="SMK97" s="1675" t="s">
        <v>856</v>
      </c>
      <c r="SML97" s="1675" t="s">
        <v>856</v>
      </c>
      <c r="SMM97" s="1675" t="s">
        <v>856</v>
      </c>
      <c r="SMN97" s="1675" t="s">
        <v>856</v>
      </c>
      <c r="SMO97" s="1675" t="s">
        <v>856</v>
      </c>
      <c r="SMP97" s="1675" t="s">
        <v>856</v>
      </c>
      <c r="SMQ97" s="1675" t="s">
        <v>856</v>
      </c>
      <c r="SMR97" s="1675" t="s">
        <v>856</v>
      </c>
      <c r="SMS97" s="1675" t="s">
        <v>856</v>
      </c>
      <c r="SMT97" s="1675" t="s">
        <v>856</v>
      </c>
      <c r="SMU97" s="1675" t="s">
        <v>856</v>
      </c>
      <c r="SMV97" s="1675" t="s">
        <v>856</v>
      </c>
      <c r="SMW97" s="1675" t="s">
        <v>856</v>
      </c>
      <c r="SMX97" s="1675" t="s">
        <v>856</v>
      </c>
      <c r="SMY97" s="1675" t="s">
        <v>856</v>
      </c>
      <c r="SMZ97" s="1675" t="s">
        <v>856</v>
      </c>
      <c r="SNA97" s="1675" t="s">
        <v>856</v>
      </c>
      <c r="SNB97" s="1675" t="s">
        <v>856</v>
      </c>
      <c r="SNC97" s="1675" t="s">
        <v>856</v>
      </c>
      <c r="SND97" s="1675" t="s">
        <v>856</v>
      </c>
      <c r="SNE97" s="1675" t="s">
        <v>856</v>
      </c>
      <c r="SNF97" s="1675" t="s">
        <v>856</v>
      </c>
      <c r="SNG97" s="1675" t="s">
        <v>856</v>
      </c>
      <c r="SNH97" s="1675" t="s">
        <v>856</v>
      </c>
      <c r="SNI97" s="1675" t="s">
        <v>856</v>
      </c>
      <c r="SNJ97" s="1675" t="s">
        <v>856</v>
      </c>
      <c r="SNK97" s="1675" t="s">
        <v>856</v>
      </c>
      <c r="SNL97" s="1675" t="s">
        <v>856</v>
      </c>
      <c r="SNM97" s="1675" t="s">
        <v>856</v>
      </c>
      <c r="SNN97" s="1675" t="s">
        <v>856</v>
      </c>
      <c r="SNO97" s="1675" t="s">
        <v>856</v>
      </c>
      <c r="SNP97" s="1675" t="s">
        <v>856</v>
      </c>
      <c r="SNQ97" s="1675" t="s">
        <v>856</v>
      </c>
      <c r="SNR97" s="1675" t="s">
        <v>856</v>
      </c>
      <c r="SNS97" s="1675" t="s">
        <v>856</v>
      </c>
      <c r="SNT97" s="1675" t="s">
        <v>856</v>
      </c>
      <c r="SNU97" s="1675" t="s">
        <v>856</v>
      </c>
      <c r="SNV97" s="1675" t="s">
        <v>856</v>
      </c>
      <c r="SNW97" s="1675" t="s">
        <v>856</v>
      </c>
      <c r="SNX97" s="1675" t="s">
        <v>856</v>
      </c>
      <c r="SNY97" s="1675" t="s">
        <v>856</v>
      </c>
      <c r="SNZ97" s="1675" t="s">
        <v>856</v>
      </c>
      <c r="SOA97" s="1675" t="s">
        <v>856</v>
      </c>
      <c r="SOB97" s="1675" t="s">
        <v>856</v>
      </c>
      <c r="SOC97" s="1675" t="s">
        <v>856</v>
      </c>
      <c r="SOD97" s="1675" t="s">
        <v>856</v>
      </c>
      <c r="SOE97" s="1675" t="s">
        <v>856</v>
      </c>
      <c r="SOF97" s="1675" t="s">
        <v>856</v>
      </c>
      <c r="SOG97" s="1675" t="s">
        <v>856</v>
      </c>
      <c r="SOH97" s="1675" t="s">
        <v>856</v>
      </c>
      <c r="SOI97" s="1675" t="s">
        <v>856</v>
      </c>
      <c r="SOJ97" s="1675" t="s">
        <v>856</v>
      </c>
      <c r="SOK97" s="1675" t="s">
        <v>856</v>
      </c>
      <c r="SOL97" s="1675" t="s">
        <v>856</v>
      </c>
      <c r="SOM97" s="1675" t="s">
        <v>856</v>
      </c>
      <c r="SON97" s="1675" t="s">
        <v>856</v>
      </c>
      <c r="SOO97" s="1675" t="s">
        <v>856</v>
      </c>
      <c r="SOP97" s="1675" t="s">
        <v>856</v>
      </c>
      <c r="SOQ97" s="1675" t="s">
        <v>856</v>
      </c>
      <c r="SOR97" s="1675" t="s">
        <v>856</v>
      </c>
      <c r="SOS97" s="1675" t="s">
        <v>856</v>
      </c>
      <c r="SOT97" s="1675" t="s">
        <v>856</v>
      </c>
      <c r="SOU97" s="1675" t="s">
        <v>856</v>
      </c>
      <c r="SOV97" s="1675" t="s">
        <v>856</v>
      </c>
      <c r="SOW97" s="1675" t="s">
        <v>856</v>
      </c>
      <c r="SOX97" s="1675" t="s">
        <v>856</v>
      </c>
      <c r="SOY97" s="1675" t="s">
        <v>856</v>
      </c>
      <c r="SOZ97" s="1675" t="s">
        <v>856</v>
      </c>
      <c r="SPA97" s="1675" t="s">
        <v>856</v>
      </c>
      <c r="SPB97" s="1675" t="s">
        <v>856</v>
      </c>
      <c r="SPC97" s="1675" t="s">
        <v>856</v>
      </c>
      <c r="SPD97" s="1675" t="s">
        <v>856</v>
      </c>
      <c r="SPE97" s="1675" t="s">
        <v>856</v>
      </c>
      <c r="SPF97" s="1675" t="s">
        <v>856</v>
      </c>
      <c r="SPG97" s="1675" t="s">
        <v>856</v>
      </c>
      <c r="SPH97" s="1675" t="s">
        <v>856</v>
      </c>
      <c r="SPI97" s="1675" t="s">
        <v>856</v>
      </c>
      <c r="SPJ97" s="1675" t="s">
        <v>856</v>
      </c>
      <c r="SPK97" s="1675" t="s">
        <v>856</v>
      </c>
      <c r="SPL97" s="1675" t="s">
        <v>856</v>
      </c>
      <c r="SPM97" s="1675" t="s">
        <v>856</v>
      </c>
      <c r="SPN97" s="1675" t="s">
        <v>856</v>
      </c>
      <c r="SPO97" s="1675" t="s">
        <v>856</v>
      </c>
      <c r="SPP97" s="1675" t="s">
        <v>856</v>
      </c>
      <c r="SPQ97" s="1675" t="s">
        <v>856</v>
      </c>
      <c r="SPR97" s="1675" t="s">
        <v>856</v>
      </c>
      <c r="SPS97" s="1675" t="s">
        <v>856</v>
      </c>
      <c r="SPT97" s="1675" t="s">
        <v>856</v>
      </c>
      <c r="SPU97" s="1675" t="s">
        <v>856</v>
      </c>
      <c r="SPV97" s="1675" t="s">
        <v>856</v>
      </c>
      <c r="SPW97" s="1675" t="s">
        <v>856</v>
      </c>
      <c r="SPX97" s="1675" t="s">
        <v>856</v>
      </c>
      <c r="SPY97" s="1675" t="s">
        <v>856</v>
      </c>
      <c r="SPZ97" s="1675" t="s">
        <v>856</v>
      </c>
      <c r="SQA97" s="1675" t="s">
        <v>856</v>
      </c>
      <c r="SQB97" s="1675" t="s">
        <v>856</v>
      </c>
      <c r="SQC97" s="1675" t="s">
        <v>856</v>
      </c>
      <c r="SQD97" s="1675" t="s">
        <v>856</v>
      </c>
      <c r="SQE97" s="1675" t="s">
        <v>856</v>
      </c>
      <c r="SQF97" s="1675" t="s">
        <v>856</v>
      </c>
      <c r="SQG97" s="1675" t="s">
        <v>856</v>
      </c>
      <c r="SQH97" s="1675" t="s">
        <v>856</v>
      </c>
      <c r="SQI97" s="1675" t="s">
        <v>856</v>
      </c>
      <c r="SQJ97" s="1675" t="s">
        <v>856</v>
      </c>
      <c r="SQK97" s="1675" t="s">
        <v>856</v>
      </c>
      <c r="SQL97" s="1675" t="s">
        <v>856</v>
      </c>
      <c r="SQM97" s="1675" t="s">
        <v>856</v>
      </c>
      <c r="SQN97" s="1675" t="s">
        <v>856</v>
      </c>
      <c r="SQO97" s="1675" t="s">
        <v>856</v>
      </c>
      <c r="SQP97" s="1675" t="s">
        <v>856</v>
      </c>
      <c r="SQQ97" s="1675" t="s">
        <v>856</v>
      </c>
      <c r="SQR97" s="1675" t="s">
        <v>856</v>
      </c>
      <c r="SQS97" s="1675" t="s">
        <v>856</v>
      </c>
      <c r="SQT97" s="1675" t="s">
        <v>856</v>
      </c>
      <c r="SQU97" s="1675" t="s">
        <v>856</v>
      </c>
      <c r="SQV97" s="1675" t="s">
        <v>856</v>
      </c>
      <c r="SQW97" s="1675" t="s">
        <v>856</v>
      </c>
      <c r="SQX97" s="1675" t="s">
        <v>856</v>
      </c>
      <c r="SQY97" s="1675" t="s">
        <v>856</v>
      </c>
      <c r="SQZ97" s="1675" t="s">
        <v>856</v>
      </c>
      <c r="SRA97" s="1675" t="s">
        <v>856</v>
      </c>
      <c r="SRB97" s="1675" t="s">
        <v>856</v>
      </c>
      <c r="SRC97" s="1675" t="s">
        <v>856</v>
      </c>
      <c r="SRD97" s="1675" t="s">
        <v>856</v>
      </c>
      <c r="SRE97" s="1675" t="s">
        <v>856</v>
      </c>
      <c r="SRF97" s="1675" t="s">
        <v>856</v>
      </c>
      <c r="SRG97" s="1675" t="s">
        <v>856</v>
      </c>
      <c r="SRH97" s="1675" t="s">
        <v>856</v>
      </c>
      <c r="SRI97" s="1675" t="s">
        <v>856</v>
      </c>
      <c r="SRJ97" s="1675" t="s">
        <v>856</v>
      </c>
      <c r="SRK97" s="1675" t="s">
        <v>856</v>
      </c>
      <c r="SRL97" s="1675" t="s">
        <v>856</v>
      </c>
      <c r="SRM97" s="1675" t="s">
        <v>856</v>
      </c>
      <c r="SRN97" s="1675" t="s">
        <v>856</v>
      </c>
      <c r="SRO97" s="1675" t="s">
        <v>856</v>
      </c>
      <c r="SRP97" s="1675" t="s">
        <v>856</v>
      </c>
      <c r="SRQ97" s="1675" t="s">
        <v>856</v>
      </c>
      <c r="SRR97" s="1675" t="s">
        <v>856</v>
      </c>
      <c r="SRS97" s="1675" t="s">
        <v>856</v>
      </c>
      <c r="SRT97" s="1675" t="s">
        <v>856</v>
      </c>
      <c r="SRU97" s="1675" t="s">
        <v>856</v>
      </c>
      <c r="SRV97" s="1675" t="s">
        <v>856</v>
      </c>
      <c r="SRW97" s="1675" t="s">
        <v>856</v>
      </c>
      <c r="SRX97" s="1675" t="s">
        <v>856</v>
      </c>
      <c r="SRY97" s="1675" t="s">
        <v>856</v>
      </c>
      <c r="SRZ97" s="1675" t="s">
        <v>856</v>
      </c>
      <c r="SSA97" s="1675" t="s">
        <v>856</v>
      </c>
      <c r="SSB97" s="1675" t="s">
        <v>856</v>
      </c>
      <c r="SSC97" s="1675" t="s">
        <v>856</v>
      </c>
      <c r="SSD97" s="1675" t="s">
        <v>856</v>
      </c>
      <c r="SSE97" s="1675" t="s">
        <v>856</v>
      </c>
      <c r="SSF97" s="1675" t="s">
        <v>856</v>
      </c>
      <c r="SSG97" s="1675" t="s">
        <v>856</v>
      </c>
      <c r="SSH97" s="1675" t="s">
        <v>856</v>
      </c>
      <c r="SSI97" s="1675" t="s">
        <v>856</v>
      </c>
      <c r="SSJ97" s="1675" t="s">
        <v>856</v>
      </c>
      <c r="SSK97" s="1675" t="s">
        <v>856</v>
      </c>
      <c r="SSL97" s="1675" t="s">
        <v>856</v>
      </c>
      <c r="SSM97" s="1675" t="s">
        <v>856</v>
      </c>
      <c r="SSN97" s="1675" t="s">
        <v>856</v>
      </c>
      <c r="SSO97" s="1675" t="s">
        <v>856</v>
      </c>
      <c r="SSP97" s="1675" t="s">
        <v>856</v>
      </c>
      <c r="SSQ97" s="1675" t="s">
        <v>856</v>
      </c>
      <c r="SSR97" s="1675" t="s">
        <v>856</v>
      </c>
      <c r="SSS97" s="1675" t="s">
        <v>856</v>
      </c>
      <c r="SST97" s="1675" t="s">
        <v>856</v>
      </c>
      <c r="SSU97" s="1675" t="s">
        <v>856</v>
      </c>
      <c r="SSV97" s="1675" t="s">
        <v>856</v>
      </c>
      <c r="SSW97" s="1675" t="s">
        <v>856</v>
      </c>
      <c r="SSX97" s="1675" t="s">
        <v>856</v>
      </c>
      <c r="SSY97" s="1675" t="s">
        <v>856</v>
      </c>
      <c r="SSZ97" s="1675" t="s">
        <v>856</v>
      </c>
      <c r="STA97" s="1675" t="s">
        <v>856</v>
      </c>
      <c r="STB97" s="1675" t="s">
        <v>856</v>
      </c>
      <c r="STC97" s="1675" t="s">
        <v>856</v>
      </c>
      <c r="STD97" s="1675" t="s">
        <v>856</v>
      </c>
      <c r="STE97" s="1675" t="s">
        <v>856</v>
      </c>
      <c r="STF97" s="1675" t="s">
        <v>856</v>
      </c>
      <c r="STG97" s="1675" t="s">
        <v>856</v>
      </c>
      <c r="STH97" s="1675" t="s">
        <v>856</v>
      </c>
      <c r="STI97" s="1675" t="s">
        <v>856</v>
      </c>
      <c r="STJ97" s="1675" t="s">
        <v>856</v>
      </c>
      <c r="STK97" s="1675" t="s">
        <v>856</v>
      </c>
      <c r="STL97" s="1675" t="s">
        <v>856</v>
      </c>
      <c r="STM97" s="1675" t="s">
        <v>856</v>
      </c>
      <c r="STN97" s="1675" t="s">
        <v>856</v>
      </c>
      <c r="STO97" s="1675" t="s">
        <v>856</v>
      </c>
      <c r="STP97" s="1675" t="s">
        <v>856</v>
      </c>
      <c r="STQ97" s="1675" t="s">
        <v>856</v>
      </c>
      <c r="STR97" s="1675" t="s">
        <v>856</v>
      </c>
      <c r="STS97" s="1675" t="s">
        <v>856</v>
      </c>
      <c r="STT97" s="1675" t="s">
        <v>856</v>
      </c>
      <c r="STU97" s="1675" t="s">
        <v>856</v>
      </c>
      <c r="STV97" s="1675" t="s">
        <v>856</v>
      </c>
      <c r="STW97" s="1675" t="s">
        <v>856</v>
      </c>
      <c r="STX97" s="1675" t="s">
        <v>856</v>
      </c>
      <c r="STY97" s="1675" t="s">
        <v>856</v>
      </c>
      <c r="STZ97" s="1675" t="s">
        <v>856</v>
      </c>
      <c r="SUA97" s="1675" t="s">
        <v>856</v>
      </c>
      <c r="SUB97" s="1675" t="s">
        <v>856</v>
      </c>
      <c r="SUC97" s="1675" t="s">
        <v>856</v>
      </c>
      <c r="SUD97" s="1675" t="s">
        <v>856</v>
      </c>
      <c r="SUE97" s="1675" t="s">
        <v>856</v>
      </c>
      <c r="SUF97" s="1675" t="s">
        <v>856</v>
      </c>
      <c r="SUG97" s="1675" t="s">
        <v>856</v>
      </c>
      <c r="SUH97" s="1675" t="s">
        <v>856</v>
      </c>
      <c r="SUI97" s="1675" t="s">
        <v>856</v>
      </c>
      <c r="SUJ97" s="1675" t="s">
        <v>856</v>
      </c>
      <c r="SUK97" s="1675" t="s">
        <v>856</v>
      </c>
      <c r="SUL97" s="1675" t="s">
        <v>856</v>
      </c>
      <c r="SUM97" s="1675" t="s">
        <v>856</v>
      </c>
      <c r="SUN97" s="1675" t="s">
        <v>856</v>
      </c>
      <c r="SUO97" s="1675" t="s">
        <v>856</v>
      </c>
      <c r="SUP97" s="1675" t="s">
        <v>856</v>
      </c>
      <c r="SUQ97" s="1675" t="s">
        <v>856</v>
      </c>
      <c r="SUR97" s="1675" t="s">
        <v>856</v>
      </c>
      <c r="SUS97" s="1675" t="s">
        <v>856</v>
      </c>
      <c r="SUT97" s="1675" t="s">
        <v>856</v>
      </c>
      <c r="SUU97" s="1675" t="s">
        <v>856</v>
      </c>
      <c r="SUV97" s="1675" t="s">
        <v>856</v>
      </c>
      <c r="SUW97" s="1675" t="s">
        <v>856</v>
      </c>
      <c r="SUX97" s="1675" t="s">
        <v>856</v>
      </c>
      <c r="SUY97" s="1675" t="s">
        <v>856</v>
      </c>
      <c r="SUZ97" s="1675" t="s">
        <v>856</v>
      </c>
      <c r="SVA97" s="1675" t="s">
        <v>856</v>
      </c>
      <c r="SVB97" s="1675" t="s">
        <v>856</v>
      </c>
      <c r="SVC97" s="1675" t="s">
        <v>856</v>
      </c>
      <c r="SVD97" s="1675" t="s">
        <v>856</v>
      </c>
      <c r="SVE97" s="1675" t="s">
        <v>856</v>
      </c>
      <c r="SVF97" s="1675" t="s">
        <v>856</v>
      </c>
      <c r="SVG97" s="1675" t="s">
        <v>856</v>
      </c>
      <c r="SVH97" s="1675" t="s">
        <v>856</v>
      </c>
      <c r="SVI97" s="1675" t="s">
        <v>856</v>
      </c>
      <c r="SVJ97" s="1675" t="s">
        <v>856</v>
      </c>
      <c r="SVK97" s="1675" t="s">
        <v>856</v>
      </c>
      <c r="SVL97" s="1675" t="s">
        <v>856</v>
      </c>
      <c r="SVM97" s="1675" t="s">
        <v>856</v>
      </c>
      <c r="SVN97" s="1675" t="s">
        <v>856</v>
      </c>
      <c r="SVO97" s="1675" t="s">
        <v>856</v>
      </c>
      <c r="SVP97" s="1675" t="s">
        <v>856</v>
      </c>
      <c r="SVQ97" s="1675" t="s">
        <v>856</v>
      </c>
      <c r="SVR97" s="1675" t="s">
        <v>856</v>
      </c>
      <c r="SVS97" s="1675" t="s">
        <v>856</v>
      </c>
      <c r="SVT97" s="1675" t="s">
        <v>856</v>
      </c>
      <c r="SVU97" s="1675" t="s">
        <v>856</v>
      </c>
      <c r="SVV97" s="1675" t="s">
        <v>856</v>
      </c>
      <c r="SVW97" s="1675" t="s">
        <v>856</v>
      </c>
      <c r="SVX97" s="1675" t="s">
        <v>856</v>
      </c>
      <c r="SVY97" s="1675" t="s">
        <v>856</v>
      </c>
      <c r="SVZ97" s="1675" t="s">
        <v>856</v>
      </c>
      <c r="SWA97" s="1675" t="s">
        <v>856</v>
      </c>
      <c r="SWB97" s="1675" t="s">
        <v>856</v>
      </c>
      <c r="SWC97" s="1675" t="s">
        <v>856</v>
      </c>
      <c r="SWD97" s="1675" t="s">
        <v>856</v>
      </c>
      <c r="SWE97" s="1675" t="s">
        <v>856</v>
      </c>
      <c r="SWF97" s="1675" t="s">
        <v>856</v>
      </c>
      <c r="SWG97" s="1675" t="s">
        <v>856</v>
      </c>
      <c r="SWH97" s="1675" t="s">
        <v>856</v>
      </c>
      <c r="SWI97" s="1675" t="s">
        <v>856</v>
      </c>
      <c r="SWJ97" s="1675" t="s">
        <v>856</v>
      </c>
      <c r="SWK97" s="1675" t="s">
        <v>856</v>
      </c>
      <c r="SWL97" s="1675" t="s">
        <v>856</v>
      </c>
      <c r="SWM97" s="1675" t="s">
        <v>856</v>
      </c>
      <c r="SWN97" s="1675" t="s">
        <v>856</v>
      </c>
      <c r="SWO97" s="1675" t="s">
        <v>856</v>
      </c>
      <c r="SWP97" s="1675" t="s">
        <v>856</v>
      </c>
      <c r="SWQ97" s="1675" t="s">
        <v>856</v>
      </c>
      <c r="SWR97" s="1675" t="s">
        <v>856</v>
      </c>
      <c r="SWS97" s="1675" t="s">
        <v>856</v>
      </c>
      <c r="SWT97" s="1675" t="s">
        <v>856</v>
      </c>
      <c r="SWU97" s="1675" t="s">
        <v>856</v>
      </c>
      <c r="SWV97" s="1675" t="s">
        <v>856</v>
      </c>
      <c r="SWW97" s="1675" t="s">
        <v>856</v>
      </c>
      <c r="SWX97" s="1675" t="s">
        <v>856</v>
      </c>
      <c r="SWY97" s="1675" t="s">
        <v>856</v>
      </c>
      <c r="SWZ97" s="1675" t="s">
        <v>856</v>
      </c>
      <c r="SXA97" s="1675" t="s">
        <v>856</v>
      </c>
      <c r="SXB97" s="1675" t="s">
        <v>856</v>
      </c>
      <c r="SXC97" s="1675" t="s">
        <v>856</v>
      </c>
      <c r="SXD97" s="1675" t="s">
        <v>856</v>
      </c>
      <c r="SXE97" s="1675" t="s">
        <v>856</v>
      </c>
      <c r="SXF97" s="1675" t="s">
        <v>856</v>
      </c>
      <c r="SXG97" s="1675" t="s">
        <v>856</v>
      </c>
      <c r="SXH97" s="1675" t="s">
        <v>856</v>
      </c>
      <c r="SXI97" s="1675" t="s">
        <v>856</v>
      </c>
      <c r="SXJ97" s="1675" t="s">
        <v>856</v>
      </c>
      <c r="SXK97" s="1675" t="s">
        <v>856</v>
      </c>
      <c r="SXL97" s="1675" t="s">
        <v>856</v>
      </c>
      <c r="SXM97" s="1675" t="s">
        <v>856</v>
      </c>
      <c r="SXN97" s="1675" t="s">
        <v>856</v>
      </c>
      <c r="SXO97" s="1675" t="s">
        <v>856</v>
      </c>
      <c r="SXP97" s="1675" t="s">
        <v>856</v>
      </c>
      <c r="SXQ97" s="1675" t="s">
        <v>856</v>
      </c>
      <c r="SXR97" s="1675" t="s">
        <v>856</v>
      </c>
      <c r="SXS97" s="1675" t="s">
        <v>856</v>
      </c>
      <c r="SXT97" s="1675" t="s">
        <v>856</v>
      </c>
      <c r="SXU97" s="1675" t="s">
        <v>856</v>
      </c>
      <c r="SXV97" s="1675" t="s">
        <v>856</v>
      </c>
      <c r="SXW97" s="1675" t="s">
        <v>856</v>
      </c>
      <c r="SXX97" s="1675" t="s">
        <v>856</v>
      </c>
      <c r="SXY97" s="1675" t="s">
        <v>856</v>
      </c>
      <c r="SXZ97" s="1675" t="s">
        <v>856</v>
      </c>
      <c r="SYA97" s="1675" t="s">
        <v>856</v>
      </c>
      <c r="SYB97" s="1675" t="s">
        <v>856</v>
      </c>
      <c r="SYC97" s="1675" t="s">
        <v>856</v>
      </c>
      <c r="SYD97" s="1675" t="s">
        <v>856</v>
      </c>
      <c r="SYE97" s="1675" t="s">
        <v>856</v>
      </c>
      <c r="SYF97" s="1675" t="s">
        <v>856</v>
      </c>
      <c r="SYG97" s="1675" t="s">
        <v>856</v>
      </c>
      <c r="SYH97" s="1675" t="s">
        <v>856</v>
      </c>
      <c r="SYI97" s="1675" t="s">
        <v>856</v>
      </c>
      <c r="SYJ97" s="1675" t="s">
        <v>856</v>
      </c>
      <c r="SYK97" s="1675" t="s">
        <v>856</v>
      </c>
      <c r="SYL97" s="1675" t="s">
        <v>856</v>
      </c>
      <c r="SYM97" s="1675" t="s">
        <v>856</v>
      </c>
      <c r="SYN97" s="1675" t="s">
        <v>856</v>
      </c>
      <c r="SYO97" s="1675" t="s">
        <v>856</v>
      </c>
      <c r="SYP97" s="1675" t="s">
        <v>856</v>
      </c>
      <c r="SYQ97" s="1675" t="s">
        <v>856</v>
      </c>
      <c r="SYR97" s="1675" t="s">
        <v>856</v>
      </c>
      <c r="SYS97" s="1675" t="s">
        <v>856</v>
      </c>
      <c r="SYT97" s="1675" t="s">
        <v>856</v>
      </c>
      <c r="SYU97" s="1675" t="s">
        <v>856</v>
      </c>
      <c r="SYV97" s="1675" t="s">
        <v>856</v>
      </c>
      <c r="SYW97" s="1675" t="s">
        <v>856</v>
      </c>
      <c r="SYX97" s="1675" t="s">
        <v>856</v>
      </c>
      <c r="SYY97" s="1675" t="s">
        <v>856</v>
      </c>
      <c r="SYZ97" s="1675" t="s">
        <v>856</v>
      </c>
      <c r="SZA97" s="1675" t="s">
        <v>856</v>
      </c>
      <c r="SZB97" s="1675" t="s">
        <v>856</v>
      </c>
      <c r="SZC97" s="1675" t="s">
        <v>856</v>
      </c>
      <c r="SZD97" s="1675" t="s">
        <v>856</v>
      </c>
      <c r="SZE97" s="1675" t="s">
        <v>856</v>
      </c>
      <c r="SZF97" s="1675" t="s">
        <v>856</v>
      </c>
      <c r="SZG97" s="1675" t="s">
        <v>856</v>
      </c>
      <c r="SZH97" s="1675" t="s">
        <v>856</v>
      </c>
      <c r="SZI97" s="1675" t="s">
        <v>856</v>
      </c>
      <c r="SZJ97" s="1675" t="s">
        <v>856</v>
      </c>
      <c r="SZK97" s="1675" t="s">
        <v>856</v>
      </c>
      <c r="SZL97" s="1675" t="s">
        <v>856</v>
      </c>
      <c r="SZM97" s="1675" t="s">
        <v>856</v>
      </c>
      <c r="SZN97" s="1675" t="s">
        <v>856</v>
      </c>
      <c r="SZO97" s="1675" t="s">
        <v>856</v>
      </c>
      <c r="SZP97" s="1675" t="s">
        <v>856</v>
      </c>
      <c r="SZQ97" s="1675" t="s">
        <v>856</v>
      </c>
      <c r="SZR97" s="1675" t="s">
        <v>856</v>
      </c>
      <c r="SZS97" s="1675" t="s">
        <v>856</v>
      </c>
      <c r="SZT97" s="1675" t="s">
        <v>856</v>
      </c>
      <c r="SZU97" s="1675" t="s">
        <v>856</v>
      </c>
      <c r="SZV97" s="1675" t="s">
        <v>856</v>
      </c>
      <c r="SZW97" s="1675" t="s">
        <v>856</v>
      </c>
      <c r="SZX97" s="1675" t="s">
        <v>856</v>
      </c>
      <c r="SZY97" s="1675" t="s">
        <v>856</v>
      </c>
      <c r="SZZ97" s="1675" t="s">
        <v>856</v>
      </c>
      <c r="TAA97" s="1675" t="s">
        <v>856</v>
      </c>
      <c r="TAB97" s="1675" t="s">
        <v>856</v>
      </c>
      <c r="TAC97" s="1675" t="s">
        <v>856</v>
      </c>
      <c r="TAD97" s="1675" t="s">
        <v>856</v>
      </c>
      <c r="TAE97" s="1675" t="s">
        <v>856</v>
      </c>
      <c r="TAF97" s="1675" t="s">
        <v>856</v>
      </c>
      <c r="TAG97" s="1675" t="s">
        <v>856</v>
      </c>
      <c r="TAH97" s="1675" t="s">
        <v>856</v>
      </c>
      <c r="TAI97" s="1675" t="s">
        <v>856</v>
      </c>
      <c r="TAJ97" s="1675" t="s">
        <v>856</v>
      </c>
      <c r="TAK97" s="1675" t="s">
        <v>856</v>
      </c>
      <c r="TAL97" s="1675" t="s">
        <v>856</v>
      </c>
      <c r="TAM97" s="1675" t="s">
        <v>856</v>
      </c>
      <c r="TAN97" s="1675" t="s">
        <v>856</v>
      </c>
      <c r="TAO97" s="1675" t="s">
        <v>856</v>
      </c>
      <c r="TAP97" s="1675" t="s">
        <v>856</v>
      </c>
      <c r="TAQ97" s="1675" t="s">
        <v>856</v>
      </c>
      <c r="TAR97" s="1675" t="s">
        <v>856</v>
      </c>
      <c r="TAS97" s="1675" t="s">
        <v>856</v>
      </c>
      <c r="TAT97" s="1675" t="s">
        <v>856</v>
      </c>
      <c r="TAU97" s="1675" t="s">
        <v>856</v>
      </c>
      <c r="TAV97" s="1675" t="s">
        <v>856</v>
      </c>
      <c r="TAW97" s="1675" t="s">
        <v>856</v>
      </c>
      <c r="TAX97" s="1675" t="s">
        <v>856</v>
      </c>
      <c r="TAY97" s="1675" t="s">
        <v>856</v>
      </c>
      <c r="TAZ97" s="1675" t="s">
        <v>856</v>
      </c>
      <c r="TBA97" s="1675" t="s">
        <v>856</v>
      </c>
      <c r="TBB97" s="1675" t="s">
        <v>856</v>
      </c>
      <c r="TBC97" s="1675" t="s">
        <v>856</v>
      </c>
      <c r="TBD97" s="1675" t="s">
        <v>856</v>
      </c>
      <c r="TBE97" s="1675" t="s">
        <v>856</v>
      </c>
      <c r="TBF97" s="1675" t="s">
        <v>856</v>
      </c>
      <c r="TBG97" s="1675" t="s">
        <v>856</v>
      </c>
      <c r="TBH97" s="1675" t="s">
        <v>856</v>
      </c>
      <c r="TBI97" s="1675" t="s">
        <v>856</v>
      </c>
      <c r="TBJ97" s="1675" t="s">
        <v>856</v>
      </c>
      <c r="TBK97" s="1675" t="s">
        <v>856</v>
      </c>
      <c r="TBL97" s="1675" t="s">
        <v>856</v>
      </c>
      <c r="TBM97" s="1675" t="s">
        <v>856</v>
      </c>
      <c r="TBN97" s="1675" t="s">
        <v>856</v>
      </c>
      <c r="TBO97" s="1675" t="s">
        <v>856</v>
      </c>
      <c r="TBP97" s="1675" t="s">
        <v>856</v>
      </c>
      <c r="TBQ97" s="1675" t="s">
        <v>856</v>
      </c>
      <c r="TBR97" s="1675" t="s">
        <v>856</v>
      </c>
      <c r="TBS97" s="1675" t="s">
        <v>856</v>
      </c>
      <c r="TBT97" s="1675" t="s">
        <v>856</v>
      </c>
      <c r="TBU97" s="1675" t="s">
        <v>856</v>
      </c>
      <c r="TBV97" s="1675" t="s">
        <v>856</v>
      </c>
      <c r="TBW97" s="1675" t="s">
        <v>856</v>
      </c>
      <c r="TBX97" s="1675" t="s">
        <v>856</v>
      </c>
      <c r="TBY97" s="1675" t="s">
        <v>856</v>
      </c>
      <c r="TBZ97" s="1675" t="s">
        <v>856</v>
      </c>
      <c r="TCA97" s="1675" t="s">
        <v>856</v>
      </c>
      <c r="TCB97" s="1675" t="s">
        <v>856</v>
      </c>
      <c r="TCC97" s="1675" t="s">
        <v>856</v>
      </c>
      <c r="TCD97" s="1675" t="s">
        <v>856</v>
      </c>
      <c r="TCE97" s="1675" t="s">
        <v>856</v>
      </c>
      <c r="TCF97" s="1675" t="s">
        <v>856</v>
      </c>
      <c r="TCG97" s="1675" t="s">
        <v>856</v>
      </c>
      <c r="TCH97" s="1675" t="s">
        <v>856</v>
      </c>
      <c r="TCI97" s="1675" t="s">
        <v>856</v>
      </c>
      <c r="TCJ97" s="1675" t="s">
        <v>856</v>
      </c>
      <c r="TCK97" s="1675" t="s">
        <v>856</v>
      </c>
      <c r="TCL97" s="1675" t="s">
        <v>856</v>
      </c>
      <c r="TCM97" s="1675" t="s">
        <v>856</v>
      </c>
      <c r="TCN97" s="1675" t="s">
        <v>856</v>
      </c>
      <c r="TCO97" s="1675" t="s">
        <v>856</v>
      </c>
      <c r="TCP97" s="1675" t="s">
        <v>856</v>
      </c>
      <c r="TCQ97" s="1675" t="s">
        <v>856</v>
      </c>
      <c r="TCR97" s="1675" t="s">
        <v>856</v>
      </c>
      <c r="TCS97" s="1675" t="s">
        <v>856</v>
      </c>
      <c r="TCT97" s="1675" t="s">
        <v>856</v>
      </c>
      <c r="TCU97" s="1675" t="s">
        <v>856</v>
      </c>
      <c r="TCV97" s="1675" t="s">
        <v>856</v>
      </c>
      <c r="TCW97" s="1675" t="s">
        <v>856</v>
      </c>
      <c r="TCX97" s="1675" t="s">
        <v>856</v>
      </c>
      <c r="TCY97" s="1675" t="s">
        <v>856</v>
      </c>
      <c r="TCZ97" s="1675" t="s">
        <v>856</v>
      </c>
      <c r="TDA97" s="1675" t="s">
        <v>856</v>
      </c>
      <c r="TDB97" s="1675" t="s">
        <v>856</v>
      </c>
      <c r="TDC97" s="1675" t="s">
        <v>856</v>
      </c>
      <c r="TDD97" s="1675" t="s">
        <v>856</v>
      </c>
      <c r="TDE97" s="1675" t="s">
        <v>856</v>
      </c>
      <c r="TDF97" s="1675" t="s">
        <v>856</v>
      </c>
      <c r="TDG97" s="1675" t="s">
        <v>856</v>
      </c>
      <c r="TDH97" s="1675" t="s">
        <v>856</v>
      </c>
      <c r="TDI97" s="1675" t="s">
        <v>856</v>
      </c>
      <c r="TDJ97" s="1675" t="s">
        <v>856</v>
      </c>
      <c r="TDK97" s="1675" t="s">
        <v>856</v>
      </c>
      <c r="TDL97" s="1675" t="s">
        <v>856</v>
      </c>
      <c r="TDM97" s="1675" t="s">
        <v>856</v>
      </c>
      <c r="TDN97" s="1675" t="s">
        <v>856</v>
      </c>
      <c r="TDO97" s="1675" t="s">
        <v>856</v>
      </c>
      <c r="TDP97" s="1675" t="s">
        <v>856</v>
      </c>
      <c r="TDQ97" s="1675" t="s">
        <v>856</v>
      </c>
      <c r="TDR97" s="1675" t="s">
        <v>856</v>
      </c>
      <c r="TDS97" s="1675" t="s">
        <v>856</v>
      </c>
      <c r="TDT97" s="1675" t="s">
        <v>856</v>
      </c>
      <c r="TDU97" s="1675" t="s">
        <v>856</v>
      </c>
      <c r="TDV97" s="1675" t="s">
        <v>856</v>
      </c>
      <c r="TDW97" s="1675" t="s">
        <v>856</v>
      </c>
      <c r="TDX97" s="1675" t="s">
        <v>856</v>
      </c>
      <c r="TDY97" s="1675" t="s">
        <v>856</v>
      </c>
      <c r="TDZ97" s="1675" t="s">
        <v>856</v>
      </c>
      <c r="TEA97" s="1675" t="s">
        <v>856</v>
      </c>
      <c r="TEB97" s="1675" t="s">
        <v>856</v>
      </c>
      <c r="TEC97" s="1675" t="s">
        <v>856</v>
      </c>
      <c r="TED97" s="1675" t="s">
        <v>856</v>
      </c>
      <c r="TEE97" s="1675" t="s">
        <v>856</v>
      </c>
      <c r="TEF97" s="1675" t="s">
        <v>856</v>
      </c>
      <c r="TEG97" s="1675" t="s">
        <v>856</v>
      </c>
      <c r="TEH97" s="1675" t="s">
        <v>856</v>
      </c>
      <c r="TEI97" s="1675" t="s">
        <v>856</v>
      </c>
      <c r="TEJ97" s="1675" t="s">
        <v>856</v>
      </c>
      <c r="TEK97" s="1675" t="s">
        <v>856</v>
      </c>
      <c r="TEL97" s="1675" t="s">
        <v>856</v>
      </c>
      <c r="TEM97" s="1675" t="s">
        <v>856</v>
      </c>
      <c r="TEN97" s="1675" t="s">
        <v>856</v>
      </c>
      <c r="TEO97" s="1675" t="s">
        <v>856</v>
      </c>
      <c r="TEP97" s="1675" t="s">
        <v>856</v>
      </c>
      <c r="TEQ97" s="1675" t="s">
        <v>856</v>
      </c>
      <c r="TER97" s="1675" t="s">
        <v>856</v>
      </c>
      <c r="TES97" s="1675" t="s">
        <v>856</v>
      </c>
      <c r="TET97" s="1675" t="s">
        <v>856</v>
      </c>
      <c r="TEU97" s="1675" t="s">
        <v>856</v>
      </c>
      <c r="TEV97" s="1675" t="s">
        <v>856</v>
      </c>
      <c r="TEW97" s="1675" t="s">
        <v>856</v>
      </c>
      <c r="TEX97" s="1675" t="s">
        <v>856</v>
      </c>
      <c r="TEY97" s="1675" t="s">
        <v>856</v>
      </c>
      <c r="TEZ97" s="1675" t="s">
        <v>856</v>
      </c>
      <c r="TFA97" s="1675" t="s">
        <v>856</v>
      </c>
      <c r="TFB97" s="1675" t="s">
        <v>856</v>
      </c>
      <c r="TFC97" s="1675" t="s">
        <v>856</v>
      </c>
      <c r="TFD97" s="1675" t="s">
        <v>856</v>
      </c>
      <c r="TFE97" s="1675" t="s">
        <v>856</v>
      </c>
      <c r="TFF97" s="1675" t="s">
        <v>856</v>
      </c>
      <c r="TFG97" s="1675" t="s">
        <v>856</v>
      </c>
      <c r="TFH97" s="1675" t="s">
        <v>856</v>
      </c>
      <c r="TFI97" s="1675" t="s">
        <v>856</v>
      </c>
      <c r="TFJ97" s="1675" t="s">
        <v>856</v>
      </c>
      <c r="TFK97" s="1675" t="s">
        <v>856</v>
      </c>
      <c r="TFL97" s="1675" t="s">
        <v>856</v>
      </c>
      <c r="TFM97" s="1675" t="s">
        <v>856</v>
      </c>
      <c r="TFN97" s="1675" t="s">
        <v>856</v>
      </c>
      <c r="TFO97" s="1675" t="s">
        <v>856</v>
      </c>
      <c r="TFP97" s="1675" t="s">
        <v>856</v>
      </c>
      <c r="TFQ97" s="1675" t="s">
        <v>856</v>
      </c>
      <c r="TFR97" s="1675" t="s">
        <v>856</v>
      </c>
      <c r="TFS97" s="1675" t="s">
        <v>856</v>
      </c>
      <c r="TFT97" s="1675" t="s">
        <v>856</v>
      </c>
      <c r="TFU97" s="1675" t="s">
        <v>856</v>
      </c>
      <c r="TFV97" s="1675" t="s">
        <v>856</v>
      </c>
      <c r="TFW97" s="1675" t="s">
        <v>856</v>
      </c>
      <c r="TFX97" s="1675" t="s">
        <v>856</v>
      </c>
      <c r="TFY97" s="1675" t="s">
        <v>856</v>
      </c>
      <c r="TFZ97" s="1675" t="s">
        <v>856</v>
      </c>
      <c r="TGA97" s="1675" t="s">
        <v>856</v>
      </c>
      <c r="TGB97" s="1675" t="s">
        <v>856</v>
      </c>
      <c r="TGC97" s="1675" t="s">
        <v>856</v>
      </c>
      <c r="TGD97" s="1675" t="s">
        <v>856</v>
      </c>
      <c r="TGE97" s="1675" t="s">
        <v>856</v>
      </c>
      <c r="TGF97" s="1675" t="s">
        <v>856</v>
      </c>
      <c r="TGG97" s="1675" t="s">
        <v>856</v>
      </c>
      <c r="TGH97" s="1675" t="s">
        <v>856</v>
      </c>
      <c r="TGI97" s="1675" t="s">
        <v>856</v>
      </c>
      <c r="TGJ97" s="1675" t="s">
        <v>856</v>
      </c>
      <c r="TGK97" s="1675" t="s">
        <v>856</v>
      </c>
      <c r="TGL97" s="1675" t="s">
        <v>856</v>
      </c>
      <c r="TGM97" s="1675" t="s">
        <v>856</v>
      </c>
      <c r="TGN97" s="1675" t="s">
        <v>856</v>
      </c>
      <c r="TGO97" s="1675" t="s">
        <v>856</v>
      </c>
      <c r="TGP97" s="1675" t="s">
        <v>856</v>
      </c>
      <c r="TGQ97" s="1675" t="s">
        <v>856</v>
      </c>
      <c r="TGR97" s="1675" t="s">
        <v>856</v>
      </c>
      <c r="TGS97" s="1675" t="s">
        <v>856</v>
      </c>
      <c r="TGT97" s="1675" t="s">
        <v>856</v>
      </c>
      <c r="TGU97" s="1675" t="s">
        <v>856</v>
      </c>
      <c r="TGV97" s="1675" t="s">
        <v>856</v>
      </c>
      <c r="TGW97" s="1675" t="s">
        <v>856</v>
      </c>
      <c r="TGX97" s="1675" t="s">
        <v>856</v>
      </c>
      <c r="TGY97" s="1675" t="s">
        <v>856</v>
      </c>
      <c r="TGZ97" s="1675" t="s">
        <v>856</v>
      </c>
      <c r="THA97" s="1675" t="s">
        <v>856</v>
      </c>
      <c r="THB97" s="1675" t="s">
        <v>856</v>
      </c>
      <c r="THC97" s="1675" t="s">
        <v>856</v>
      </c>
      <c r="THD97" s="1675" t="s">
        <v>856</v>
      </c>
      <c r="THE97" s="1675" t="s">
        <v>856</v>
      </c>
      <c r="THF97" s="1675" t="s">
        <v>856</v>
      </c>
      <c r="THG97" s="1675" t="s">
        <v>856</v>
      </c>
      <c r="THH97" s="1675" t="s">
        <v>856</v>
      </c>
      <c r="THI97" s="1675" t="s">
        <v>856</v>
      </c>
      <c r="THJ97" s="1675" t="s">
        <v>856</v>
      </c>
      <c r="THK97" s="1675" t="s">
        <v>856</v>
      </c>
      <c r="THL97" s="1675" t="s">
        <v>856</v>
      </c>
      <c r="THM97" s="1675" t="s">
        <v>856</v>
      </c>
      <c r="THN97" s="1675" t="s">
        <v>856</v>
      </c>
      <c r="THO97" s="1675" t="s">
        <v>856</v>
      </c>
      <c r="THP97" s="1675" t="s">
        <v>856</v>
      </c>
      <c r="THQ97" s="1675" t="s">
        <v>856</v>
      </c>
      <c r="THR97" s="1675" t="s">
        <v>856</v>
      </c>
      <c r="THS97" s="1675" t="s">
        <v>856</v>
      </c>
      <c r="THT97" s="1675" t="s">
        <v>856</v>
      </c>
      <c r="THU97" s="1675" t="s">
        <v>856</v>
      </c>
      <c r="THV97" s="1675" t="s">
        <v>856</v>
      </c>
      <c r="THW97" s="1675" t="s">
        <v>856</v>
      </c>
      <c r="THX97" s="1675" t="s">
        <v>856</v>
      </c>
      <c r="THY97" s="1675" t="s">
        <v>856</v>
      </c>
      <c r="THZ97" s="1675" t="s">
        <v>856</v>
      </c>
      <c r="TIA97" s="1675" t="s">
        <v>856</v>
      </c>
      <c r="TIB97" s="1675" t="s">
        <v>856</v>
      </c>
      <c r="TIC97" s="1675" t="s">
        <v>856</v>
      </c>
      <c r="TID97" s="1675" t="s">
        <v>856</v>
      </c>
      <c r="TIE97" s="1675" t="s">
        <v>856</v>
      </c>
      <c r="TIF97" s="1675" t="s">
        <v>856</v>
      </c>
      <c r="TIG97" s="1675" t="s">
        <v>856</v>
      </c>
      <c r="TIH97" s="1675" t="s">
        <v>856</v>
      </c>
      <c r="TII97" s="1675" t="s">
        <v>856</v>
      </c>
      <c r="TIJ97" s="1675" t="s">
        <v>856</v>
      </c>
      <c r="TIK97" s="1675" t="s">
        <v>856</v>
      </c>
      <c r="TIL97" s="1675" t="s">
        <v>856</v>
      </c>
      <c r="TIM97" s="1675" t="s">
        <v>856</v>
      </c>
      <c r="TIN97" s="1675" t="s">
        <v>856</v>
      </c>
      <c r="TIO97" s="1675" t="s">
        <v>856</v>
      </c>
      <c r="TIP97" s="1675" t="s">
        <v>856</v>
      </c>
      <c r="TIQ97" s="1675" t="s">
        <v>856</v>
      </c>
      <c r="TIR97" s="1675" t="s">
        <v>856</v>
      </c>
      <c r="TIS97" s="1675" t="s">
        <v>856</v>
      </c>
      <c r="TIT97" s="1675" t="s">
        <v>856</v>
      </c>
      <c r="TIU97" s="1675" t="s">
        <v>856</v>
      </c>
      <c r="TIV97" s="1675" t="s">
        <v>856</v>
      </c>
      <c r="TIW97" s="1675" t="s">
        <v>856</v>
      </c>
      <c r="TIX97" s="1675" t="s">
        <v>856</v>
      </c>
      <c r="TIY97" s="1675" t="s">
        <v>856</v>
      </c>
      <c r="TIZ97" s="1675" t="s">
        <v>856</v>
      </c>
      <c r="TJA97" s="1675" t="s">
        <v>856</v>
      </c>
      <c r="TJB97" s="1675" t="s">
        <v>856</v>
      </c>
      <c r="TJC97" s="1675" t="s">
        <v>856</v>
      </c>
      <c r="TJD97" s="1675" t="s">
        <v>856</v>
      </c>
      <c r="TJE97" s="1675" t="s">
        <v>856</v>
      </c>
      <c r="TJF97" s="1675" t="s">
        <v>856</v>
      </c>
      <c r="TJG97" s="1675" t="s">
        <v>856</v>
      </c>
      <c r="TJH97" s="1675" t="s">
        <v>856</v>
      </c>
      <c r="TJI97" s="1675" t="s">
        <v>856</v>
      </c>
      <c r="TJJ97" s="1675" t="s">
        <v>856</v>
      </c>
      <c r="TJK97" s="1675" t="s">
        <v>856</v>
      </c>
      <c r="TJL97" s="1675" t="s">
        <v>856</v>
      </c>
      <c r="TJM97" s="1675" t="s">
        <v>856</v>
      </c>
      <c r="TJN97" s="1675" t="s">
        <v>856</v>
      </c>
      <c r="TJO97" s="1675" t="s">
        <v>856</v>
      </c>
      <c r="TJP97" s="1675" t="s">
        <v>856</v>
      </c>
      <c r="TJQ97" s="1675" t="s">
        <v>856</v>
      </c>
      <c r="TJR97" s="1675" t="s">
        <v>856</v>
      </c>
      <c r="TJS97" s="1675" t="s">
        <v>856</v>
      </c>
      <c r="TJT97" s="1675" t="s">
        <v>856</v>
      </c>
      <c r="TJU97" s="1675" t="s">
        <v>856</v>
      </c>
      <c r="TJV97" s="1675" t="s">
        <v>856</v>
      </c>
      <c r="TJW97" s="1675" t="s">
        <v>856</v>
      </c>
      <c r="TJX97" s="1675" t="s">
        <v>856</v>
      </c>
      <c r="TJY97" s="1675" t="s">
        <v>856</v>
      </c>
      <c r="TJZ97" s="1675" t="s">
        <v>856</v>
      </c>
      <c r="TKA97" s="1675" t="s">
        <v>856</v>
      </c>
      <c r="TKB97" s="1675" t="s">
        <v>856</v>
      </c>
      <c r="TKC97" s="1675" t="s">
        <v>856</v>
      </c>
      <c r="TKD97" s="1675" t="s">
        <v>856</v>
      </c>
      <c r="TKE97" s="1675" t="s">
        <v>856</v>
      </c>
      <c r="TKF97" s="1675" t="s">
        <v>856</v>
      </c>
      <c r="TKG97" s="1675" t="s">
        <v>856</v>
      </c>
      <c r="TKH97" s="1675" t="s">
        <v>856</v>
      </c>
      <c r="TKI97" s="1675" t="s">
        <v>856</v>
      </c>
      <c r="TKJ97" s="1675" t="s">
        <v>856</v>
      </c>
      <c r="TKK97" s="1675" t="s">
        <v>856</v>
      </c>
      <c r="TKL97" s="1675" t="s">
        <v>856</v>
      </c>
      <c r="TKM97" s="1675" t="s">
        <v>856</v>
      </c>
      <c r="TKN97" s="1675" t="s">
        <v>856</v>
      </c>
      <c r="TKO97" s="1675" t="s">
        <v>856</v>
      </c>
      <c r="TKP97" s="1675" t="s">
        <v>856</v>
      </c>
      <c r="TKQ97" s="1675" t="s">
        <v>856</v>
      </c>
      <c r="TKR97" s="1675" t="s">
        <v>856</v>
      </c>
      <c r="TKS97" s="1675" t="s">
        <v>856</v>
      </c>
      <c r="TKT97" s="1675" t="s">
        <v>856</v>
      </c>
      <c r="TKU97" s="1675" t="s">
        <v>856</v>
      </c>
      <c r="TKV97" s="1675" t="s">
        <v>856</v>
      </c>
      <c r="TKW97" s="1675" t="s">
        <v>856</v>
      </c>
      <c r="TKX97" s="1675" t="s">
        <v>856</v>
      </c>
      <c r="TKY97" s="1675" t="s">
        <v>856</v>
      </c>
      <c r="TKZ97" s="1675" t="s">
        <v>856</v>
      </c>
      <c r="TLA97" s="1675" t="s">
        <v>856</v>
      </c>
      <c r="TLB97" s="1675" t="s">
        <v>856</v>
      </c>
      <c r="TLC97" s="1675" t="s">
        <v>856</v>
      </c>
      <c r="TLD97" s="1675" t="s">
        <v>856</v>
      </c>
      <c r="TLE97" s="1675" t="s">
        <v>856</v>
      </c>
      <c r="TLF97" s="1675" t="s">
        <v>856</v>
      </c>
      <c r="TLG97" s="1675" t="s">
        <v>856</v>
      </c>
      <c r="TLH97" s="1675" t="s">
        <v>856</v>
      </c>
      <c r="TLI97" s="1675" t="s">
        <v>856</v>
      </c>
      <c r="TLJ97" s="1675" t="s">
        <v>856</v>
      </c>
      <c r="TLK97" s="1675" t="s">
        <v>856</v>
      </c>
      <c r="TLL97" s="1675" t="s">
        <v>856</v>
      </c>
      <c r="TLM97" s="1675" t="s">
        <v>856</v>
      </c>
      <c r="TLN97" s="1675" t="s">
        <v>856</v>
      </c>
      <c r="TLO97" s="1675" t="s">
        <v>856</v>
      </c>
      <c r="TLP97" s="1675" t="s">
        <v>856</v>
      </c>
      <c r="TLQ97" s="1675" t="s">
        <v>856</v>
      </c>
      <c r="TLR97" s="1675" t="s">
        <v>856</v>
      </c>
      <c r="TLS97" s="1675" t="s">
        <v>856</v>
      </c>
      <c r="TLT97" s="1675" t="s">
        <v>856</v>
      </c>
      <c r="TLU97" s="1675" t="s">
        <v>856</v>
      </c>
      <c r="TLV97" s="1675" t="s">
        <v>856</v>
      </c>
      <c r="TLW97" s="1675" t="s">
        <v>856</v>
      </c>
      <c r="TLX97" s="1675" t="s">
        <v>856</v>
      </c>
      <c r="TLY97" s="1675" t="s">
        <v>856</v>
      </c>
      <c r="TLZ97" s="1675" t="s">
        <v>856</v>
      </c>
      <c r="TMA97" s="1675" t="s">
        <v>856</v>
      </c>
      <c r="TMB97" s="1675" t="s">
        <v>856</v>
      </c>
      <c r="TMC97" s="1675" t="s">
        <v>856</v>
      </c>
      <c r="TMD97" s="1675" t="s">
        <v>856</v>
      </c>
      <c r="TME97" s="1675" t="s">
        <v>856</v>
      </c>
      <c r="TMF97" s="1675" t="s">
        <v>856</v>
      </c>
      <c r="TMG97" s="1675" t="s">
        <v>856</v>
      </c>
      <c r="TMH97" s="1675" t="s">
        <v>856</v>
      </c>
      <c r="TMI97" s="1675" t="s">
        <v>856</v>
      </c>
      <c r="TMJ97" s="1675" t="s">
        <v>856</v>
      </c>
      <c r="TMK97" s="1675" t="s">
        <v>856</v>
      </c>
      <c r="TML97" s="1675" t="s">
        <v>856</v>
      </c>
      <c r="TMM97" s="1675" t="s">
        <v>856</v>
      </c>
      <c r="TMN97" s="1675" t="s">
        <v>856</v>
      </c>
      <c r="TMO97" s="1675" t="s">
        <v>856</v>
      </c>
      <c r="TMP97" s="1675" t="s">
        <v>856</v>
      </c>
      <c r="TMQ97" s="1675" t="s">
        <v>856</v>
      </c>
      <c r="TMR97" s="1675" t="s">
        <v>856</v>
      </c>
      <c r="TMS97" s="1675" t="s">
        <v>856</v>
      </c>
      <c r="TMT97" s="1675" t="s">
        <v>856</v>
      </c>
      <c r="TMU97" s="1675" t="s">
        <v>856</v>
      </c>
      <c r="TMV97" s="1675" t="s">
        <v>856</v>
      </c>
      <c r="TMW97" s="1675" t="s">
        <v>856</v>
      </c>
      <c r="TMX97" s="1675" t="s">
        <v>856</v>
      </c>
      <c r="TMY97" s="1675" t="s">
        <v>856</v>
      </c>
      <c r="TMZ97" s="1675" t="s">
        <v>856</v>
      </c>
      <c r="TNA97" s="1675" t="s">
        <v>856</v>
      </c>
      <c r="TNB97" s="1675" t="s">
        <v>856</v>
      </c>
      <c r="TNC97" s="1675" t="s">
        <v>856</v>
      </c>
      <c r="TND97" s="1675" t="s">
        <v>856</v>
      </c>
      <c r="TNE97" s="1675" t="s">
        <v>856</v>
      </c>
      <c r="TNF97" s="1675" t="s">
        <v>856</v>
      </c>
      <c r="TNG97" s="1675" t="s">
        <v>856</v>
      </c>
      <c r="TNH97" s="1675" t="s">
        <v>856</v>
      </c>
      <c r="TNI97" s="1675" t="s">
        <v>856</v>
      </c>
      <c r="TNJ97" s="1675" t="s">
        <v>856</v>
      </c>
      <c r="TNK97" s="1675" t="s">
        <v>856</v>
      </c>
      <c r="TNL97" s="1675" t="s">
        <v>856</v>
      </c>
      <c r="TNM97" s="1675" t="s">
        <v>856</v>
      </c>
      <c r="TNN97" s="1675" t="s">
        <v>856</v>
      </c>
      <c r="TNO97" s="1675" t="s">
        <v>856</v>
      </c>
      <c r="TNP97" s="1675" t="s">
        <v>856</v>
      </c>
      <c r="TNQ97" s="1675" t="s">
        <v>856</v>
      </c>
      <c r="TNR97" s="1675" t="s">
        <v>856</v>
      </c>
      <c r="TNS97" s="1675" t="s">
        <v>856</v>
      </c>
      <c r="TNT97" s="1675" t="s">
        <v>856</v>
      </c>
      <c r="TNU97" s="1675" t="s">
        <v>856</v>
      </c>
      <c r="TNV97" s="1675" t="s">
        <v>856</v>
      </c>
      <c r="TNW97" s="1675" t="s">
        <v>856</v>
      </c>
      <c r="TNX97" s="1675" t="s">
        <v>856</v>
      </c>
      <c r="TNY97" s="1675" t="s">
        <v>856</v>
      </c>
      <c r="TNZ97" s="1675" t="s">
        <v>856</v>
      </c>
      <c r="TOA97" s="1675" t="s">
        <v>856</v>
      </c>
      <c r="TOB97" s="1675" t="s">
        <v>856</v>
      </c>
      <c r="TOC97" s="1675" t="s">
        <v>856</v>
      </c>
      <c r="TOD97" s="1675" t="s">
        <v>856</v>
      </c>
      <c r="TOE97" s="1675" t="s">
        <v>856</v>
      </c>
      <c r="TOF97" s="1675" t="s">
        <v>856</v>
      </c>
      <c r="TOG97" s="1675" t="s">
        <v>856</v>
      </c>
      <c r="TOH97" s="1675" t="s">
        <v>856</v>
      </c>
      <c r="TOI97" s="1675" t="s">
        <v>856</v>
      </c>
      <c r="TOJ97" s="1675" t="s">
        <v>856</v>
      </c>
      <c r="TOK97" s="1675" t="s">
        <v>856</v>
      </c>
      <c r="TOL97" s="1675" t="s">
        <v>856</v>
      </c>
      <c r="TOM97" s="1675" t="s">
        <v>856</v>
      </c>
      <c r="TON97" s="1675" t="s">
        <v>856</v>
      </c>
      <c r="TOO97" s="1675" t="s">
        <v>856</v>
      </c>
      <c r="TOP97" s="1675" t="s">
        <v>856</v>
      </c>
      <c r="TOQ97" s="1675" t="s">
        <v>856</v>
      </c>
      <c r="TOR97" s="1675" t="s">
        <v>856</v>
      </c>
      <c r="TOS97" s="1675" t="s">
        <v>856</v>
      </c>
      <c r="TOT97" s="1675" t="s">
        <v>856</v>
      </c>
      <c r="TOU97" s="1675" t="s">
        <v>856</v>
      </c>
      <c r="TOV97" s="1675" t="s">
        <v>856</v>
      </c>
      <c r="TOW97" s="1675" t="s">
        <v>856</v>
      </c>
      <c r="TOX97" s="1675" t="s">
        <v>856</v>
      </c>
      <c r="TOY97" s="1675" t="s">
        <v>856</v>
      </c>
      <c r="TOZ97" s="1675" t="s">
        <v>856</v>
      </c>
      <c r="TPA97" s="1675" t="s">
        <v>856</v>
      </c>
      <c r="TPB97" s="1675" t="s">
        <v>856</v>
      </c>
      <c r="TPC97" s="1675" t="s">
        <v>856</v>
      </c>
      <c r="TPD97" s="1675" t="s">
        <v>856</v>
      </c>
      <c r="TPE97" s="1675" t="s">
        <v>856</v>
      </c>
      <c r="TPF97" s="1675" t="s">
        <v>856</v>
      </c>
      <c r="TPG97" s="1675" t="s">
        <v>856</v>
      </c>
      <c r="TPH97" s="1675" t="s">
        <v>856</v>
      </c>
      <c r="TPI97" s="1675" t="s">
        <v>856</v>
      </c>
      <c r="TPJ97" s="1675" t="s">
        <v>856</v>
      </c>
      <c r="TPK97" s="1675" t="s">
        <v>856</v>
      </c>
      <c r="TPL97" s="1675" t="s">
        <v>856</v>
      </c>
      <c r="TPM97" s="1675" t="s">
        <v>856</v>
      </c>
      <c r="TPN97" s="1675" t="s">
        <v>856</v>
      </c>
      <c r="TPO97" s="1675" t="s">
        <v>856</v>
      </c>
      <c r="TPP97" s="1675" t="s">
        <v>856</v>
      </c>
      <c r="TPQ97" s="1675" t="s">
        <v>856</v>
      </c>
      <c r="TPR97" s="1675" t="s">
        <v>856</v>
      </c>
      <c r="TPS97" s="1675" t="s">
        <v>856</v>
      </c>
      <c r="TPT97" s="1675" t="s">
        <v>856</v>
      </c>
      <c r="TPU97" s="1675" t="s">
        <v>856</v>
      </c>
      <c r="TPV97" s="1675" t="s">
        <v>856</v>
      </c>
      <c r="TPW97" s="1675" t="s">
        <v>856</v>
      </c>
      <c r="TPX97" s="1675" t="s">
        <v>856</v>
      </c>
      <c r="TPY97" s="1675" t="s">
        <v>856</v>
      </c>
      <c r="TPZ97" s="1675" t="s">
        <v>856</v>
      </c>
      <c r="TQA97" s="1675" t="s">
        <v>856</v>
      </c>
      <c r="TQB97" s="1675" t="s">
        <v>856</v>
      </c>
      <c r="TQC97" s="1675" t="s">
        <v>856</v>
      </c>
      <c r="TQD97" s="1675" t="s">
        <v>856</v>
      </c>
      <c r="TQE97" s="1675" t="s">
        <v>856</v>
      </c>
      <c r="TQF97" s="1675" t="s">
        <v>856</v>
      </c>
      <c r="TQG97" s="1675" t="s">
        <v>856</v>
      </c>
      <c r="TQH97" s="1675" t="s">
        <v>856</v>
      </c>
      <c r="TQI97" s="1675" t="s">
        <v>856</v>
      </c>
      <c r="TQJ97" s="1675" t="s">
        <v>856</v>
      </c>
      <c r="TQK97" s="1675" t="s">
        <v>856</v>
      </c>
      <c r="TQL97" s="1675" t="s">
        <v>856</v>
      </c>
      <c r="TQM97" s="1675" t="s">
        <v>856</v>
      </c>
      <c r="TQN97" s="1675" t="s">
        <v>856</v>
      </c>
      <c r="TQO97" s="1675" t="s">
        <v>856</v>
      </c>
      <c r="TQP97" s="1675" t="s">
        <v>856</v>
      </c>
      <c r="TQQ97" s="1675" t="s">
        <v>856</v>
      </c>
      <c r="TQR97" s="1675" t="s">
        <v>856</v>
      </c>
      <c r="TQS97" s="1675" t="s">
        <v>856</v>
      </c>
      <c r="TQT97" s="1675" t="s">
        <v>856</v>
      </c>
      <c r="TQU97" s="1675" t="s">
        <v>856</v>
      </c>
      <c r="TQV97" s="1675" t="s">
        <v>856</v>
      </c>
      <c r="TQW97" s="1675" t="s">
        <v>856</v>
      </c>
      <c r="TQX97" s="1675" t="s">
        <v>856</v>
      </c>
      <c r="TQY97" s="1675" t="s">
        <v>856</v>
      </c>
      <c r="TQZ97" s="1675" t="s">
        <v>856</v>
      </c>
      <c r="TRA97" s="1675" t="s">
        <v>856</v>
      </c>
      <c r="TRB97" s="1675" t="s">
        <v>856</v>
      </c>
      <c r="TRC97" s="1675" t="s">
        <v>856</v>
      </c>
      <c r="TRD97" s="1675" t="s">
        <v>856</v>
      </c>
      <c r="TRE97" s="1675" t="s">
        <v>856</v>
      </c>
      <c r="TRF97" s="1675" t="s">
        <v>856</v>
      </c>
      <c r="TRG97" s="1675" t="s">
        <v>856</v>
      </c>
      <c r="TRH97" s="1675" t="s">
        <v>856</v>
      </c>
      <c r="TRI97" s="1675" t="s">
        <v>856</v>
      </c>
      <c r="TRJ97" s="1675" t="s">
        <v>856</v>
      </c>
      <c r="TRK97" s="1675" t="s">
        <v>856</v>
      </c>
      <c r="TRL97" s="1675" t="s">
        <v>856</v>
      </c>
      <c r="TRM97" s="1675" t="s">
        <v>856</v>
      </c>
      <c r="TRN97" s="1675" t="s">
        <v>856</v>
      </c>
      <c r="TRO97" s="1675" t="s">
        <v>856</v>
      </c>
      <c r="TRP97" s="1675" t="s">
        <v>856</v>
      </c>
      <c r="TRQ97" s="1675" t="s">
        <v>856</v>
      </c>
      <c r="TRR97" s="1675" t="s">
        <v>856</v>
      </c>
      <c r="TRS97" s="1675" t="s">
        <v>856</v>
      </c>
      <c r="TRT97" s="1675" t="s">
        <v>856</v>
      </c>
      <c r="TRU97" s="1675" t="s">
        <v>856</v>
      </c>
      <c r="TRV97" s="1675" t="s">
        <v>856</v>
      </c>
      <c r="TRW97" s="1675" t="s">
        <v>856</v>
      </c>
      <c r="TRX97" s="1675" t="s">
        <v>856</v>
      </c>
      <c r="TRY97" s="1675" t="s">
        <v>856</v>
      </c>
      <c r="TRZ97" s="1675" t="s">
        <v>856</v>
      </c>
      <c r="TSA97" s="1675" t="s">
        <v>856</v>
      </c>
      <c r="TSB97" s="1675" t="s">
        <v>856</v>
      </c>
      <c r="TSC97" s="1675" t="s">
        <v>856</v>
      </c>
      <c r="TSD97" s="1675" t="s">
        <v>856</v>
      </c>
      <c r="TSE97" s="1675" t="s">
        <v>856</v>
      </c>
      <c r="TSF97" s="1675" t="s">
        <v>856</v>
      </c>
      <c r="TSG97" s="1675" t="s">
        <v>856</v>
      </c>
      <c r="TSH97" s="1675" t="s">
        <v>856</v>
      </c>
      <c r="TSI97" s="1675" t="s">
        <v>856</v>
      </c>
      <c r="TSJ97" s="1675" t="s">
        <v>856</v>
      </c>
      <c r="TSK97" s="1675" t="s">
        <v>856</v>
      </c>
      <c r="TSL97" s="1675" t="s">
        <v>856</v>
      </c>
      <c r="TSM97" s="1675" t="s">
        <v>856</v>
      </c>
      <c r="TSN97" s="1675" t="s">
        <v>856</v>
      </c>
      <c r="TSO97" s="1675" t="s">
        <v>856</v>
      </c>
      <c r="TSP97" s="1675" t="s">
        <v>856</v>
      </c>
      <c r="TSQ97" s="1675" t="s">
        <v>856</v>
      </c>
      <c r="TSR97" s="1675" t="s">
        <v>856</v>
      </c>
      <c r="TSS97" s="1675" t="s">
        <v>856</v>
      </c>
      <c r="TST97" s="1675" t="s">
        <v>856</v>
      </c>
      <c r="TSU97" s="1675" t="s">
        <v>856</v>
      </c>
      <c r="TSV97" s="1675" t="s">
        <v>856</v>
      </c>
      <c r="TSW97" s="1675" t="s">
        <v>856</v>
      </c>
      <c r="TSX97" s="1675" t="s">
        <v>856</v>
      </c>
      <c r="TSY97" s="1675" t="s">
        <v>856</v>
      </c>
      <c r="TSZ97" s="1675" t="s">
        <v>856</v>
      </c>
      <c r="TTA97" s="1675" t="s">
        <v>856</v>
      </c>
      <c r="TTB97" s="1675" t="s">
        <v>856</v>
      </c>
      <c r="TTC97" s="1675" t="s">
        <v>856</v>
      </c>
      <c r="TTD97" s="1675" t="s">
        <v>856</v>
      </c>
      <c r="TTE97" s="1675" t="s">
        <v>856</v>
      </c>
      <c r="TTF97" s="1675" t="s">
        <v>856</v>
      </c>
      <c r="TTG97" s="1675" t="s">
        <v>856</v>
      </c>
      <c r="TTH97" s="1675" t="s">
        <v>856</v>
      </c>
      <c r="TTI97" s="1675" t="s">
        <v>856</v>
      </c>
      <c r="TTJ97" s="1675" t="s">
        <v>856</v>
      </c>
      <c r="TTK97" s="1675" t="s">
        <v>856</v>
      </c>
      <c r="TTL97" s="1675" t="s">
        <v>856</v>
      </c>
      <c r="TTM97" s="1675" t="s">
        <v>856</v>
      </c>
      <c r="TTN97" s="1675" t="s">
        <v>856</v>
      </c>
      <c r="TTO97" s="1675" t="s">
        <v>856</v>
      </c>
      <c r="TTP97" s="1675" t="s">
        <v>856</v>
      </c>
      <c r="TTQ97" s="1675" t="s">
        <v>856</v>
      </c>
      <c r="TTR97" s="1675" t="s">
        <v>856</v>
      </c>
      <c r="TTS97" s="1675" t="s">
        <v>856</v>
      </c>
      <c r="TTT97" s="1675" t="s">
        <v>856</v>
      </c>
      <c r="TTU97" s="1675" t="s">
        <v>856</v>
      </c>
      <c r="TTV97" s="1675" t="s">
        <v>856</v>
      </c>
      <c r="TTW97" s="1675" t="s">
        <v>856</v>
      </c>
      <c r="TTX97" s="1675" t="s">
        <v>856</v>
      </c>
      <c r="TTY97" s="1675" t="s">
        <v>856</v>
      </c>
      <c r="TTZ97" s="1675" t="s">
        <v>856</v>
      </c>
      <c r="TUA97" s="1675" t="s">
        <v>856</v>
      </c>
      <c r="TUB97" s="1675" t="s">
        <v>856</v>
      </c>
      <c r="TUC97" s="1675" t="s">
        <v>856</v>
      </c>
      <c r="TUD97" s="1675" t="s">
        <v>856</v>
      </c>
      <c r="TUE97" s="1675" t="s">
        <v>856</v>
      </c>
      <c r="TUF97" s="1675" t="s">
        <v>856</v>
      </c>
      <c r="TUG97" s="1675" t="s">
        <v>856</v>
      </c>
      <c r="TUH97" s="1675" t="s">
        <v>856</v>
      </c>
      <c r="TUI97" s="1675" t="s">
        <v>856</v>
      </c>
      <c r="TUJ97" s="1675" t="s">
        <v>856</v>
      </c>
      <c r="TUK97" s="1675" t="s">
        <v>856</v>
      </c>
      <c r="TUL97" s="1675" t="s">
        <v>856</v>
      </c>
      <c r="TUM97" s="1675" t="s">
        <v>856</v>
      </c>
      <c r="TUN97" s="1675" t="s">
        <v>856</v>
      </c>
      <c r="TUO97" s="1675" t="s">
        <v>856</v>
      </c>
      <c r="TUP97" s="1675" t="s">
        <v>856</v>
      </c>
      <c r="TUQ97" s="1675" t="s">
        <v>856</v>
      </c>
      <c r="TUR97" s="1675" t="s">
        <v>856</v>
      </c>
      <c r="TUS97" s="1675" t="s">
        <v>856</v>
      </c>
      <c r="TUT97" s="1675" t="s">
        <v>856</v>
      </c>
      <c r="TUU97" s="1675" t="s">
        <v>856</v>
      </c>
      <c r="TUV97" s="1675" t="s">
        <v>856</v>
      </c>
      <c r="TUW97" s="1675" t="s">
        <v>856</v>
      </c>
      <c r="TUX97" s="1675" t="s">
        <v>856</v>
      </c>
      <c r="TUY97" s="1675" t="s">
        <v>856</v>
      </c>
      <c r="TUZ97" s="1675" t="s">
        <v>856</v>
      </c>
      <c r="TVA97" s="1675" t="s">
        <v>856</v>
      </c>
      <c r="TVB97" s="1675" t="s">
        <v>856</v>
      </c>
      <c r="TVC97" s="1675" t="s">
        <v>856</v>
      </c>
      <c r="TVD97" s="1675" t="s">
        <v>856</v>
      </c>
      <c r="TVE97" s="1675" t="s">
        <v>856</v>
      </c>
      <c r="TVF97" s="1675" t="s">
        <v>856</v>
      </c>
      <c r="TVG97" s="1675" t="s">
        <v>856</v>
      </c>
      <c r="TVH97" s="1675" t="s">
        <v>856</v>
      </c>
      <c r="TVI97" s="1675" t="s">
        <v>856</v>
      </c>
      <c r="TVJ97" s="1675" t="s">
        <v>856</v>
      </c>
      <c r="TVK97" s="1675" t="s">
        <v>856</v>
      </c>
      <c r="TVL97" s="1675" t="s">
        <v>856</v>
      </c>
      <c r="TVM97" s="1675" t="s">
        <v>856</v>
      </c>
      <c r="TVN97" s="1675" t="s">
        <v>856</v>
      </c>
      <c r="TVO97" s="1675" t="s">
        <v>856</v>
      </c>
      <c r="TVP97" s="1675" t="s">
        <v>856</v>
      </c>
      <c r="TVQ97" s="1675" t="s">
        <v>856</v>
      </c>
      <c r="TVR97" s="1675" t="s">
        <v>856</v>
      </c>
      <c r="TVS97" s="1675" t="s">
        <v>856</v>
      </c>
      <c r="TVT97" s="1675" t="s">
        <v>856</v>
      </c>
      <c r="TVU97" s="1675" t="s">
        <v>856</v>
      </c>
      <c r="TVV97" s="1675" t="s">
        <v>856</v>
      </c>
      <c r="TVW97" s="1675" t="s">
        <v>856</v>
      </c>
      <c r="TVX97" s="1675" t="s">
        <v>856</v>
      </c>
      <c r="TVY97" s="1675" t="s">
        <v>856</v>
      </c>
      <c r="TVZ97" s="1675" t="s">
        <v>856</v>
      </c>
      <c r="TWA97" s="1675" t="s">
        <v>856</v>
      </c>
      <c r="TWB97" s="1675" t="s">
        <v>856</v>
      </c>
      <c r="TWC97" s="1675" t="s">
        <v>856</v>
      </c>
      <c r="TWD97" s="1675" t="s">
        <v>856</v>
      </c>
      <c r="TWE97" s="1675" t="s">
        <v>856</v>
      </c>
      <c r="TWF97" s="1675" t="s">
        <v>856</v>
      </c>
      <c r="TWG97" s="1675" t="s">
        <v>856</v>
      </c>
      <c r="TWH97" s="1675" t="s">
        <v>856</v>
      </c>
      <c r="TWI97" s="1675" t="s">
        <v>856</v>
      </c>
      <c r="TWJ97" s="1675" t="s">
        <v>856</v>
      </c>
      <c r="TWK97" s="1675" t="s">
        <v>856</v>
      </c>
      <c r="TWL97" s="1675" t="s">
        <v>856</v>
      </c>
      <c r="TWM97" s="1675" t="s">
        <v>856</v>
      </c>
      <c r="TWN97" s="1675" t="s">
        <v>856</v>
      </c>
      <c r="TWO97" s="1675" t="s">
        <v>856</v>
      </c>
      <c r="TWP97" s="1675" t="s">
        <v>856</v>
      </c>
      <c r="TWQ97" s="1675" t="s">
        <v>856</v>
      </c>
      <c r="TWR97" s="1675" t="s">
        <v>856</v>
      </c>
      <c r="TWS97" s="1675" t="s">
        <v>856</v>
      </c>
      <c r="TWT97" s="1675" t="s">
        <v>856</v>
      </c>
      <c r="TWU97" s="1675" t="s">
        <v>856</v>
      </c>
      <c r="TWV97" s="1675" t="s">
        <v>856</v>
      </c>
      <c r="TWW97" s="1675" t="s">
        <v>856</v>
      </c>
      <c r="TWX97" s="1675" t="s">
        <v>856</v>
      </c>
      <c r="TWY97" s="1675" t="s">
        <v>856</v>
      </c>
      <c r="TWZ97" s="1675" t="s">
        <v>856</v>
      </c>
      <c r="TXA97" s="1675" t="s">
        <v>856</v>
      </c>
      <c r="TXB97" s="1675" t="s">
        <v>856</v>
      </c>
      <c r="TXC97" s="1675" t="s">
        <v>856</v>
      </c>
      <c r="TXD97" s="1675" t="s">
        <v>856</v>
      </c>
      <c r="TXE97" s="1675" t="s">
        <v>856</v>
      </c>
      <c r="TXF97" s="1675" t="s">
        <v>856</v>
      </c>
      <c r="TXG97" s="1675" t="s">
        <v>856</v>
      </c>
      <c r="TXH97" s="1675" t="s">
        <v>856</v>
      </c>
      <c r="TXI97" s="1675" t="s">
        <v>856</v>
      </c>
      <c r="TXJ97" s="1675" t="s">
        <v>856</v>
      </c>
      <c r="TXK97" s="1675" t="s">
        <v>856</v>
      </c>
      <c r="TXL97" s="1675" t="s">
        <v>856</v>
      </c>
      <c r="TXM97" s="1675" t="s">
        <v>856</v>
      </c>
      <c r="TXN97" s="1675" t="s">
        <v>856</v>
      </c>
      <c r="TXO97" s="1675" t="s">
        <v>856</v>
      </c>
      <c r="TXP97" s="1675" t="s">
        <v>856</v>
      </c>
      <c r="TXQ97" s="1675" t="s">
        <v>856</v>
      </c>
      <c r="TXR97" s="1675" t="s">
        <v>856</v>
      </c>
      <c r="TXS97" s="1675" t="s">
        <v>856</v>
      </c>
      <c r="TXT97" s="1675" t="s">
        <v>856</v>
      </c>
      <c r="TXU97" s="1675" t="s">
        <v>856</v>
      </c>
      <c r="TXV97" s="1675" t="s">
        <v>856</v>
      </c>
      <c r="TXW97" s="1675" t="s">
        <v>856</v>
      </c>
      <c r="TXX97" s="1675" t="s">
        <v>856</v>
      </c>
      <c r="TXY97" s="1675" t="s">
        <v>856</v>
      </c>
      <c r="TXZ97" s="1675" t="s">
        <v>856</v>
      </c>
      <c r="TYA97" s="1675" t="s">
        <v>856</v>
      </c>
      <c r="TYB97" s="1675" t="s">
        <v>856</v>
      </c>
      <c r="TYC97" s="1675" t="s">
        <v>856</v>
      </c>
      <c r="TYD97" s="1675" t="s">
        <v>856</v>
      </c>
      <c r="TYE97" s="1675" t="s">
        <v>856</v>
      </c>
      <c r="TYF97" s="1675" t="s">
        <v>856</v>
      </c>
      <c r="TYG97" s="1675" t="s">
        <v>856</v>
      </c>
      <c r="TYH97" s="1675" t="s">
        <v>856</v>
      </c>
      <c r="TYI97" s="1675" t="s">
        <v>856</v>
      </c>
      <c r="TYJ97" s="1675" t="s">
        <v>856</v>
      </c>
      <c r="TYK97" s="1675" t="s">
        <v>856</v>
      </c>
      <c r="TYL97" s="1675" t="s">
        <v>856</v>
      </c>
      <c r="TYM97" s="1675" t="s">
        <v>856</v>
      </c>
      <c r="TYN97" s="1675" t="s">
        <v>856</v>
      </c>
      <c r="TYO97" s="1675" t="s">
        <v>856</v>
      </c>
      <c r="TYP97" s="1675" t="s">
        <v>856</v>
      </c>
      <c r="TYQ97" s="1675" t="s">
        <v>856</v>
      </c>
      <c r="TYR97" s="1675" t="s">
        <v>856</v>
      </c>
      <c r="TYS97" s="1675" t="s">
        <v>856</v>
      </c>
      <c r="TYT97" s="1675" t="s">
        <v>856</v>
      </c>
      <c r="TYU97" s="1675" t="s">
        <v>856</v>
      </c>
      <c r="TYV97" s="1675" t="s">
        <v>856</v>
      </c>
      <c r="TYW97" s="1675" t="s">
        <v>856</v>
      </c>
      <c r="TYX97" s="1675" t="s">
        <v>856</v>
      </c>
      <c r="TYY97" s="1675" t="s">
        <v>856</v>
      </c>
      <c r="TYZ97" s="1675" t="s">
        <v>856</v>
      </c>
      <c r="TZA97" s="1675" t="s">
        <v>856</v>
      </c>
      <c r="TZB97" s="1675" t="s">
        <v>856</v>
      </c>
      <c r="TZC97" s="1675" t="s">
        <v>856</v>
      </c>
      <c r="TZD97" s="1675" t="s">
        <v>856</v>
      </c>
      <c r="TZE97" s="1675" t="s">
        <v>856</v>
      </c>
      <c r="TZF97" s="1675" t="s">
        <v>856</v>
      </c>
      <c r="TZG97" s="1675" t="s">
        <v>856</v>
      </c>
      <c r="TZH97" s="1675" t="s">
        <v>856</v>
      </c>
      <c r="TZI97" s="1675" t="s">
        <v>856</v>
      </c>
      <c r="TZJ97" s="1675" t="s">
        <v>856</v>
      </c>
      <c r="TZK97" s="1675" t="s">
        <v>856</v>
      </c>
      <c r="TZL97" s="1675" t="s">
        <v>856</v>
      </c>
      <c r="TZM97" s="1675" t="s">
        <v>856</v>
      </c>
      <c r="TZN97" s="1675" t="s">
        <v>856</v>
      </c>
      <c r="TZO97" s="1675" t="s">
        <v>856</v>
      </c>
      <c r="TZP97" s="1675" t="s">
        <v>856</v>
      </c>
      <c r="TZQ97" s="1675" t="s">
        <v>856</v>
      </c>
      <c r="TZR97" s="1675" t="s">
        <v>856</v>
      </c>
      <c r="TZS97" s="1675" t="s">
        <v>856</v>
      </c>
      <c r="TZT97" s="1675" t="s">
        <v>856</v>
      </c>
      <c r="TZU97" s="1675" t="s">
        <v>856</v>
      </c>
      <c r="TZV97" s="1675" t="s">
        <v>856</v>
      </c>
      <c r="TZW97" s="1675" t="s">
        <v>856</v>
      </c>
      <c r="TZX97" s="1675" t="s">
        <v>856</v>
      </c>
      <c r="TZY97" s="1675" t="s">
        <v>856</v>
      </c>
      <c r="TZZ97" s="1675" t="s">
        <v>856</v>
      </c>
      <c r="UAA97" s="1675" t="s">
        <v>856</v>
      </c>
      <c r="UAB97" s="1675" t="s">
        <v>856</v>
      </c>
      <c r="UAC97" s="1675" t="s">
        <v>856</v>
      </c>
      <c r="UAD97" s="1675" t="s">
        <v>856</v>
      </c>
      <c r="UAE97" s="1675" t="s">
        <v>856</v>
      </c>
      <c r="UAF97" s="1675" t="s">
        <v>856</v>
      </c>
      <c r="UAG97" s="1675" t="s">
        <v>856</v>
      </c>
      <c r="UAH97" s="1675" t="s">
        <v>856</v>
      </c>
      <c r="UAI97" s="1675" t="s">
        <v>856</v>
      </c>
      <c r="UAJ97" s="1675" t="s">
        <v>856</v>
      </c>
      <c r="UAK97" s="1675" t="s">
        <v>856</v>
      </c>
      <c r="UAL97" s="1675" t="s">
        <v>856</v>
      </c>
      <c r="UAM97" s="1675" t="s">
        <v>856</v>
      </c>
      <c r="UAN97" s="1675" t="s">
        <v>856</v>
      </c>
      <c r="UAO97" s="1675" t="s">
        <v>856</v>
      </c>
      <c r="UAP97" s="1675" t="s">
        <v>856</v>
      </c>
      <c r="UAQ97" s="1675" t="s">
        <v>856</v>
      </c>
      <c r="UAR97" s="1675" t="s">
        <v>856</v>
      </c>
      <c r="UAS97" s="1675" t="s">
        <v>856</v>
      </c>
      <c r="UAT97" s="1675" t="s">
        <v>856</v>
      </c>
      <c r="UAU97" s="1675" t="s">
        <v>856</v>
      </c>
      <c r="UAV97" s="1675" t="s">
        <v>856</v>
      </c>
      <c r="UAW97" s="1675" t="s">
        <v>856</v>
      </c>
      <c r="UAX97" s="1675" t="s">
        <v>856</v>
      </c>
      <c r="UAY97" s="1675" t="s">
        <v>856</v>
      </c>
      <c r="UAZ97" s="1675" t="s">
        <v>856</v>
      </c>
      <c r="UBA97" s="1675" t="s">
        <v>856</v>
      </c>
      <c r="UBB97" s="1675" t="s">
        <v>856</v>
      </c>
      <c r="UBC97" s="1675" t="s">
        <v>856</v>
      </c>
      <c r="UBD97" s="1675" t="s">
        <v>856</v>
      </c>
      <c r="UBE97" s="1675" t="s">
        <v>856</v>
      </c>
      <c r="UBF97" s="1675" t="s">
        <v>856</v>
      </c>
      <c r="UBG97" s="1675" t="s">
        <v>856</v>
      </c>
      <c r="UBH97" s="1675" t="s">
        <v>856</v>
      </c>
      <c r="UBI97" s="1675" t="s">
        <v>856</v>
      </c>
      <c r="UBJ97" s="1675" t="s">
        <v>856</v>
      </c>
      <c r="UBK97" s="1675" t="s">
        <v>856</v>
      </c>
      <c r="UBL97" s="1675" t="s">
        <v>856</v>
      </c>
      <c r="UBM97" s="1675" t="s">
        <v>856</v>
      </c>
      <c r="UBN97" s="1675" t="s">
        <v>856</v>
      </c>
      <c r="UBO97" s="1675" t="s">
        <v>856</v>
      </c>
      <c r="UBP97" s="1675" t="s">
        <v>856</v>
      </c>
      <c r="UBQ97" s="1675" t="s">
        <v>856</v>
      </c>
      <c r="UBR97" s="1675" t="s">
        <v>856</v>
      </c>
      <c r="UBS97" s="1675" t="s">
        <v>856</v>
      </c>
      <c r="UBT97" s="1675" t="s">
        <v>856</v>
      </c>
      <c r="UBU97" s="1675" t="s">
        <v>856</v>
      </c>
      <c r="UBV97" s="1675" t="s">
        <v>856</v>
      </c>
      <c r="UBW97" s="1675" t="s">
        <v>856</v>
      </c>
      <c r="UBX97" s="1675" t="s">
        <v>856</v>
      </c>
      <c r="UBY97" s="1675" t="s">
        <v>856</v>
      </c>
      <c r="UBZ97" s="1675" t="s">
        <v>856</v>
      </c>
      <c r="UCA97" s="1675" t="s">
        <v>856</v>
      </c>
      <c r="UCB97" s="1675" t="s">
        <v>856</v>
      </c>
      <c r="UCC97" s="1675" t="s">
        <v>856</v>
      </c>
      <c r="UCD97" s="1675" t="s">
        <v>856</v>
      </c>
      <c r="UCE97" s="1675" t="s">
        <v>856</v>
      </c>
      <c r="UCF97" s="1675" t="s">
        <v>856</v>
      </c>
      <c r="UCG97" s="1675" t="s">
        <v>856</v>
      </c>
      <c r="UCH97" s="1675" t="s">
        <v>856</v>
      </c>
      <c r="UCI97" s="1675" t="s">
        <v>856</v>
      </c>
      <c r="UCJ97" s="1675" t="s">
        <v>856</v>
      </c>
      <c r="UCK97" s="1675" t="s">
        <v>856</v>
      </c>
      <c r="UCL97" s="1675" t="s">
        <v>856</v>
      </c>
      <c r="UCM97" s="1675" t="s">
        <v>856</v>
      </c>
      <c r="UCN97" s="1675" t="s">
        <v>856</v>
      </c>
      <c r="UCO97" s="1675" t="s">
        <v>856</v>
      </c>
      <c r="UCP97" s="1675" t="s">
        <v>856</v>
      </c>
      <c r="UCQ97" s="1675" t="s">
        <v>856</v>
      </c>
      <c r="UCR97" s="1675" t="s">
        <v>856</v>
      </c>
      <c r="UCS97" s="1675" t="s">
        <v>856</v>
      </c>
      <c r="UCT97" s="1675" t="s">
        <v>856</v>
      </c>
      <c r="UCU97" s="1675" t="s">
        <v>856</v>
      </c>
      <c r="UCV97" s="1675" t="s">
        <v>856</v>
      </c>
      <c r="UCW97" s="1675" t="s">
        <v>856</v>
      </c>
      <c r="UCX97" s="1675" t="s">
        <v>856</v>
      </c>
      <c r="UCY97" s="1675" t="s">
        <v>856</v>
      </c>
      <c r="UCZ97" s="1675" t="s">
        <v>856</v>
      </c>
      <c r="UDA97" s="1675" t="s">
        <v>856</v>
      </c>
      <c r="UDB97" s="1675" t="s">
        <v>856</v>
      </c>
      <c r="UDC97" s="1675" t="s">
        <v>856</v>
      </c>
      <c r="UDD97" s="1675" t="s">
        <v>856</v>
      </c>
      <c r="UDE97" s="1675" t="s">
        <v>856</v>
      </c>
      <c r="UDF97" s="1675" t="s">
        <v>856</v>
      </c>
      <c r="UDG97" s="1675" t="s">
        <v>856</v>
      </c>
      <c r="UDH97" s="1675" t="s">
        <v>856</v>
      </c>
      <c r="UDI97" s="1675" t="s">
        <v>856</v>
      </c>
      <c r="UDJ97" s="1675" t="s">
        <v>856</v>
      </c>
      <c r="UDK97" s="1675" t="s">
        <v>856</v>
      </c>
      <c r="UDL97" s="1675" t="s">
        <v>856</v>
      </c>
      <c r="UDM97" s="1675" t="s">
        <v>856</v>
      </c>
      <c r="UDN97" s="1675" t="s">
        <v>856</v>
      </c>
      <c r="UDO97" s="1675" t="s">
        <v>856</v>
      </c>
      <c r="UDP97" s="1675" t="s">
        <v>856</v>
      </c>
      <c r="UDQ97" s="1675" t="s">
        <v>856</v>
      </c>
      <c r="UDR97" s="1675" t="s">
        <v>856</v>
      </c>
      <c r="UDS97" s="1675" t="s">
        <v>856</v>
      </c>
      <c r="UDT97" s="1675" t="s">
        <v>856</v>
      </c>
      <c r="UDU97" s="1675" t="s">
        <v>856</v>
      </c>
      <c r="UDV97" s="1675" t="s">
        <v>856</v>
      </c>
      <c r="UDW97" s="1675" t="s">
        <v>856</v>
      </c>
      <c r="UDX97" s="1675" t="s">
        <v>856</v>
      </c>
      <c r="UDY97" s="1675" t="s">
        <v>856</v>
      </c>
      <c r="UDZ97" s="1675" t="s">
        <v>856</v>
      </c>
      <c r="UEA97" s="1675" t="s">
        <v>856</v>
      </c>
      <c r="UEB97" s="1675" t="s">
        <v>856</v>
      </c>
      <c r="UEC97" s="1675" t="s">
        <v>856</v>
      </c>
      <c r="UED97" s="1675" t="s">
        <v>856</v>
      </c>
      <c r="UEE97" s="1675" t="s">
        <v>856</v>
      </c>
      <c r="UEF97" s="1675" t="s">
        <v>856</v>
      </c>
      <c r="UEG97" s="1675" t="s">
        <v>856</v>
      </c>
      <c r="UEH97" s="1675" t="s">
        <v>856</v>
      </c>
      <c r="UEI97" s="1675" t="s">
        <v>856</v>
      </c>
      <c r="UEJ97" s="1675" t="s">
        <v>856</v>
      </c>
      <c r="UEK97" s="1675" t="s">
        <v>856</v>
      </c>
      <c r="UEL97" s="1675" t="s">
        <v>856</v>
      </c>
      <c r="UEM97" s="1675" t="s">
        <v>856</v>
      </c>
      <c r="UEN97" s="1675" t="s">
        <v>856</v>
      </c>
      <c r="UEO97" s="1675" t="s">
        <v>856</v>
      </c>
      <c r="UEP97" s="1675" t="s">
        <v>856</v>
      </c>
      <c r="UEQ97" s="1675" t="s">
        <v>856</v>
      </c>
      <c r="UER97" s="1675" t="s">
        <v>856</v>
      </c>
      <c r="UES97" s="1675" t="s">
        <v>856</v>
      </c>
      <c r="UET97" s="1675" t="s">
        <v>856</v>
      </c>
      <c r="UEU97" s="1675" t="s">
        <v>856</v>
      </c>
      <c r="UEV97" s="1675" t="s">
        <v>856</v>
      </c>
      <c r="UEW97" s="1675" t="s">
        <v>856</v>
      </c>
      <c r="UEX97" s="1675" t="s">
        <v>856</v>
      </c>
      <c r="UEY97" s="1675" t="s">
        <v>856</v>
      </c>
      <c r="UEZ97" s="1675" t="s">
        <v>856</v>
      </c>
      <c r="UFA97" s="1675" t="s">
        <v>856</v>
      </c>
      <c r="UFB97" s="1675" t="s">
        <v>856</v>
      </c>
      <c r="UFC97" s="1675" t="s">
        <v>856</v>
      </c>
      <c r="UFD97" s="1675" t="s">
        <v>856</v>
      </c>
      <c r="UFE97" s="1675" t="s">
        <v>856</v>
      </c>
      <c r="UFF97" s="1675" t="s">
        <v>856</v>
      </c>
      <c r="UFG97" s="1675" t="s">
        <v>856</v>
      </c>
      <c r="UFH97" s="1675" t="s">
        <v>856</v>
      </c>
      <c r="UFI97" s="1675" t="s">
        <v>856</v>
      </c>
      <c r="UFJ97" s="1675" t="s">
        <v>856</v>
      </c>
      <c r="UFK97" s="1675" t="s">
        <v>856</v>
      </c>
      <c r="UFL97" s="1675" t="s">
        <v>856</v>
      </c>
      <c r="UFM97" s="1675" t="s">
        <v>856</v>
      </c>
      <c r="UFN97" s="1675" t="s">
        <v>856</v>
      </c>
      <c r="UFO97" s="1675" t="s">
        <v>856</v>
      </c>
      <c r="UFP97" s="1675" t="s">
        <v>856</v>
      </c>
      <c r="UFQ97" s="1675" t="s">
        <v>856</v>
      </c>
      <c r="UFR97" s="1675" t="s">
        <v>856</v>
      </c>
      <c r="UFS97" s="1675" t="s">
        <v>856</v>
      </c>
      <c r="UFT97" s="1675" t="s">
        <v>856</v>
      </c>
      <c r="UFU97" s="1675" t="s">
        <v>856</v>
      </c>
      <c r="UFV97" s="1675" t="s">
        <v>856</v>
      </c>
      <c r="UFW97" s="1675" t="s">
        <v>856</v>
      </c>
      <c r="UFX97" s="1675" t="s">
        <v>856</v>
      </c>
      <c r="UFY97" s="1675" t="s">
        <v>856</v>
      </c>
      <c r="UFZ97" s="1675" t="s">
        <v>856</v>
      </c>
      <c r="UGA97" s="1675" t="s">
        <v>856</v>
      </c>
      <c r="UGB97" s="1675" t="s">
        <v>856</v>
      </c>
      <c r="UGC97" s="1675" t="s">
        <v>856</v>
      </c>
      <c r="UGD97" s="1675" t="s">
        <v>856</v>
      </c>
      <c r="UGE97" s="1675" t="s">
        <v>856</v>
      </c>
      <c r="UGF97" s="1675" t="s">
        <v>856</v>
      </c>
      <c r="UGG97" s="1675" t="s">
        <v>856</v>
      </c>
      <c r="UGH97" s="1675" t="s">
        <v>856</v>
      </c>
      <c r="UGI97" s="1675" t="s">
        <v>856</v>
      </c>
      <c r="UGJ97" s="1675" t="s">
        <v>856</v>
      </c>
      <c r="UGK97" s="1675" t="s">
        <v>856</v>
      </c>
      <c r="UGL97" s="1675" t="s">
        <v>856</v>
      </c>
      <c r="UGM97" s="1675" t="s">
        <v>856</v>
      </c>
      <c r="UGN97" s="1675" t="s">
        <v>856</v>
      </c>
      <c r="UGO97" s="1675" t="s">
        <v>856</v>
      </c>
      <c r="UGP97" s="1675" t="s">
        <v>856</v>
      </c>
      <c r="UGQ97" s="1675" t="s">
        <v>856</v>
      </c>
      <c r="UGR97" s="1675" t="s">
        <v>856</v>
      </c>
      <c r="UGS97" s="1675" t="s">
        <v>856</v>
      </c>
      <c r="UGT97" s="1675" t="s">
        <v>856</v>
      </c>
      <c r="UGU97" s="1675" t="s">
        <v>856</v>
      </c>
      <c r="UGV97" s="1675" t="s">
        <v>856</v>
      </c>
      <c r="UGW97" s="1675" t="s">
        <v>856</v>
      </c>
      <c r="UGX97" s="1675" t="s">
        <v>856</v>
      </c>
      <c r="UGY97" s="1675" t="s">
        <v>856</v>
      </c>
      <c r="UGZ97" s="1675" t="s">
        <v>856</v>
      </c>
      <c r="UHA97" s="1675" t="s">
        <v>856</v>
      </c>
      <c r="UHB97" s="1675" t="s">
        <v>856</v>
      </c>
      <c r="UHC97" s="1675" t="s">
        <v>856</v>
      </c>
      <c r="UHD97" s="1675" t="s">
        <v>856</v>
      </c>
      <c r="UHE97" s="1675" t="s">
        <v>856</v>
      </c>
      <c r="UHF97" s="1675" t="s">
        <v>856</v>
      </c>
      <c r="UHG97" s="1675" t="s">
        <v>856</v>
      </c>
      <c r="UHH97" s="1675" t="s">
        <v>856</v>
      </c>
      <c r="UHI97" s="1675" t="s">
        <v>856</v>
      </c>
      <c r="UHJ97" s="1675" t="s">
        <v>856</v>
      </c>
      <c r="UHK97" s="1675" t="s">
        <v>856</v>
      </c>
      <c r="UHL97" s="1675" t="s">
        <v>856</v>
      </c>
      <c r="UHM97" s="1675" t="s">
        <v>856</v>
      </c>
      <c r="UHN97" s="1675" t="s">
        <v>856</v>
      </c>
      <c r="UHO97" s="1675" t="s">
        <v>856</v>
      </c>
      <c r="UHP97" s="1675" t="s">
        <v>856</v>
      </c>
      <c r="UHQ97" s="1675" t="s">
        <v>856</v>
      </c>
      <c r="UHR97" s="1675" t="s">
        <v>856</v>
      </c>
      <c r="UHS97" s="1675" t="s">
        <v>856</v>
      </c>
      <c r="UHT97" s="1675" t="s">
        <v>856</v>
      </c>
      <c r="UHU97" s="1675" t="s">
        <v>856</v>
      </c>
      <c r="UHV97" s="1675" t="s">
        <v>856</v>
      </c>
      <c r="UHW97" s="1675" t="s">
        <v>856</v>
      </c>
      <c r="UHX97" s="1675" t="s">
        <v>856</v>
      </c>
      <c r="UHY97" s="1675" t="s">
        <v>856</v>
      </c>
      <c r="UHZ97" s="1675" t="s">
        <v>856</v>
      </c>
      <c r="UIA97" s="1675" t="s">
        <v>856</v>
      </c>
      <c r="UIB97" s="1675" t="s">
        <v>856</v>
      </c>
      <c r="UIC97" s="1675" t="s">
        <v>856</v>
      </c>
      <c r="UID97" s="1675" t="s">
        <v>856</v>
      </c>
      <c r="UIE97" s="1675" t="s">
        <v>856</v>
      </c>
      <c r="UIF97" s="1675" t="s">
        <v>856</v>
      </c>
      <c r="UIG97" s="1675" t="s">
        <v>856</v>
      </c>
      <c r="UIH97" s="1675" t="s">
        <v>856</v>
      </c>
      <c r="UII97" s="1675" t="s">
        <v>856</v>
      </c>
      <c r="UIJ97" s="1675" t="s">
        <v>856</v>
      </c>
      <c r="UIK97" s="1675" t="s">
        <v>856</v>
      </c>
      <c r="UIL97" s="1675" t="s">
        <v>856</v>
      </c>
      <c r="UIM97" s="1675" t="s">
        <v>856</v>
      </c>
      <c r="UIN97" s="1675" t="s">
        <v>856</v>
      </c>
      <c r="UIO97" s="1675" t="s">
        <v>856</v>
      </c>
      <c r="UIP97" s="1675" t="s">
        <v>856</v>
      </c>
      <c r="UIQ97" s="1675" t="s">
        <v>856</v>
      </c>
      <c r="UIR97" s="1675" t="s">
        <v>856</v>
      </c>
      <c r="UIS97" s="1675" t="s">
        <v>856</v>
      </c>
      <c r="UIT97" s="1675" t="s">
        <v>856</v>
      </c>
      <c r="UIU97" s="1675" t="s">
        <v>856</v>
      </c>
      <c r="UIV97" s="1675" t="s">
        <v>856</v>
      </c>
      <c r="UIW97" s="1675" t="s">
        <v>856</v>
      </c>
      <c r="UIX97" s="1675" t="s">
        <v>856</v>
      </c>
      <c r="UIY97" s="1675" t="s">
        <v>856</v>
      </c>
      <c r="UIZ97" s="1675" t="s">
        <v>856</v>
      </c>
      <c r="UJA97" s="1675" t="s">
        <v>856</v>
      </c>
      <c r="UJB97" s="1675" t="s">
        <v>856</v>
      </c>
      <c r="UJC97" s="1675" t="s">
        <v>856</v>
      </c>
      <c r="UJD97" s="1675" t="s">
        <v>856</v>
      </c>
      <c r="UJE97" s="1675" t="s">
        <v>856</v>
      </c>
      <c r="UJF97" s="1675" t="s">
        <v>856</v>
      </c>
      <c r="UJG97" s="1675" t="s">
        <v>856</v>
      </c>
      <c r="UJH97" s="1675" t="s">
        <v>856</v>
      </c>
      <c r="UJI97" s="1675" t="s">
        <v>856</v>
      </c>
      <c r="UJJ97" s="1675" t="s">
        <v>856</v>
      </c>
      <c r="UJK97" s="1675" t="s">
        <v>856</v>
      </c>
      <c r="UJL97" s="1675" t="s">
        <v>856</v>
      </c>
      <c r="UJM97" s="1675" t="s">
        <v>856</v>
      </c>
      <c r="UJN97" s="1675" t="s">
        <v>856</v>
      </c>
      <c r="UJO97" s="1675" t="s">
        <v>856</v>
      </c>
      <c r="UJP97" s="1675" t="s">
        <v>856</v>
      </c>
      <c r="UJQ97" s="1675" t="s">
        <v>856</v>
      </c>
      <c r="UJR97" s="1675" t="s">
        <v>856</v>
      </c>
      <c r="UJS97" s="1675" t="s">
        <v>856</v>
      </c>
      <c r="UJT97" s="1675" t="s">
        <v>856</v>
      </c>
      <c r="UJU97" s="1675" t="s">
        <v>856</v>
      </c>
      <c r="UJV97" s="1675" t="s">
        <v>856</v>
      </c>
      <c r="UJW97" s="1675" t="s">
        <v>856</v>
      </c>
      <c r="UJX97" s="1675" t="s">
        <v>856</v>
      </c>
      <c r="UJY97" s="1675" t="s">
        <v>856</v>
      </c>
      <c r="UJZ97" s="1675" t="s">
        <v>856</v>
      </c>
      <c r="UKA97" s="1675" t="s">
        <v>856</v>
      </c>
      <c r="UKB97" s="1675" t="s">
        <v>856</v>
      </c>
      <c r="UKC97" s="1675" t="s">
        <v>856</v>
      </c>
      <c r="UKD97" s="1675" t="s">
        <v>856</v>
      </c>
      <c r="UKE97" s="1675" t="s">
        <v>856</v>
      </c>
      <c r="UKF97" s="1675" t="s">
        <v>856</v>
      </c>
      <c r="UKG97" s="1675" t="s">
        <v>856</v>
      </c>
      <c r="UKH97" s="1675" t="s">
        <v>856</v>
      </c>
      <c r="UKI97" s="1675" t="s">
        <v>856</v>
      </c>
      <c r="UKJ97" s="1675" t="s">
        <v>856</v>
      </c>
      <c r="UKK97" s="1675" t="s">
        <v>856</v>
      </c>
      <c r="UKL97" s="1675" t="s">
        <v>856</v>
      </c>
      <c r="UKM97" s="1675" t="s">
        <v>856</v>
      </c>
      <c r="UKN97" s="1675" t="s">
        <v>856</v>
      </c>
      <c r="UKO97" s="1675" t="s">
        <v>856</v>
      </c>
      <c r="UKP97" s="1675" t="s">
        <v>856</v>
      </c>
      <c r="UKQ97" s="1675" t="s">
        <v>856</v>
      </c>
      <c r="UKR97" s="1675" t="s">
        <v>856</v>
      </c>
      <c r="UKS97" s="1675" t="s">
        <v>856</v>
      </c>
      <c r="UKT97" s="1675" t="s">
        <v>856</v>
      </c>
      <c r="UKU97" s="1675" t="s">
        <v>856</v>
      </c>
      <c r="UKV97" s="1675" t="s">
        <v>856</v>
      </c>
      <c r="UKW97" s="1675" t="s">
        <v>856</v>
      </c>
      <c r="UKX97" s="1675" t="s">
        <v>856</v>
      </c>
      <c r="UKY97" s="1675" t="s">
        <v>856</v>
      </c>
      <c r="UKZ97" s="1675" t="s">
        <v>856</v>
      </c>
      <c r="ULA97" s="1675" t="s">
        <v>856</v>
      </c>
      <c r="ULB97" s="1675" t="s">
        <v>856</v>
      </c>
      <c r="ULC97" s="1675" t="s">
        <v>856</v>
      </c>
      <c r="ULD97" s="1675" t="s">
        <v>856</v>
      </c>
      <c r="ULE97" s="1675" t="s">
        <v>856</v>
      </c>
      <c r="ULF97" s="1675" t="s">
        <v>856</v>
      </c>
      <c r="ULG97" s="1675" t="s">
        <v>856</v>
      </c>
      <c r="ULH97" s="1675" t="s">
        <v>856</v>
      </c>
      <c r="ULI97" s="1675" t="s">
        <v>856</v>
      </c>
      <c r="ULJ97" s="1675" t="s">
        <v>856</v>
      </c>
      <c r="ULK97" s="1675" t="s">
        <v>856</v>
      </c>
      <c r="ULL97" s="1675" t="s">
        <v>856</v>
      </c>
      <c r="ULM97" s="1675" t="s">
        <v>856</v>
      </c>
      <c r="ULN97" s="1675" t="s">
        <v>856</v>
      </c>
      <c r="ULO97" s="1675" t="s">
        <v>856</v>
      </c>
      <c r="ULP97" s="1675" t="s">
        <v>856</v>
      </c>
      <c r="ULQ97" s="1675" t="s">
        <v>856</v>
      </c>
      <c r="ULR97" s="1675" t="s">
        <v>856</v>
      </c>
      <c r="ULS97" s="1675" t="s">
        <v>856</v>
      </c>
      <c r="ULT97" s="1675" t="s">
        <v>856</v>
      </c>
      <c r="ULU97" s="1675" t="s">
        <v>856</v>
      </c>
      <c r="ULV97" s="1675" t="s">
        <v>856</v>
      </c>
      <c r="ULW97" s="1675" t="s">
        <v>856</v>
      </c>
      <c r="ULX97" s="1675" t="s">
        <v>856</v>
      </c>
      <c r="ULY97" s="1675" t="s">
        <v>856</v>
      </c>
      <c r="ULZ97" s="1675" t="s">
        <v>856</v>
      </c>
      <c r="UMA97" s="1675" t="s">
        <v>856</v>
      </c>
      <c r="UMB97" s="1675" t="s">
        <v>856</v>
      </c>
      <c r="UMC97" s="1675" t="s">
        <v>856</v>
      </c>
      <c r="UMD97" s="1675" t="s">
        <v>856</v>
      </c>
      <c r="UME97" s="1675" t="s">
        <v>856</v>
      </c>
      <c r="UMF97" s="1675" t="s">
        <v>856</v>
      </c>
      <c r="UMG97" s="1675" t="s">
        <v>856</v>
      </c>
      <c r="UMH97" s="1675" t="s">
        <v>856</v>
      </c>
      <c r="UMI97" s="1675" t="s">
        <v>856</v>
      </c>
      <c r="UMJ97" s="1675" t="s">
        <v>856</v>
      </c>
      <c r="UMK97" s="1675" t="s">
        <v>856</v>
      </c>
      <c r="UML97" s="1675" t="s">
        <v>856</v>
      </c>
      <c r="UMM97" s="1675" t="s">
        <v>856</v>
      </c>
      <c r="UMN97" s="1675" t="s">
        <v>856</v>
      </c>
      <c r="UMO97" s="1675" t="s">
        <v>856</v>
      </c>
      <c r="UMP97" s="1675" t="s">
        <v>856</v>
      </c>
      <c r="UMQ97" s="1675" t="s">
        <v>856</v>
      </c>
      <c r="UMR97" s="1675" t="s">
        <v>856</v>
      </c>
      <c r="UMS97" s="1675" t="s">
        <v>856</v>
      </c>
      <c r="UMT97" s="1675" t="s">
        <v>856</v>
      </c>
      <c r="UMU97" s="1675" t="s">
        <v>856</v>
      </c>
      <c r="UMV97" s="1675" t="s">
        <v>856</v>
      </c>
      <c r="UMW97" s="1675" t="s">
        <v>856</v>
      </c>
      <c r="UMX97" s="1675" t="s">
        <v>856</v>
      </c>
      <c r="UMY97" s="1675" t="s">
        <v>856</v>
      </c>
      <c r="UMZ97" s="1675" t="s">
        <v>856</v>
      </c>
      <c r="UNA97" s="1675" t="s">
        <v>856</v>
      </c>
      <c r="UNB97" s="1675" t="s">
        <v>856</v>
      </c>
      <c r="UNC97" s="1675" t="s">
        <v>856</v>
      </c>
      <c r="UND97" s="1675" t="s">
        <v>856</v>
      </c>
      <c r="UNE97" s="1675" t="s">
        <v>856</v>
      </c>
      <c r="UNF97" s="1675" t="s">
        <v>856</v>
      </c>
      <c r="UNG97" s="1675" t="s">
        <v>856</v>
      </c>
      <c r="UNH97" s="1675" t="s">
        <v>856</v>
      </c>
      <c r="UNI97" s="1675" t="s">
        <v>856</v>
      </c>
      <c r="UNJ97" s="1675" t="s">
        <v>856</v>
      </c>
      <c r="UNK97" s="1675" t="s">
        <v>856</v>
      </c>
      <c r="UNL97" s="1675" t="s">
        <v>856</v>
      </c>
      <c r="UNM97" s="1675" t="s">
        <v>856</v>
      </c>
      <c r="UNN97" s="1675" t="s">
        <v>856</v>
      </c>
      <c r="UNO97" s="1675" t="s">
        <v>856</v>
      </c>
      <c r="UNP97" s="1675" t="s">
        <v>856</v>
      </c>
      <c r="UNQ97" s="1675" t="s">
        <v>856</v>
      </c>
      <c r="UNR97" s="1675" t="s">
        <v>856</v>
      </c>
      <c r="UNS97" s="1675" t="s">
        <v>856</v>
      </c>
      <c r="UNT97" s="1675" t="s">
        <v>856</v>
      </c>
      <c r="UNU97" s="1675" t="s">
        <v>856</v>
      </c>
      <c r="UNV97" s="1675" t="s">
        <v>856</v>
      </c>
      <c r="UNW97" s="1675" t="s">
        <v>856</v>
      </c>
      <c r="UNX97" s="1675" t="s">
        <v>856</v>
      </c>
      <c r="UNY97" s="1675" t="s">
        <v>856</v>
      </c>
      <c r="UNZ97" s="1675" t="s">
        <v>856</v>
      </c>
      <c r="UOA97" s="1675" t="s">
        <v>856</v>
      </c>
      <c r="UOB97" s="1675" t="s">
        <v>856</v>
      </c>
      <c r="UOC97" s="1675" t="s">
        <v>856</v>
      </c>
      <c r="UOD97" s="1675" t="s">
        <v>856</v>
      </c>
      <c r="UOE97" s="1675" t="s">
        <v>856</v>
      </c>
      <c r="UOF97" s="1675" t="s">
        <v>856</v>
      </c>
      <c r="UOG97" s="1675" t="s">
        <v>856</v>
      </c>
      <c r="UOH97" s="1675" t="s">
        <v>856</v>
      </c>
      <c r="UOI97" s="1675" t="s">
        <v>856</v>
      </c>
      <c r="UOJ97" s="1675" t="s">
        <v>856</v>
      </c>
      <c r="UOK97" s="1675" t="s">
        <v>856</v>
      </c>
      <c r="UOL97" s="1675" t="s">
        <v>856</v>
      </c>
      <c r="UOM97" s="1675" t="s">
        <v>856</v>
      </c>
      <c r="UON97" s="1675" t="s">
        <v>856</v>
      </c>
      <c r="UOO97" s="1675" t="s">
        <v>856</v>
      </c>
      <c r="UOP97" s="1675" t="s">
        <v>856</v>
      </c>
      <c r="UOQ97" s="1675" t="s">
        <v>856</v>
      </c>
      <c r="UOR97" s="1675" t="s">
        <v>856</v>
      </c>
      <c r="UOS97" s="1675" t="s">
        <v>856</v>
      </c>
      <c r="UOT97" s="1675" t="s">
        <v>856</v>
      </c>
      <c r="UOU97" s="1675" t="s">
        <v>856</v>
      </c>
      <c r="UOV97" s="1675" t="s">
        <v>856</v>
      </c>
      <c r="UOW97" s="1675" t="s">
        <v>856</v>
      </c>
      <c r="UOX97" s="1675" t="s">
        <v>856</v>
      </c>
      <c r="UOY97" s="1675" t="s">
        <v>856</v>
      </c>
      <c r="UOZ97" s="1675" t="s">
        <v>856</v>
      </c>
      <c r="UPA97" s="1675" t="s">
        <v>856</v>
      </c>
      <c r="UPB97" s="1675" t="s">
        <v>856</v>
      </c>
      <c r="UPC97" s="1675" t="s">
        <v>856</v>
      </c>
      <c r="UPD97" s="1675" t="s">
        <v>856</v>
      </c>
      <c r="UPE97" s="1675" t="s">
        <v>856</v>
      </c>
      <c r="UPF97" s="1675" t="s">
        <v>856</v>
      </c>
      <c r="UPG97" s="1675" t="s">
        <v>856</v>
      </c>
      <c r="UPH97" s="1675" t="s">
        <v>856</v>
      </c>
      <c r="UPI97" s="1675" t="s">
        <v>856</v>
      </c>
      <c r="UPJ97" s="1675" t="s">
        <v>856</v>
      </c>
      <c r="UPK97" s="1675" t="s">
        <v>856</v>
      </c>
      <c r="UPL97" s="1675" t="s">
        <v>856</v>
      </c>
      <c r="UPM97" s="1675" t="s">
        <v>856</v>
      </c>
      <c r="UPN97" s="1675" t="s">
        <v>856</v>
      </c>
      <c r="UPO97" s="1675" t="s">
        <v>856</v>
      </c>
      <c r="UPP97" s="1675" t="s">
        <v>856</v>
      </c>
      <c r="UPQ97" s="1675" t="s">
        <v>856</v>
      </c>
      <c r="UPR97" s="1675" t="s">
        <v>856</v>
      </c>
      <c r="UPS97" s="1675" t="s">
        <v>856</v>
      </c>
      <c r="UPT97" s="1675" t="s">
        <v>856</v>
      </c>
      <c r="UPU97" s="1675" t="s">
        <v>856</v>
      </c>
      <c r="UPV97" s="1675" t="s">
        <v>856</v>
      </c>
      <c r="UPW97" s="1675" t="s">
        <v>856</v>
      </c>
      <c r="UPX97" s="1675" t="s">
        <v>856</v>
      </c>
      <c r="UPY97" s="1675" t="s">
        <v>856</v>
      </c>
      <c r="UPZ97" s="1675" t="s">
        <v>856</v>
      </c>
      <c r="UQA97" s="1675" t="s">
        <v>856</v>
      </c>
      <c r="UQB97" s="1675" t="s">
        <v>856</v>
      </c>
      <c r="UQC97" s="1675" t="s">
        <v>856</v>
      </c>
      <c r="UQD97" s="1675" t="s">
        <v>856</v>
      </c>
      <c r="UQE97" s="1675" t="s">
        <v>856</v>
      </c>
      <c r="UQF97" s="1675" t="s">
        <v>856</v>
      </c>
      <c r="UQG97" s="1675" t="s">
        <v>856</v>
      </c>
      <c r="UQH97" s="1675" t="s">
        <v>856</v>
      </c>
      <c r="UQI97" s="1675" t="s">
        <v>856</v>
      </c>
      <c r="UQJ97" s="1675" t="s">
        <v>856</v>
      </c>
      <c r="UQK97" s="1675" t="s">
        <v>856</v>
      </c>
      <c r="UQL97" s="1675" t="s">
        <v>856</v>
      </c>
      <c r="UQM97" s="1675" t="s">
        <v>856</v>
      </c>
      <c r="UQN97" s="1675" t="s">
        <v>856</v>
      </c>
      <c r="UQO97" s="1675" t="s">
        <v>856</v>
      </c>
      <c r="UQP97" s="1675" t="s">
        <v>856</v>
      </c>
      <c r="UQQ97" s="1675" t="s">
        <v>856</v>
      </c>
      <c r="UQR97" s="1675" t="s">
        <v>856</v>
      </c>
      <c r="UQS97" s="1675" t="s">
        <v>856</v>
      </c>
      <c r="UQT97" s="1675" t="s">
        <v>856</v>
      </c>
      <c r="UQU97" s="1675" t="s">
        <v>856</v>
      </c>
      <c r="UQV97" s="1675" t="s">
        <v>856</v>
      </c>
      <c r="UQW97" s="1675" t="s">
        <v>856</v>
      </c>
      <c r="UQX97" s="1675" t="s">
        <v>856</v>
      </c>
      <c r="UQY97" s="1675" t="s">
        <v>856</v>
      </c>
      <c r="UQZ97" s="1675" t="s">
        <v>856</v>
      </c>
      <c r="URA97" s="1675" t="s">
        <v>856</v>
      </c>
      <c r="URB97" s="1675" t="s">
        <v>856</v>
      </c>
      <c r="URC97" s="1675" t="s">
        <v>856</v>
      </c>
      <c r="URD97" s="1675" t="s">
        <v>856</v>
      </c>
      <c r="URE97" s="1675" t="s">
        <v>856</v>
      </c>
      <c r="URF97" s="1675" t="s">
        <v>856</v>
      </c>
      <c r="URG97" s="1675" t="s">
        <v>856</v>
      </c>
      <c r="URH97" s="1675" t="s">
        <v>856</v>
      </c>
      <c r="URI97" s="1675" t="s">
        <v>856</v>
      </c>
      <c r="URJ97" s="1675" t="s">
        <v>856</v>
      </c>
      <c r="URK97" s="1675" t="s">
        <v>856</v>
      </c>
      <c r="URL97" s="1675" t="s">
        <v>856</v>
      </c>
      <c r="URM97" s="1675" t="s">
        <v>856</v>
      </c>
      <c r="URN97" s="1675" t="s">
        <v>856</v>
      </c>
      <c r="URO97" s="1675" t="s">
        <v>856</v>
      </c>
      <c r="URP97" s="1675" t="s">
        <v>856</v>
      </c>
      <c r="URQ97" s="1675" t="s">
        <v>856</v>
      </c>
      <c r="URR97" s="1675" t="s">
        <v>856</v>
      </c>
      <c r="URS97" s="1675" t="s">
        <v>856</v>
      </c>
      <c r="URT97" s="1675" t="s">
        <v>856</v>
      </c>
      <c r="URU97" s="1675" t="s">
        <v>856</v>
      </c>
      <c r="URV97" s="1675" t="s">
        <v>856</v>
      </c>
      <c r="URW97" s="1675" t="s">
        <v>856</v>
      </c>
      <c r="URX97" s="1675" t="s">
        <v>856</v>
      </c>
      <c r="URY97" s="1675" t="s">
        <v>856</v>
      </c>
      <c r="URZ97" s="1675" t="s">
        <v>856</v>
      </c>
      <c r="USA97" s="1675" t="s">
        <v>856</v>
      </c>
      <c r="USB97" s="1675" t="s">
        <v>856</v>
      </c>
      <c r="USC97" s="1675" t="s">
        <v>856</v>
      </c>
      <c r="USD97" s="1675" t="s">
        <v>856</v>
      </c>
      <c r="USE97" s="1675" t="s">
        <v>856</v>
      </c>
      <c r="USF97" s="1675" t="s">
        <v>856</v>
      </c>
      <c r="USG97" s="1675" t="s">
        <v>856</v>
      </c>
      <c r="USH97" s="1675" t="s">
        <v>856</v>
      </c>
      <c r="USI97" s="1675" t="s">
        <v>856</v>
      </c>
      <c r="USJ97" s="1675" t="s">
        <v>856</v>
      </c>
      <c r="USK97" s="1675" t="s">
        <v>856</v>
      </c>
      <c r="USL97" s="1675" t="s">
        <v>856</v>
      </c>
      <c r="USM97" s="1675" t="s">
        <v>856</v>
      </c>
      <c r="USN97" s="1675" t="s">
        <v>856</v>
      </c>
      <c r="USO97" s="1675" t="s">
        <v>856</v>
      </c>
      <c r="USP97" s="1675" t="s">
        <v>856</v>
      </c>
      <c r="USQ97" s="1675" t="s">
        <v>856</v>
      </c>
      <c r="USR97" s="1675" t="s">
        <v>856</v>
      </c>
      <c r="USS97" s="1675" t="s">
        <v>856</v>
      </c>
      <c r="UST97" s="1675" t="s">
        <v>856</v>
      </c>
      <c r="USU97" s="1675" t="s">
        <v>856</v>
      </c>
      <c r="USV97" s="1675" t="s">
        <v>856</v>
      </c>
      <c r="USW97" s="1675" t="s">
        <v>856</v>
      </c>
      <c r="USX97" s="1675" t="s">
        <v>856</v>
      </c>
      <c r="USY97" s="1675" t="s">
        <v>856</v>
      </c>
      <c r="USZ97" s="1675" t="s">
        <v>856</v>
      </c>
      <c r="UTA97" s="1675" t="s">
        <v>856</v>
      </c>
      <c r="UTB97" s="1675" t="s">
        <v>856</v>
      </c>
      <c r="UTC97" s="1675" t="s">
        <v>856</v>
      </c>
      <c r="UTD97" s="1675" t="s">
        <v>856</v>
      </c>
      <c r="UTE97" s="1675" t="s">
        <v>856</v>
      </c>
      <c r="UTF97" s="1675" t="s">
        <v>856</v>
      </c>
      <c r="UTG97" s="1675" t="s">
        <v>856</v>
      </c>
      <c r="UTH97" s="1675" t="s">
        <v>856</v>
      </c>
      <c r="UTI97" s="1675" t="s">
        <v>856</v>
      </c>
      <c r="UTJ97" s="1675" t="s">
        <v>856</v>
      </c>
      <c r="UTK97" s="1675" t="s">
        <v>856</v>
      </c>
      <c r="UTL97" s="1675" t="s">
        <v>856</v>
      </c>
      <c r="UTM97" s="1675" t="s">
        <v>856</v>
      </c>
      <c r="UTN97" s="1675" t="s">
        <v>856</v>
      </c>
      <c r="UTO97" s="1675" t="s">
        <v>856</v>
      </c>
      <c r="UTP97" s="1675" t="s">
        <v>856</v>
      </c>
      <c r="UTQ97" s="1675" t="s">
        <v>856</v>
      </c>
      <c r="UTR97" s="1675" t="s">
        <v>856</v>
      </c>
      <c r="UTS97" s="1675" t="s">
        <v>856</v>
      </c>
      <c r="UTT97" s="1675" t="s">
        <v>856</v>
      </c>
      <c r="UTU97" s="1675" t="s">
        <v>856</v>
      </c>
      <c r="UTV97" s="1675" t="s">
        <v>856</v>
      </c>
      <c r="UTW97" s="1675" t="s">
        <v>856</v>
      </c>
      <c r="UTX97" s="1675" t="s">
        <v>856</v>
      </c>
      <c r="UTY97" s="1675" t="s">
        <v>856</v>
      </c>
      <c r="UTZ97" s="1675" t="s">
        <v>856</v>
      </c>
      <c r="UUA97" s="1675" t="s">
        <v>856</v>
      </c>
      <c r="UUB97" s="1675" t="s">
        <v>856</v>
      </c>
      <c r="UUC97" s="1675" t="s">
        <v>856</v>
      </c>
      <c r="UUD97" s="1675" t="s">
        <v>856</v>
      </c>
      <c r="UUE97" s="1675" t="s">
        <v>856</v>
      </c>
      <c r="UUF97" s="1675" t="s">
        <v>856</v>
      </c>
      <c r="UUG97" s="1675" t="s">
        <v>856</v>
      </c>
      <c r="UUH97" s="1675" t="s">
        <v>856</v>
      </c>
      <c r="UUI97" s="1675" t="s">
        <v>856</v>
      </c>
      <c r="UUJ97" s="1675" t="s">
        <v>856</v>
      </c>
      <c r="UUK97" s="1675" t="s">
        <v>856</v>
      </c>
      <c r="UUL97" s="1675" t="s">
        <v>856</v>
      </c>
      <c r="UUM97" s="1675" t="s">
        <v>856</v>
      </c>
      <c r="UUN97" s="1675" t="s">
        <v>856</v>
      </c>
      <c r="UUO97" s="1675" t="s">
        <v>856</v>
      </c>
      <c r="UUP97" s="1675" t="s">
        <v>856</v>
      </c>
      <c r="UUQ97" s="1675" t="s">
        <v>856</v>
      </c>
      <c r="UUR97" s="1675" t="s">
        <v>856</v>
      </c>
      <c r="UUS97" s="1675" t="s">
        <v>856</v>
      </c>
      <c r="UUT97" s="1675" t="s">
        <v>856</v>
      </c>
      <c r="UUU97" s="1675" t="s">
        <v>856</v>
      </c>
      <c r="UUV97" s="1675" t="s">
        <v>856</v>
      </c>
      <c r="UUW97" s="1675" t="s">
        <v>856</v>
      </c>
      <c r="UUX97" s="1675" t="s">
        <v>856</v>
      </c>
      <c r="UUY97" s="1675" t="s">
        <v>856</v>
      </c>
      <c r="UUZ97" s="1675" t="s">
        <v>856</v>
      </c>
      <c r="UVA97" s="1675" t="s">
        <v>856</v>
      </c>
      <c r="UVB97" s="1675" t="s">
        <v>856</v>
      </c>
      <c r="UVC97" s="1675" t="s">
        <v>856</v>
      </c>
      <c r="UVD97" s="1675" t="s">
        <v>856</v>
      </c>
      <c r="UVE97" s="1675" t="s">
        <v>856</v>
      </c>
      <c r="UVF97" s="1675" t="s">
        <v>856</v>
      </c>
      <c r="UVG97" s="1675" t="s">
        <v>856</v>
      </c>
      <c r="UVH97" s="1675" t="s">
        <v>856</v>
      </c>
      <c r="UVI97" s="1675" t="s">
        <v>856</v>
      </c>
      <c r="UVJ97" s="1675" t="s">
        <v>856</v>
      </c>
      <c r="UVK97" s="1675" t="s">
        <v>856</v>
      </c>
      <c r="UVL97" s="1675" t="s">
        <v>856</v>
      </c>
      <c r="UVM97" s="1675" t="s">
        <v>856</v>
      </c>
      <c r="UVN97" s="1675" t="s">
        <v>856</v>
      </c>
      <c r="UVO97" s="1675" t="s">
        <v>856</v>
      </c>
      <c r="UVP97" s="1675" t="s">
        <v>856</v>
      </c>
      <c r="UVQ97" s="1675" t="s">
        <v>856</v>
      </c>
      <c r="UVR97" s="1675" t="s">
        <v>856</v>
      </c>
      <c r="UVS97" s="1675" t="s">
        <v>856</v>
      </c>
      <c r="UVT97" s="1675" t="s">
        <v>856</v>
      </c>
      <c r="UVU97" s="1675" t="s">
        <v>856</v>
      </c>
      <c r="UVV97" s="1675" t="s">
        <v>856</v>
      </c>
      <c r="UVW97" s="1675" t="s">
        <v>856</v>
      </c>
      <c r="UVX97" s="1675" t="s">
        <v>856</v>
      </c>
      <c r="UVY97" s="1675" t="s">
        <v>856</v>
      </c>
      <c r="UVZ97" s="1675" t="s">
        <v>856</v>
      </c>
      <c r="UWA97" s="1675" t="s">
        <v>856</v>
      </c>
      <c r="UWB97" s="1675" t="s">
        <v>856</v>
      </c>
      <c r="UWC97" s="1675" t="s">
        <v>856</v>
      </c>
      <c r="UWD97" s="1675" t="s">
        <v>856</v>
      </c>
      <c r="UWE97" s="1675" t="s">
        <v>856</v>
      </c>
      <c r="UWF97" s="1675" t="s">
        <v>856</v>
      </c>
      <c r="UWG97" s="1675" t="s">
        <v>856</v>
      </c>
      <c r="UWH97" s="1675" t="s">
        <v>856</v>
      </c>
      <c r="UWI97" s="1675" t="s">
        <v>856</v>
      </c>
      <c r="UWJ97" s="1675" t="s">
        <v>856</v>
      </c>
      <c r="UWK97" s="1675" t="s">
        <v>856</v>
      </c>
      <c r="UWL97" s="1675" t="s">
        <v>856</v>
      </c>
      <c r="UWM97" s="1675" t="s">
        <v>856</v>
      </c>
      <c r="UWN97" s="1675" t="s">
        <v>856</v>
      </c>
      <c r="UWO97" s="1675" t="s">
        <v>856</v>
      </c>
      <c r="UWP97" s="1675" t="s">
        <v>856</v>
      </c>
      <c r="UWQ97" s="1675" t="s">
        <v>856</v>
      </c>
      <c r="UWR97" s="1675" t="s">
        <v>856</v>
      </c>
      <c r="UWS97" s="1675" t="s">
        <v>856</v>
      </c>
      <c r="UWT97" s="1675" t="s">
        <v>856</v>
      </c>
      <c r="UWU97" s="1675" t="s">
        <v>856</v>
      </c>
      <c r="UWV97" s="1675" t="s">
        <v>856</v>
      </c>
      <c r="UWW97" s="1675" t="s">
        <v>856</v>
      </c>
      <c r="UWX97" s="1675" t="s">
        <v>856</v>
      </c>
      <c r="UWY97" s="1675" t="s">
        <v>856</v>
      </c>
      <c r="UWZ97" s="1675" t="s">
        <v>856</v>
      </c>
      <c r="UXA97" s="1675" t="s">
        <v>856</v>
      </c>
      <c r="UXB97" s="1675" t="s">
        <v>856</v>
      </c>
      <c r="UXC97" s="1675" t="s">
        <v>856</v>
      </c>
      <c r="UXD97" s="1675" t="s">
        <v>856</v>
      </c>
      <c r="UXE97" s="1675" t="s">
        <v>856</v>
      </c>
      <c r="UXF97" s="1675" t="s">
        <v>856</v>
      </c>
      <c r="UXG97" s="1675" t="s">
        <v>856</v>
      </c>
      <c r="UXH97" s="1675" t="s">
        <v>856</v>
      </c>
      <c r="UXI97" s="1675" t="s">
        <v>856</v>
      </c>
      <c r="UXJ97" s="1675" t="s">
        <v>856</v>
      </c>
      <c r="UXK97" s="1675" t="s">
        <v>856</v>
      </c>
      <c r="UXL97" s="1675" t="s">
        <v>856</v>
      </c>
      <c r="UXM97" s="1675" t="s">
        <v>856</v>
      </c>
      <c r="UXN97" s="1675" t="s">
        <v>856</v>
      </c>
      <c r="UXO97" s="1675" t="s">
        <v>856</v>
      </c>
      <c r="UXP97" s="1675" t="s">
        <v>856</v>
      </c>
      <c r="UXQ97" s="1675" t="s">
        <v>856</v>
      </c>
      <c r="UXR97" s="1675" t="s">
        <v>856</v>
      </c>
      <c r="UXS97" s="1675" t="s">
        <v>856</v>
      </c>
      <c r="UXT97" s="1675" t="s">
        <v>856</v>
      </c>
      <c r="UXU97" s="1675" t="s">
        <v>856</v>
      </c>
      <c r="UXV97" s="1675" t="s">
        <v>856</v>
      </c>
      <c r="UXW97" s="1675" t="s">
        <v>856</v>
      </c>
      <c r="UXX97" s="1675" t="s">
        <v>856</v>
      </c>
      <c r="UXY97" s="1675" t="s">
        <v>856</v>
      </c>
      <c r="UXZ97" s="1675" t="s">
        <v>856</v>
      </c>
      <c r="UYA97" s="1675" t="s">
        <v>856</v>
      </c>
      <c r="UYB97" s="1675" t="s">
        <v>856</v>
      </c>
      <c r="UYC97" s="1675" t="s">
        <v>856</v>
      </c>
      <c r="UYD97" s="1675" t="s">
        <v>856</v>
      </c>
      <c r="UYE97" s="1675" t="s">
        <v>856</v>
      </c>
      <c r="UYF97" s="1675" t="s">
        <v>856</v>
      </c>
      <c r="UYG97" s="1675" t="s">
        <v>856</v>
      </c>
      <c r="UYH97" s="1675" t="s">
        <v>856</v>
      </c>
      <c r="UYI97" s="1675" t="s">
        <v>856</v>
      </c>
      <c r="UYJ97" s="1675" t="s">
        <v>856</v>
      </c>
      <c r="UYK97" s="1675" t="s">
        <v>856</v>
      </c>
      <c r="UYL97" s="1675" t="s">
        <v>856</v>
      </c>
      <c r="UYM97" s="1675" t="s">
        <v>856</v>
      </c>
      <c r="UYN97" s="1675" t="s">
        <v>856</v>
      </c>
      <c r="UYO97" s="1675" t="s">
        <v>856</v>
      </c>
      <c r="UYP97" s="1675" t="s">
        <v>856</v>
      </c>
      <c r="UYQ97" s="1675" t="s">
        <v>856</v>
      </c>
      <c r="UYR97" s="1675" t="s">
        <v>856</v>
      </c>
      <c r="UYS97" s="1675" t="s">
        <v>856</v>
      </c>
      <c r="UYT97" s="1675" t="s">
        <v>856</v>
      </c>
      <c r="UYU97" s="1675" t="s">
        <v>856</v>
      </c>
      <c r="UYV97" s="1675" t="s">
        <v>856</v>
      </c>
      <c r="UYW97" s="1675" t="s">
        <v>856</v>
      </c>
      <c r="UYX97" s="1675" t="s">
        <v>856</v>
      </c>
      <c r="UYY97" s="1675" t="s">
        <v>856</v>
      </c>
      <c r="UYZ97" s="1675" t="s">
        <v>856</v>
      </c>
      <c r="UZA97" s="1675" t="s">
        <v>856</v>
      </c>
      <c r="UZB97" s="1675" t="s">
        <v>856</v>
      </c>
      <c r="UZC97" s="1675" t="s">
        <v>856</v>
      </c>
      <c r="UZD97" s="1675" t="s">
        <v>856</v>
      </c>
      <c r="UZE97" s="1675" t="s">
        <v>856</v>
      </c>
      <c r="UZF97" s="1675" t="s">
        <v>856</v>
      </c>
      <c r="UZG97" s="1675" t="s">
        <v>856</v>
      </c>
      <c r="UZH97" s="1675" t="s">
        <v>856</v>
      </c>
      <c r="UZI97" s="1675" t="s">
        <v>856</v>
      </c>
      <c r="UZJ97" s="1675" t="s">
        <v>856</v>
      </c>
      <c r="UZK97" s="1675" t="s">
        <v>856</v>
      </c>
      <c r="UZL97" s="1675" t="s">
        <v>856</v>
      </c>
      <c r="UZM97" s="1675" t="s">
        <v>856</v>
      </c>
      <c r="UZN97" s="1675" t="s">
        <v>856</v>
      </c>
      <c r="UZO97" s="1675" t="s">
        <v>856</v>
      </c>
      <c r="UZP97" s="1675" t="s">
        <v>856</v>
      </c>
      <c r="UZQ97" s="1675" t="s">
        <v>856</v>
      </c>
      <c r="UZR97" s="1675" t="s">
        <v>856</v>
      </c>
      <c r="UZS97" s="1675" t="s">
        <v>856</v>
      </c>
      <c r="UZT97" s="1675" t="s">
        <v>856</v>
      </c>
      <c r="UZU97" s="1675" t="s">
        <v>856</v>
      </c>
      <c r="UZV97" s="1675" t="s">
        <v>856</v>
      </c>
      <c r="UZW97" s="1675" t="s">
        <v>856</v>
      </c>
      <c r="UZX97" s="1675" t="s">
        <v>856</v>
      </c>
      <c r="UZY97" s="1675" t="s">
        <v>856</v>
      </c>
      <c r="UZZ97" s="1675" t="s">
        <v>856</v>
      </c>
      <c r="VAA97" s="1675" t="s">
        <v>856</v>
      </c>
      <c r="VAB97" s="1675" t="s">
        <v>856</v>
      </c>
      <c r="VAC97" s="1675" t="s">
        <v>856</v>
      </c>
      <c r="VAD97" s="1675" t="s">
        <v>856</v>
      </c>
      <c r="VAE97" s="1675" t="s">
        <v>856</v>
      </c>
      <c r="VAF97" s="1675" t="s">
        <v>856</v>
      </c>
      <c r="VAG97" s="1675" t="s">
        <v>856</v>
      </c>
      <c r="VAH97" s="1675" t="s">
        <v>856</v>
      </c>
      <c r="VAI97" s="1675" t="s">
        <v>856</v>
      </c>
      <c r="VAJ97" s="1675" t="s">
        <v>856</v>
      </c>
      <c r="VAK97" s="1675" t="s">
        <v>856</v>
      </c>
      <c r="VAL97" s="1675" t="s">
        <v>856</v>
      </c>
      <c r="VAM97" s="1675" t="s">
        <v>856</v>
      </c>
      <c r="VAN97" s="1675" t="s">
        <v>856</v>
      </c>
      <c r="VAO97" s="1675" t="s">
        <v>856</v>
      </c>
      <c r="VAP97" s="1675" t="s">
        <v>856</v>
      </c>
      <c r="VAQ97" s="1675" t="s">
        <v>856</v>
      </c>
      <c r="VAR97" s="1675" t="s">
        <v>856</v>
      </c>
      <c r="VAS97" s="1675" t="s">
        <v>856</v>
      </c>
      <c r="VAT97" s="1675" t="s">
        <v>856</v>
      </c>
      <c r="VAU97" s="1675" t="s">
        <v>856</v>
      </c>
      <c r="VAV97" s="1675" t="s">
        <v>856</v>
      </c>
      <c r="VAW97" s="1675" t="s">
        <v>856</v>
      </c>
      <c r="VAX97" s="1675" t="s">
        <v>856</v>
      </c>
      <c r="VAY97" s="1675" t="s">
        <v>856</v>
      </c>
      <c r="VAZ97" s="1675" t="s">
        <v>856</v>
      </c>
      <c r="VBA97" s="1675" t="s">
        <v>856</v>
      </c>
      <c r="VBB97" s="1675" t="s">
        <v>856</v>
      </c>
      <c r="VBC97" s="1675" t="s">
        <v>856</v>
      </c>
      <c r="VBD97" s="1675" t="s">
        <v>856</v>
      </c>
      <c r="VBE97" s="1675" t="s">
        <v>856</v>
      </c>
      <c r="VBF97" s="1675" t="s">
        <v>856</v>
      </c>
      <c r="VBG97" s="1675" t="s">
        <v>856</v>
      </c>
      <c r="VBH97" s="1675" t="s">
        <v>856</v>
      </c>
      <c r="VBI97" s="1675" t="s">
        <v>856</v>
      </c>
      <c r="VBJ97" s="1675" t="s">
        <v>856</v>
      </c>
      <c r="VBK97" s="1675" t="s">
        <v>856</v>
      </c>
      <c r="VBL97" s="1675" t="s">
        <v>856</v>
      </c>
      <c r="VBM97" s="1675" t="s">
        <v>856</v>
      </c>
      <c r="VBN97" s="1675" t="s">
        <v>856</v>
      </c>
      <c r="VBO97" s="1675" t="s">
        <v>856</v>
      </c>
      <c r="VBP97" s="1675" t="s">
        <v>856</v>
      </c>
      <c r="VBQ97" s="1675" t="s">
        <v>856</v>
      </c>
      <c r="VBR97" s="1675" t="s">
        <v>856</v>
      </c>
      <c r="VBS97" s="1675" t="s">
        <v>856</v>
      </c>
      <c r="VBT97" s="1675" t="s">
        <v>856</v>
      </c>
      <c r="VBU97" s="1675" t="s">
        <v>856</v>
      </c>
      <c r="VBV97" s="1675" t="s">
        <v>856</v>
      </c>
      <c r="VBW97" s="1675" t="s">
        <v>856</v>
      </c>
      <c r="VBX97" s="1675" t="s">
        <v>856</v>
      </c>
      <c r="VBY97" s="1675" t="s">
        <v>856</v>
      </c>
      <c r="VBZ97" s="1675" t="s">
        <v>856</v>
      </c>
      <c r="VCA97" s="1675" t="s">
        <v>856</v>
      </c>
      <c r="VCB97" s="1675" t="s">
        <v>856</v>
      </c>
      <c r="VCC97" s="1675" t="s">
        <v>856</v>
      </c>
      <c r="VCD97" s="1675" t="s">
        <v>856</v>
      </c>
      <c r="VCE97" s="1675" t="s">
        <v>856</v>
      </c>
      <c r="VCF97" s="1675" t="s">
        <v>856</v>
      </c>
      <c r="VCG97" s="1675" t="s">
        <v>856</v>
      </c>
      <c r="VCH97" s="1675" t="s">
        <v>856</v>
      </c>
      <c r="VCI97" s="1675" t="s">
        <v>856</v>
      </c>
      <c r="VCJ97" s="1675" t="s">
        <v>856</v>
      </c>
      <c r="VCK97" s="1675" t="s">
        <v>856</v>
      </c>
      <c r="VCL97" s="1675" t="s">
        <v>856</v>
      </c>
      <c r="VCM97" s="1675" t="s">
        <v>856</v>
      </c>
      <c r="VCN97" s="1675" t="s">
        <v>856</v>
      </c>
      <c r="VCO97" s="1675" t="s">
        <v>856</v>
      </c>
      <c r="VCP97" s="1675" t="s">
        <v>856</v>
      </c>
      <c r="VCQ97" s="1675" t="s">
        <v>856</v>
      </c>
      <c r="VCR97" s="1675" t="s">
        <v>856</v>
      </c>
      <c r="VCS97" s="1675" t="s">
        <v>856</v>
      </c>
      <c r="VCT97" s="1675" t="s">
        <v>856</v>
      </c>
      <c r="VCU97" s="1675" t="s">
        <v>856</v>
      </c>
      <c r="VCV97" s="1675" t="s">
        <v>856</v>
      </c>
      <c r="VCW97" s="1675" t="s">
        <v>856</v>
      </c>
      <c r="VCX97" s="1675" t="s">
        <v>856</v>
      </c>
      <c r="VCY97" s="1675" t="s">
        <v>856</v>
      </c>
      <c r="VCZ97" s="1675" t="s">
        <v>856</v>
      </c>
      <c r="VDA97" s="1675" t="s">
        <v>856</v>
      </c>
      <c r="VDB97" s="1675" t="s">
        <v>856</v>
      </c>
      <c r="VDC97" s="1675" t="s">
        <v>856</v>
      </c>
      <c r="VDD97" s="1675" t="s">
        <v>856</v>
      </c>
      <c r="VDE97" s="1675" t="s">
        <v>856</v>
      </c>
      <c r="VDF97" s="1675" t="s">
        <v>856</v>
      </c>
      <c r="VDG97" s="1675" t="s">
        <v>856</v>
      </c>
      <c r="VDH97" s="1675" t="s">
        <v>856</v>
      </c>
      <c r="VDI97" s="1675" t="s">
        <v>856</v>
      </c>
      <c r="VDJ97" s="1675" t="s">
        <v>856</v>
      </c>
      <c r="VDK97" s="1675" t="s">
        <v>856</v>
      </c>
      <c r="VDL97" s="1675" t="s">
        <v>856</v>
      </c>
      <c r="VDM97" s="1675" t="s">
        <v>856</v>
      </c>
      <c r="VDN97" s="1675" t="s">
        <v>856</v>
      </c>
      <c r="VDO97" s="1675" t="s">
        <v>856</v>
      </c>
      <c r="VDP97" s="1675" t="s">
        <v>856</v>
      </c>
      <c r="VDQ97" s="1675" t="s">
        <v>856</v>
      </c>
      <c r="VDR97" s="1675" t="s">
        <v>856</v>
      </c>
      <c r="VDS97" s="1675" t="s">
        <v>856</v>
      </c>
      <c r="VDT97" s="1675" t="s">
        <v>856</v>
      </c>
      <c r="VDU97" s="1675" t="s">
        <v>856</v>
      </c>
      <c r="VDV97" s="1675" t="s">
        <v>856</v>
      </c>
      <c r="VDW97" s="1675" t="s">
        <v>856</v>
      </c>
      <c r="VDX97" s="1675" t="s">
        <v>856</v>
      </c>
      <c r="VDY97" s="1675" t="s">
        <v>856</v>
      </c>
      <c r="VDZ97" s="1675" t="s">
        <v>856</v>
      </c>
      <c r="VEA97" s="1675" t="s">
        <v>856</v>
      </c>
      <c r="VEB97" s="1675" t="s">
        <v>856</v>
      </c>
      <c r="VEC97" s="1675" t="s">
        <v>856</v>
      </c>
      <c r="VED97" s="1675" t="s">
        <v>856</v>
      </c>
      <c r="VEE97" s="1675" t="s">
        <v>856</v>
      </c>
      <c r="VEF97" s="1675" t="s">
        <v>856</v>
      </c>
      <c r="VEG97" s="1675" t="s">
        <v>856</v>
      </c>
      <c r="VEH97" s="1675" t="s">
        <v>856</v>
      </c>
      <c r="VEI97" s="1675" t="s">
        <v>856</v>
      </c>
      <c r="VEJ97" s="1675" t="s">
        <v>856</v>
      </c>
      <c r="VEK97" s="1675" t="s">
        <v>856</v>
      </c>
      <c r="VEL97" s="1675" t="s">
        <v>856</v>
      </c>
      <c r="VEM97" s="1675" t="s">
        <v>856</v>
      </c>
      <c r="VEN97" s="1675" t="s">
        <v>856</v>
      </c>
      <c r="VEO97" s="1675" t="s">
        <v>856</v>
      </c>
      <c r="VEP97" s="1675" t="s">
        <v>856</v>
      </c>
      <c r="VEQ97" s="1675" t="s">
        <v>856</v>
      </c>
      <c r="VER97" s="1675" t="s">
        <v>856</v>
      </c>
      <c r="VES97" s="1675" t="s">
        <v>856</v>
      </c>
      <c r="VET97" s="1675" t="s">
        <v>856</v>
      </c>
      <c r="VEU97" s="1675" t="s">
        <v>856</v>
      </c>
      <c r="VEV97" s="1675" t="s">
        <v>856</v>
      </c>
      <c r="VEW97" s="1675" t="s">
        <v>856</v>
      </c>
      <c r="VEX97" s="1675" t="s">
        <v>856</v>
      </c>
      <c r="VEY97" s="1675" t="s">
        <v>856</v>
      </c>
      <c r="VEZ97" s="1675" t="s">
        <v>856</v>
      </c>
      <c r="VFA97" s="1675" t="s">
        <v>856</v>
      </c>
      <c r="VFB97" s="1675" t="s">
        <v>856</v>
      </c>
      <c r="VFC97" s="1675" t="s">
        <v>856</v>
      </c>
      <c r="VFD97" s="1675" t="s">
        <v>856</v>
      </c>
      <c r="VFE97" s="1675" t="s">
        <v>856</v>
      </c>
      <c r="VFF97" s="1675" t="s">
        <v>856</v>
      </c>
      <c r="VFG97" s="1675" t="s">
        <v>856</v>
      </c>
      <c r="VFH97" s="1675" t="s">
        <v>856</v>
      </c>
      <c r="VFI97" s="1675" t="s">
        <v>856</v>
      </c>
      <c r="VFJ97" s="1675" t="s">
        <v>856</v>
      </c>
      <c r="VFK97" s="1675" t="s">
        <v>856</v>
      </c>
      <c r="VFL97" s="1675" t="s">
        <v>856</v>
      </c>
      <c r="VFM97" s="1675" t="s">
        <v>856</v>
      </c>
      <c r="VFN97" s="1675" t="s">
        <v>856</v>
      </c>
      <c r="VFO97" s="1675" t="s">
        <v>856</v>
      </c>
      <c r="VFP97" s="1675" t="s">
        <v>856</v>
      </c>
      <c r="VFQ97" s="1675" t="s">
        <v>856</v>
      </c>
      <c r="VFR97" s="1675" t="s">
        <v>856</v>
      </c>
      <c r="VFS97" s="1675" t="s">
        <v>856</v>
      </c>
      <c r="VFT97" s="1675" t="s">
        <v>856</v>
      </c>
      <c r="VFU97" s="1675" t="s">
        <v>856</v>
      </c>
      <c r="VFV97" s="1675" t="s">
        <v>856</v>
      </c>
      <c r="VFW97" s="1675" t="s">
        <v>856</v>
      </c>
      <c r="VFX97" s="1675" t="s">
        <v>856</v>
      </c>
      <c r="VFY97" s="1675" t="s">
        <v>856</v>
      </c>
      <c r="VFZ97" s="1675" t="s">
        <v>856</v>
      </c>
      <c r="VGA97" s="1675" t="s">
        <v>856</v>
      </c>
      <c r="VGB97" s="1675" t="s">
        <v>856</v>
      </c>
      <c r="VGC97" s="1675" t="s">
        <v>856</v>
      </c>
      <c r="VGD97" s="1675" t="s">
        <v>856</v>
      </c>
      <c r="VGE97" s="1675" t="s">
        <v>856</v>
      </c>
      <c r="VGF97" s="1675" t="s">
        <v>856</v>
      </c>
      <c r="VGG97" s="1675" t="s">
        <v>856</v>
      </c>
      <c r="VGH97" s="1675" t="s">
        <v>856</v>
      </c>
      <c r="VGI97" s="1675" t="s">
        <v>856</v>
      </c>
      <c r="VGJ97" s="1675" t="s">
        <v>856</v>
      </c>
      <c r="VGK97" s="1675" t="s">
        <v>856</v>
      </c>
      <c r="VGL97" s="1675" t="s">
        <v>856</v>
      </c>
      <c r="VGM97" s="1675" t="s">
        <v>856</v>
      </c>
      <c r="VGN97" s="1675" t="s">
        <v>856</v>
      </c>
      <c r="VGO97" s="1675" t="s">
        <v>856</v>
      </c>
      <c r="VGP97" s="1675" t="s">
        <v>856</v>
      </c>
      <c r="VGQ97" s="1675" t="s">
        <v>856</v>
      </c>
      <c r="VGR97" s="1675" t="s">
        <v>856</v>
      </c>
      <c r="VGS97" s="1675" t="s">
        <v>856</v>
      </c>
      <c r="VGT97" s="1675" t="s">
        <v>856</v>
      </c>
      <c r="VGU97" s="1675" t="s">
        <v>856</v>
      </c>
      <c r="VGV97" s="1675" t="s">
        <v>856</v>
      </c>
      <c r="VGW97" s="1675" t="s">
        <v>856</v>
      </c>
      <c r="VGX97" s="1675" t="s">
        <v>856</v>
      </c>
      <c r="VGY97" s="1675" t="s">
        <v>856</v>
      </c>
      <c r="VGZ97" s="1675" t="s">
        <v>856</v>
      </c>
      <c r="VHA97" s="1675" t="s">
        <v>856</v>
      </c>
      <c r="VHB97" s="1675" t="s">
        <v>856</v>
      </c>
      <c r="VHC97" s="1675" t="s">
        <v>856</v>
      </c>
      <c r="VHD97" s="1675" t="s">
        <v>856</v>
      </c>
      <c r="VHE97" s="1675" t="s">
        <v>856</v>
      </c>
      <c r="VHF97" s="1675" t="s">
        <v>856</v>
      </c>
      <c r="VHG97" s="1675" t="s">
        <v>856</v>
      </c>
      <c r="VHH97" s="1675" t="s">
        <v>856</v>
      </c>
      <c r="VHI97" s="1675" t="s">
        <v>856</v>
      </c>
      <c r="VHJ97" s="1675" t="s">
        <v>856</v>
      </c>
      <c r="VHK97" s="1675" t="s">
        <v>856</v>
      </c>
      <c r="VHL97" s="1675" t="s">
        <v>856</v>
      </c>
      <c r="VHM97" s="1675" t="s">
        <v>856</v>
      </c>
      <c r="VHN97" s="1675" t="s">
        <v>856</v>
      </c>
      <c r="VHO97" s="1675" t="s">
        <v>856</v>
      </c>
      <c r="VHP97" s="1675" t="s">
        <v>856</v>
      </c>
      <c r="VHQ97" s="1675" t="s">
        <v>856</v>
      </c>
      <c r="VHR97" s="1675" t="s">
        <v>856</v>
      </c>
      <c r="VHS97" s="1675" t="s">
        <v>856</v>
      </c>
      <c r="VHT97" s="1675" t="s">
        <v>856</v>
      </c>
      <c r="VHU97" s="1675" t="s">
        <v>856</v>
      </c>
      <c r="VHV97" s="1675" t="s">
        <v>856</v>
      </c>
      <c r="VHW97" s="1675" t="s">
        <v>856</v>
      </c>
      <c r="VHX97" s="1675" t="s">
        <v>856</v>
      </c>
      <c r="VHY97" s="1675" t="s">
        <v>856</v>
      </c>
      <c r="VHZ97" s="1675" t="s">
        <v>856</v>
      </c>
      <c r="VIA97" s="1675" t="s">
        <v>856</v>
      </c>
      <c r="VIB97" s="1675" t="s">
        <v>856</v>
      </c>
      <c r="VIC97" s="1675" t="s">
        <v>856</v>
      </c>
      <c r="VID97" s="1675" t="s">
        <v>856</v>
      </c>
      <c r="VIE97" s="1675" t="s">
        <v>856</v>
      </c>
      <c r="VIF97" s="1675" t="s">
        <v>856</v>
      </c>
      <c r="VIG97" s="1675" t="s">
        <v>856</v>
      </c>
      <c r="VIH97" s="1675" t="s">
        <v>856</v>
      </c>
      <c r="VII97" s="1675" t="s">
        <v>856</v>
      </c>
      <c r="VIJ97" s="1675" t="s">
        <v>856</v>
      </c>
      <c r="VIK97" s="1675" t="s">
        <v>856</v>
      </c>
      <c r="VIL97" s="1675" t="s">
        <v>856</v>
      </c>
      <c r="VIM97" s="1675" t="s">
        <v>856</v>
      </c>
      <c r="VIN97" s="1675" t="s">
        <v>856</v>
      </c>
      <c r="VIO97" s="1675" t="s">
        <v>856</v>
      </c>
      <c r="VIP97" s="1675" t="s">
        <v>856</v>
      </c>
      <c r="VIQ97" s="1675" t="s">
        <v>856</v>
      </c>
      <c r="VIR97" s="1675" t="s">
        <v>856</v>
      </c>
      <c r="VIS97" s="1675" t="s">
        <v>856</v>
      </c>
      <c r="VIT97" s="1675" t="s">
        <v>856</v>
      </c>
      <c r="VIU97" s="1675" t="s">
        <v>856</v>
      </c>
      <c r="VIV97" s="1675" t="s">
        <v>856</v>
      </c>
      <c r="VIW97" s="1675" t="s">
        <v>856</v>
      </c>
      <c r="VIX97" s="1675" t="s">
        <v>856</v>
      </c>
      <c r="VIY97" s="1675" t="s">
        <v>856</v>
      </c>
      <c r="VIZ97" s="1675" t="s">
        <v>856</v>
      </c>
      <c r="VJA97" s="1675" t="s">
        <v>856</v>
      </c>
      <c r="VJB97" s="1675" t="s">
        <v>856</v>
      </c>
      <c r="VJC97" s="1675" t="s">
        <v>856</v>
      </c>
      <c r="VJD97" s="1675" t="s">
        <v>856</v>
      </c>
      <c r="VJE97" s="1675" t="s">
        <v>856</v>
      </c>
      <c r="VJF97" s="1675" t="s">
        <v>856</v>
      </c>
      <c r="VJG97" s="1675" t="s">
        <v>856</v>
      </c>
      <c r="VJH97" s="1675" t="s">
        <v>856</v>
      </c>
      <c r="VJI97" s="1675" t="s">
        <v>856</v>
      </c>
      <c r="VJJ97" s="1675" t="s">
        <v>856</v>
      </c>
      <c r="VJK97" s="1675" t="s">
        <v>856</v>
      </c>
      <c r="VJL97" s="1675" t="s">
        <v>856</v>
      </c>
      <c r="VJM97" s="1675" t="s">
        <v>856</v>
      </c>
      <c r="VJN97" s="1675" t="s">
        <v>856</v>
      </c>
      <c r="VJO97" s="1675" t="s">
        <v>856</v>
      </c>
      <c r="VJP97" s="1675" t="s">
        <v>856</v>
      </c>
      <c r="VJQ97" s="1675" t="s">
        <v>856</v>
      </c>
      <c r="VJR97" s="1675" t="s">
        <v>856</v>
      </c>
      <c r="VJS97" s="1675" t="s">
        <v>856</v>
      </c>
      <c r="VJT97" s="1675" t="s">
        <v>856</v>
      </c>
      <c r="VJU97" s="1675" t="s">
        <v>856</v>
      </c>
      <c r="VJV97" s="1675" t="s">
        <v>856</v>
      </c>
      <c r="VJW97" s="1675" t="s">
        <v>856</v>
      </c>
      <c r="VJX97" s="1675" t="s">
        <v>856</v>
      </c>
      <c r="VJY97" s="1675" t="s">
        <v>856</v>
      </c>
      <c r="VJZ97" s="1675" t="s">
        <v>856</v>
      </c>
      <c r="VKA97" s="1675" t="s">
        <v>856</v>
      </c>
      <c r="VKB97" s="1675" t="s">
        <v>856</v>
      </c>
      <c r="VKC97" s="1675" t="s">
        <v>856</v>
      </c>
      <c r="VKD97" s="1675" t="s">
        <v>856</v>
      </c>
      <c r="VKE97" s="1675" t="s">
        <v>856</v>
      </c>
      <c r="VKF97" s="1675" t="s">
        <v>856</v>
      </c>
      <c r="VKG97" s="1675" t="s">
        <v>856</v>
      </c>
      <c r="VKH97" s="1675" t="s">
        <v>856</v>
      </c>
      <c r="VKI97" s="1675" t="s">
        <v>856</v>
      </c>
      <c r="VKJ97" s="1675" t="s">
        <v>856</v>
      </c>
      <c r="VKK97" s="1675" t="s">
        <v>856</v>
      </c>
      <c r="VKL97" s="1675" t="s">
        <v>856</v>
      </c>
      <c r="VKM97" s="1675" t="s">
        <v>856</v>
      </c>
      <c r="VKN97" s="1675" t="s">
        <v>856</v>
      </c>
      <c r="VKO97" s="1675" t="s">
        <v>856</v>
      </c>
      <c r="VKP97" s="1675" t="s">
        <v>856</v>
      </c>
      <c r="VKQ97" s="1675" t="s">
        <v>856</v>
      </c>
      <c r="VKR97" s="1675" t="s">
        <v>856</v>
      </c>
      <c r="VKS97" s="1675" t="s">
        <v>856</v>
      </c>
      <c r="VKT97" s="1675" t="s">
        <v>856</v>
      </c>
      <c r="VKU97" s="1675" t="s">
        <v>856</v>
      </c>
      <c r="VKV97" s="1675" t="s">
        <v>856</v>
      </c>
      <c r="VKW97" s="1675" t="s">
        <v>856</v>
      </c>
      <c r="VKX97" s="1675" t="s">
        <v>856</v>
      </c>
      <c r="VKY97" s="1675" t="s">
        <v>856</v>
      </c>
      <c r="VKZ97" s="1675" t="s">
        <v>856</v>
      </c>
      <c r="VLA97" s="1675" t="s">
        <v>856</v>
      </c>
      <c r="VLB97" s="1675" t="s">
        <v>856</v>
      </c>
      <c r="VLC97" s="1675" t="s">
        <v>856</v>
      </c>
      <c r="VLD97" s="1675" t="s">
        <v>856</v>
      </c>
      <c r="VLE97" s="1675" t="s">
        <v>856</v>
      </c>
      <c r="VLF97" s="1675" t="s">
        <v>856</v>
      </c>
      <c r="VLG97" s="1675" t="s">
        <v>856</v>
      </c>
      <c r="VLH97" s="1675" t="s">
        <v>856</v>
      </c>
      <c r="VLI97" s="1675" t="s">
        <v>856</v>
      </c>
      <c r="VLJ97" s="1675" t="s">
        <v>856</v>
      </c>
      <c r="VLK97" s="1675" t="s">
        <v>856</v>
      </c>
      <c r="VLL97" s="1675" t="s">
        <v>856</v>
      </c>
      <c r="VLM97" s="1675" t="s">
        <v>856</v>
      </c>
      <c r="VLN97" s="1675" t="s">
        <v>856</v>
      </c>
      <c r="VLO97" s="1675" t="s">
        <v>856</v>
      </c>
      <c r="VLP97" s="1675" t="s">
        <v>856</v>
      </c>
      <c r="VLQ97" s="1675" t="s">
        <v>856</v>
      </c>
      <c r="VLR97" s="1675" t="s">
        <v>856</v>
      </c>
      <c r="VLS97" s="1675" t="s">
        <v>856</v>
      </c>
      <c r="VLT97" s="1675" t="s">
        <v>856</v>
      </c>
      <c r="VLU97" s="1675" t="s">
        <v>856</v>
      </c>
      <c r="VLV97" s="1675" t="s">
        <v>856</v>
      </c>
      <c r="VLW97" s="1675" t="s">
        <v>856</v>
      </c>
      <c r="VLX97" s="1675" t="s">
        <v>856</v>
      </c>
      <c r="VLY97" s="1675" t="s">
        <v>856</v>
      </c>
      <c r="VLZ97" s="1675" t="s">
        <v>856</v>
      </c>
      <c r="VMA97" s="1675" t="s">
        <v>856</v>
      </c>
      <c r="VMB97" s="1675" t="s">
        <v>856</v>
      </c>
      <c r="VMC97" s="1675" t="s">
        <v>856</v>
      </c>
      <c r="VMD97" s="1675" t="s">
        <v>856</v>
      </c>
      <c r="VME97" s="1675" t="s">
        <v>856</v>
      </c>
      <c r="VMF97" s="1675" t="s">
        <v>856</v>
      </c>
      <c r="VMG97" s="1675" t="s">
        <v>856</v>
      </c>
      <c r="VMH97" s="1675" t="s">
        <v>856</v>
      </c>
      <c r="VMI97" s="1675" t="s">
        <v>856</v>
      </c>
      <c r="VMJ97" s="1675" t="s">
        <v>856</v>
      </c>
      <c r="VMK97" s="1675" t="s">
        <v>856</v>
      </c>
      <c r="VML97" s="1675" t="s">
        <v>856</v>
      </c>
      <c r="VMM97" s="1675" t="s">
        <v>856</v>
      </c>
      <c r="VMN97" s="1675" t="s">
        <v>856</v>
      </c>
      <c r="VMO97" s="1675" t="s">
        <v>856</v>
      </c>
      <c r="VMP97" s="1675" t="s">
        <v>856</v>
      </c>
      <c r="VMQ97" s="1675" t="s">
        <v>856</v>
      </c>
      <c r="VMR97" s="1675" t="s">
        <v>856</v>
      </c>
      <c r="VMS97" s="1675" t="s">
        <v>856</v>
      </c>
      <c r="VMT97" s="1675" t="s">
        <v>856</v>
      </c>
      <c r="VMU97" s="1675" t="s">
        <v>856</v>
      </c>
      <c r="VMV97" s="1675" t="s">
        <v>856</v>
      </c>
      <c r="VMW97" s="1675" t="s">
        <v>856</v>
      </c>
      <c r="VMX97" s="1675" t="s">
        <v>856</v>
      </c>
      <c r="VMY97" s="1675" t="s">
        <v>856</v>
      </c>
      <c r="VMZ97" s="1675" t="s">
        <v>856</v>
      </c>
      <c r="VNA97" s="1675" t="s">
        <v>856</v>
      </c>
      <c r="VNB97" s="1675" t="s">
        <v>856</v>
      </c>
      <c r="VNC97" s="1675" t="s">
        <v>856</v>
      </c>
      <c r="VND97" s="1675" t="s">
        <v>856</v>
      </c>
      <c r="VNE97" s="1675" t="s">
        <v>856</v>
      </c>
      <c r="VNF97" s="1675" t="s">
        <v>856</v>
      </c>
      <c r="VNG97" s="1675" t="s">
        <v>856</v>
      </c>
      <c r="VNH97" s="1675" t="s">
        <v>856</v>
      </c>
      <c r="VNI97" s="1675" t="s">
        <v>856</v>
      </c>
      <c r="VNJ97" s="1675" t="s">
        <v>856</v>
      </c>
      <c r="VNK97" s="1675" t="s">
        <v>856</v>
      </c>
      <c r="VNL97" s="1675" t="s">
        <v>856</v>
      </c>
      <c r="VNM97" s="1675" t="s">
        <v>856</v>
      </c>
      <c r="VNN97" s="1675" t="s">
        <v>856</v>
      </c>
      <c r="VNO97" s="1675" t="s">
        <v>856</v>
      </c>
      <c r="VNP97" s="1675" t="s">
        <v>856</v>
      </c>
      <c r="VNQ97" s="1675" t="s">
        <v>856</v>
      </c>
      <c r="VNR97" s="1675" t="s">
        <v>856</v>
      </c>
      <c r="VNS97" s="1675" t="s">
        <v>856</v>
      </c>
      <c r="VNT97" s="1675" t="s">
        <v>856</v>
      </c>
      <c r="VNU97" s="1675" t="s">
        <v>856</v>
      </c>
      <c r="VNV97" s="1675" t="s">
        <v>856</v>
      </c>
      <c r="VNW97" s="1675" t="s">
        <v>856</v>
      </c>
      <c r="VNX97" s="1675" t="s">
        <v>856</v>
      </c>
      <c r="VNY97" s="1675" t="s">
        <v>856</v>
      </c>
      <c r="VNZ97" s="1675" t="s">
        <v>856</v>
      </c>
      <c r="VOA97" s="1675" t="s">
        <v>856</v>
      </c>
      <c r="VOB97" s="1675" t="s">
        <v>856</v>
      </c>
      <c r="VOC97" s="1675" t="s">
        <v>856</v>
      </c>
      <c r="VOD97" s="1675" t="s">
        <v>856</v>
      </c>
      <c r="VOE97" s="1675" t="s">
        <v>856</v>
      </c>
      <c r="VOF97" s="1675" t="s">
        <v>856</v>
      </c>
      <c r="VOG97" s="1675" t="s">
        <v>856</v>
      </c>
      <c r="VOH97" s="1675" t="s">
        <v>856</v>
      </c>
      <c r="VOI97" s="1675" t="s">
        <v>856</v>
      </c>
      <c r="VOJ97" s="1675" t="s">
        <v>856</v>
      </c>
      <c r="VOK97" s="1675" t="s">
        <v>856</v>
      </c>
      <c r="VOL97" s="1675" t="s">
        <v>856</v>
      </c>
      <c r="VOM97" s="1675" t="s">
        <v>856</v>
      </c>
      <c r="VON97" s="1675" t="s">
        <v>856</v>
      </c>
      <c r="VOO97" s="1675" t="s">
        <v>856</v>
      </c>
      <c r="VOP97" s="1675" t="s">
        <v>856</v>
      </c>
      <c r="VOQ97" s="1675" t="s">
        <v>856</v>
      </c>
      <c r="VOR97" s="1675" t="s">
        <v>856</v>
      </c>
      <c r="VOS97" s="1675" t="s">
        <v>856</v>
      </c>
      <c r="VOT97" s="1675" t="s">
        <v>856</v>
      </c>
      <c r="VOU97" s="1675" t="s">
        <v>856</v>
      </c>
      <c r="VOV97" s="1675" t="s">
        <v>856</v>
      </c>
      <c r="VOW97" s="1675" t="s">
        <v>856</v>
      </c>
      <c r="VOX97" s="1675" t="s">
        <v>856</v>
      </c>
      <c r="VOY97" s="1675" t="s">
        <v>856</v>
      </c>
      <c r="VOZ97" s="1675" t="s">
        <v>856</v>
      </c>
      <c r="VPA97" s="1675" t="s">
        <v>856</v>
      </c>
      <c r="VPB97" s="1675" t="s">
        <v>856</v>
      </c>
      <c r="VPC97" s="1675" t="s">
        <v>856</v>
      </c>
      <c r="VPD97" s="1675" t="s">
        <v>856</v>
      </c>
      <c r="VPE97" s="1675" t="s">
        <v>856</v>
      </c>
      <c r="VPF97" s="1675" t="s">
        <v>856</v>
      </c>
      <c r="VPG97" s="1675" t="s">
        <v>856</v>
      </c>
      <c r="VPH97" s="1675" t="s">
        <v>856</v>
      </c>
      <c r="VPI97" s="1675" t="s">
        <v>856</v>
      </c>
      <c r="VPJ97" s="1675" t="s">
        <v>856</v>
      </c>
      <c r="VPK97" s="1675" t="s">
        <v>856</v>
      </c>
      <c r="VPL97" s="1675" t="s">
        <v>856</v>
      </c>
      <c r="VPM97" s="1675" t="s">
        <v>856</v>
      </c>
      <c r="VPN97" s="1675" t="s">
        <v>856</v>
      </c>
      <c r="VPO97" s="1675" t="s">
        <v>856</v>
      </c>
      <c r="VPP97" s="1675" t="s">
        <v>856</v>
      </c>
      <c r="VPQ97" s="1675" t="s">
        <v>856</v>
      </c>
      <c r="VPR97" s="1675" t="s">
        <v>856</v>
      </c>
      <c r="VPS97" s="1675" t="s">
        <v>856</v>
      </c>
      <c r="VPT97" s="1675" t="s">
        <v>856</v>
      </c>
      <c r="VPU97" s="1675" t="s">
        <v>856</v>
      </c>
      <c r="VPV97" s="1675" t="s">
        <v>856</v>
      </c>
      <c r="VPW97" s="1675" t="s">
        <v>856</v>
      </c>
      <c r="VPX97" s="1675" t="s">
        <v>856</v>
      </c>
      <c r="VPY97" s="1675" t="s">
        <v>856</v>
      </c>
      <c r="VPZ97" s="1675" t="s">
        <v>856</v>
      </c>
      <c r="VQA97" s="1675" t="s">
        <v>856</v>
      </c>
      <c r="VQB97" s="1675" t="s">
        <v>856</v>
      </c>
      <c r="VQC97" s="1675" t="s">
        <v>856</v>
      </c>
      <c r="VQD97" s="1675" t="s">
        <v>856</v>
      </c>
      <c r="VQE97" s="1675" t="s">
        <v>856</v>
      </c>
      <c r="VQF97" s="1675" t="s">
        <v>856</v>
      </c>
      <c r="VQG97" s="1675" t="s">
        <v>856</v>
      </c>
      <c r="VQH97" s="1675" t="s">
        <v>856</v>
      </c>
      <c r="VQI97" s="1675" t="s">
        <v>856</v>
      </c>
      <c r="VQJ97" s="1675" t="s">
        <v>856</v>
      </c>
      <c r="VQK97" s="1675" t="s">
        <v>856</v>
      </c>
      <c r="VQL97" s="1675" t="s">
        <v>856</v>
      </c>
      <c r="VQM97" s="1675" t="s">
        <v>856</v>
      </c>
      <c r="VQN97" s="1675" t="s">
        <v>856</v>
      </c>
      <c r="VQO97" s="1675" t="s">
        <v>856</v>
      </c>
      <c r="VQP97" s="1675" t="s">
        <v>856</v>
      </c>
      <c r="VQQ97" s="1675" t="s">
        <v>856</v>
      </c>
      <c r="VQR97" s="1675" t="s">
        <v>856</v>
      </c>
      <c r="VQS97" s="1675" t="s">
        <v>856</v>
      </c>
      <c r="VQT97" s="1675" t="s">
        <v>856</v>
      </c>
      <c r="VQU97" s="1675" t="s">
        <v>856</v>
      </c>
      <c r="VQV97" s="1675" t="s">
        <v>856</v>
      </c>
      <c r="VQW97" s="1675" t="s">
        <v>856</v>
      </c>
      <c r="VQX97" s="1675" t="s">
        <v>856</v>
      </c>
      <c r="VQY97" s="1675" t="s">
        <v>856</v>
      </c>
      <c r="VQZ97" s="1675" t="s">
        <v>856</v>
      </c>
      <c r="VRA97" s="1675" t="s">
        <v>856</v>
      </c>
      <c r="VRB97" s="1675" t="s">
        <v>856</v>
      </c>
      <c r="VRC97" s="1675" t="s">
        <v>856</v>
      </c>
      <c r="VRD97" s="1675" t="s">
        <v>856</v>
      </c>
      <c r="VRE97" s="1675" t="s">
        <v>856</v>
      </c>
      <c r="VRF97" s="1675" t="s">
        <v>856</v>
      </c>
      <c r="VRG97" s="1675" t="s">
        <v>856</v>
      </c>
      <c r="VRH97" s="1675" t="s">
        <v>856</v>
      </c>
      <c r="VRI97" s="1675" t="s">
        <v>856</v>
      </c>
      <c r="VRJ97" s="1675" t="s">
        <v>856</v>
      </c>
      <c r="VRK97" s="1675" t="s">
        <v>856</v>
      </c>
      <c r="VRL97" s="1675" t="s">
        <v>856</v>
      </c>
      <c r="VRM97" s="1675" t="s">
        <v>856</v>
      </c>
      <c r="VRN97" s="1675" t="s">
        <v>856</v>
      </c>
      <c r="VRO97" s="1675" t="s">
        <v>856</v>
      </c>
      <c r="VRP97" s="1675" t="s">
        <v>856</v>
      </c>
      <c r="VRQ97" s="1675" t="s">
        <v>856</v>
      </c>
      <c r="VRR97" s="1675" t="s">
        <v>856</v>
      </c>
      <c r="VRS97" s="1675" t="s">
        <v>856</v>
      </c>
      <c r="VRT97" s="1675" t="s">
        <v>856</v>
      </c>
      <c r="VRU97" s="1675" t="s">
        <v>856</v>
      </c>
      <c r="VRV97" s="1675" t="s">
        <v>856</v>
      </c>
      <c r="VRW97" s="1675" t="s">
        <v>856</v>
      </c>
      <c r="VRX97" s="1675" t="s">
        <v>856</v>
      </c>
      <c r="VRY97" s="1675" t="s">
        <v>856</v>
      </c>
      <c r="VRZ97" s="1675" t="s">
        <v>856</v>
      </c>
      <c r="VSA97" s="1675" t="s">
        <v>856</v>
      </c>
      <c r="VSB97" s="1675" t="s">
        <v>856</v>
      </c>
      <c r="VSC97" s="1675" t="s">
        <v>856</v>
      </c>
      <c r="VSD97" s="1675" t="s">
        <v>856</v>
      </c>
      <c r="VSE97" s="1675" t="s">
        <v>856</v>
      </c>
      <c r="VSF97" s="1675" t="s">
        <v>856</v>
      </c>
      <c r="VSG97" s="1675" t="s">
        <v>856</v>
      </c>
      <c r="VSH97" s="1675" t="s">
        <v>856</v>
      </c>
      <c r="VSI97" s="1675" t="s">
        <v>856</v>
      </c>
      <c r="VSJ97" s="1675" t="s">
        <v>856</v>
      </c>
      <c r="VSK97" s="1675" t="s">
        <v>856</v>
      </c>
      <c r="VSL97" s="1675" t="s">
        <v>856</v>
      </c>
      <c r="VSM97" s="1675" t="s">
        <v>856</v>
      </c>
      <c r="VSN97" s="1675" t="s">
        <v>856</v>
      </c>
      <c r="VSO97" s="1675" t="s">
        <v>856</v>
      </c>
      <c r="VSP97" s="1675" t="s">
        <v>856</v>
      </c>
      <c r="VSQ97" s="1675" t="s">
        <v>856</v>
      </c>
      <c r="VSR97" s="1675" t="s">
        <v>856</v>
      </c>
      <c r="VSS97" s="1675" t="s">
        <v>856</v>
      </c>
      <c r="VST97" s="1675" t="s">
        <v>856</v>
      </c>
      <c r="VSU97" s="1675" t="s">
        <v>856</v>
      </c>
      <c r="VSV97" s="1675" t="s">
        <v>856</v>
      </c>
      <c r="VSW97" s="1675" t="s">
        <v>856</v>
      </c>
      <c r="VSX97" s="1675" t="s">
        <v>856</v>
      </c>
      <c r="VSY97" s="1675" t="s">
        <v>856</v>
      </c>
      <c r="VSZ97" s="1675" t="s">
        <v>856</v>
      </c>
      <c r="VTA97" s="1675" t="s">
        <v>856</v>
      </c>
      <c r="VTB97" s="1675" t="s">
        <v>856</v>
      </c>
      <c r="VTC97" s="1675" t="s">
        <v>856</v>
      </c>
      <c r="VTD97" s="1675" t="s">
        <v>856</v>
      </c>
      <c r="VTE97" s="1675" t="s">
        <v>856</v>
      </c>
      <c r="VTF97" s="1675" t="s">
        <v>856</v>
      </c>
      <c r="VTG97" s="1675" t="s">
        <v>856</v>
      </c>
      <c r="VTH97" s="1675" t="s">
        <v>856</v>
      </c>
      <c r="VTI97" s="1675" t="s">
        <v>856</v>
      </c>
      <c r="VTJ97" s="1675" t="s">
        <v>856</v>
      </c>
      <c r="VTK97" s="1675" t="s">
        <v>856</v>
      </c>
      <c r="VTL97" s="1675" t="s">
        <v>856</v>
      </c>
      <c r="VTM97" s="1675" t="s">
        <v>856</v>
      </c>
      <c r="VTN97" s="1675" t="s">
        <v>856</v>
      </c>
      <c r="VTO97" s="1675" t="s">
        <v>856</v>
      </c>
      <c r="VTP97" s="1675" t="s">
        <v>856</v>
      </c>
      <c r="VTQ97" s="1675" t="s">
        <v>856</v>
      </c>
      <c r="VTR97" s="1675" t="s">
        <v>856</v>
      </c>
      <c r="VTS97" s="1675" t="s">
        <v>856</v>
      </c>
      <c r="VTT97" s="1675" t="s">
        <v>856</v>
      </c>
      <c r="VTU97" s="1675" t="s">
        <v>856</v>
      </c>
      <c r="VTV97" s="1675" t="s">
        <v>856</v>
      </c>
      <c r="VTW97" s="1675" t="s">
        <v>856</v>
      </c>
      <c r="VTX97" s="1675" t="s">
        <v>856</v>
      </c>
      <c r="VTY97" s="1675" t="s">
        <v>856</v>
      </c>
      <c r="VTZ97" s="1675" t="s">
        <v>856</v>
      </c>
      <c r="VUA97" s="1675" t="s">
        <v>856</v>
      </c>
      <c r="VUB97" s="1675" t="s">
        <v>856</v>
      </c>
      <c r="VUC97" s="1675" t="s">
        <v>856</v>
      </c>
      <c r="VUD97" s="1675" t="s">
        <v>856</v>
      </c>
      <c r="VUE97" s="1675" t="s">
        <v>856</v>
      </c>
      <c r="VUF97" s="1675" t="s">
        <v>856</v>
      </c>
      <c r="VUG97" s="1675" t="s">
        <v>856</v>
      </c>
      <c r="VUH97" s="1675" t="s">
        <v>856</v>
      </c>
      <c r="VUI97" s="1675" t="s">
        <v>856</v>
      </c>
      <c r="VUJ97" s="1675" t="s">
        <v>856</v>
      </c>
      <c r="VUK97" s="1675" t="s">
        <v>856</v>
      </c>
      <c r="VUL97" s="1675" t="s">
        <v>856</v>
      </c>
      <c r="VUM97" s="1675" t="s">
        <v>856</v>
      </c>
      <c r="VUN97" s="1675" t="s">
        <v>856</v>
      </c>
      <c r="VUO97" s="1675" t="s">
        <v>856</v>
      </c>
      <c r="VUP97" s="1675" t="s">
        <v>856</v>
      </c>
      <c r="VUQ97" s="1675" t="s">
        <v>856</v>
      </c>
      <c r="VUR97" s="1675" t="s">
        <v>856</v>
      </c>
      <c r="VUS97" s="1675" t="s">
        <v>856</v>
      </c>
      <c r="VUT97" s="1675" t="s">
        <v>856</v>
      </c>
      <c r="VUU97" s="1675" t="s">
        <v>856</v>
      </c>
      <c r="VUV97" s="1675" t="s">
        <v>856</v>
      </c>
      <c r="VUW97" s="1675" t="s">
        <v>856</v>
      </c>
      <c r="VUX97" s="1675" t="s">
        <v>856</v>
      </c>
      <c r="VUY97" s="1675" t="s">
        <v>856</v>
      </c>
      <c r="VUZ97" s="1675" t="s">
        <v>856</v>
      </c>
      <c r="VVA97" s="1675" t="s">
        <v>856</v>
      </c>
      <c r="VVB97" s="1675" t="s">
        <v>856</v>
      </c>
      <c r="VVC97" s="1675" t="s">
        <v>856</v>
      </c>
      <c r="VVD97" s="1675" t="s">
        <v>856</v>
      </c>
      <c r="VVE97" s="1675" t="s">
        <v>856</v>
      </c>
      <c r="VVF97" s="1675" t="s">
        <v>856</v>
      </c>
      <c r="VVG97" s="1675" t="s">
        <v>856</v>
      </c>
      <c r="VVH97" s="1675" t="s">
        <v>856</v>
      </c>
      <c r="VVI97" s="1675" t="s">
        <v>856</v>
      </c>
      <c r="VVJ97" s="1675" t="s">
        <v>856</v>
      </c>
      <c r="VVK97" s="1675" t="s">
        <v>856</v>
      </c>
      <c r="VVL97" s="1675" t="s">
        <v>856</v>
      </c>
      <c r="VVM97" s="1675" t="s">
        <v>856</v>
      </c>
      <c r="VVN97" s="1675" t="s">
        <v>856</v>
      </c>
      <c r="VVO97" s="1675" t="s">
        <v>856</v>
      </c>
      <c r="VVP97" s="1675" t="s">
        <v>856</v>
      </c>
      <c r="VVQ97" s="1675" t="s">
        <v>856</v>
      </c>
      <c r="VVR97" s="1675" t="s">
        <v>856</v>
      </c>
      <c r="VVS97" s="1675" t="s">
        <v>856</v>
      </c>
      <c r="VVT97" s="1675" t="s">
        <v>856</v>
      </c>
      <c r="VVU97" s="1675" t="s">
        <v>856</v>
      </c>
      <c r="VVV97" s="1675" t="s">
        <v>856</v>
      </c>
      <c r="VVW97" s="1675" t="s">
        <v>856</v>
      </c>
      <c r="VVX97" s="1675" t="s">
        <v>856</v>
      </c>
      <c r="VVY97" s="1675" t="s">
        <v>856</v>
      </c>
      <c r="VVZ97" s="1675" t="s">
        <v>856</v>
      </c>
      <c r="VWA97" s="1675" t="s">
        <v>856</v>
      </c>
      <c r="VWB97" s="1675" t="s">
        <v>856</v>
      </c>
      <c r="VWC97" s="1675" t="s">
        <v>856</v>
      </c>
      <c r="VWD97" s="1675" t="s">
        <v>856</v>
      </c>
      <c r="VWE97" s="1675" t="s">
        <v>856</v>
      </c>
      <c r="VWF97" s="1675" t="s">
        <v>856</v>
      </c>
      <c r="VWG97" s="1675" t="s">
        <v>856</v>
      </c>
      <c r="VWH97" s="1675" t="s">
        <v>856</v>
      </c>
      <c r="VWI97" s="1675" t="s">
        <v>856</v>
      </c>
      <c r="VWJ97" s="1675" t="s">
        <v>856</v>
      </c>
      <c r="VWK97" s="1675" t="s">
        <v>856</v>
      </c>
      <c r="VWL97" s="1675" t="s">
        <v>856</v>
      </c>
      <c r="VWM97" s="1675" t="s">
        <v>856</v>
      </c>
      <c r="VWN97" s="1675" t="s">
        <v>856</v>
      </c>
      <c r="VWO97" s="1675" t="s">
        <v>856</v>
      </c>
      <c r="VWP97" s="1675" t="s">
        <v>856</v>
      </c>
      <c r="VWQ97" s="1675" t="s">
        <v>856</v>
      </c>
      <c r="VWR97" s="1675" t="s">
        <v>856</v>
      </c>
      <c r="VWS97" s="1675" t="s">
        <v>856</v>
      </c>
      <c r="VWT97" s="1675" t="s">
        <v>856</v>
      </c>
      <c r="VWU97" s="1675" t="s">
        <v>856</v>
      </c>
      <c r="VWV97" s="1675" t="s">
        <v>856</v>
      </c>
      <c r="VWW97" s="1675" t="s">
        <v>856</v>
      </c>
      <c r="VWX97" s="1675" t="s">
        <v>856</v>
      </c>
      <c r="VWY97" s="1675" t="s">
        <v>856</v>
      </c>
      <c r="VWZ97" s="1675" t="s">
        <v>856</v>
      </c>
      <c r="VXA97" s="1675" t="s">
        <v>856</v>
      </c>
      <c r="VXB97" s="1675" t="s">
        <v>856</v>
      </c>
      <c r="VXC97" s="1675" t="s">
        <v>856</v>
      </c>
      <c r="VXD97" s="1675" t="s">
        <v>856</v>
      </c>
      <c r="VXE97" s="1675" t="s">
        <v>856</v>
      </c>
      <c r="VXF97" s="1675" t="s">
        <v>856</v>
      </c>
      <c r="VXG97" s="1675" t="s">
        <v>856</v>
      </c>
      <c r="VXH97" s="1675" t="s">
        <v>856</v>
      </c>
      <c r="VXI97" s="1675" t="s">
        <v>856</v>
      </c>
      <c r="VXJ97" s="1675" t="s">
        <v>856</v>
      </c>
      <c r="VXK97" s="1675" t="s">
        <v>856</v>
      </c>
      <c r="VXL97" s="1675" t="s">
        <v>856</v>
      </c>
      <c r="VXM97" s="1675" t="s">
        <v>856</v>
      </c>
      <c r="VXN97" s="1675" t="s">
        <v>856</v>
      </c>
      <c r="VXO97" s="1675" t="s">
        <v>856</v>
      </c>
      <c r="VXP97" s="1675" t="s">
        <v>856</v>
      </c>
      <c r="VXQ97" s="1675" t="s">
        <v>856</v>
      </c>
      <c r="VXR97" s="1675" t="s">
        <v>856</v>
      </c>
      <c r="VXS97" s="1675" t="s">
        <v>856</v>
      </c>
      <c r="VXT97" s="1675" t="s">
        <v>856</v>
      </c>
      <c r="VXU97" s="1675" t="s">
        <v>856</v>
      </c>
      <c r="VXV97" s="1675" t="s">
        <v>856</v>
      </c>
      <c r="VXW97" s="1675" t="s">
        <v>856</v>
      </c>
      <c r="VXX97" s="1675" t="s">
        <v>856</v>
      </c>
      <c r="VXY97" s="1675" t="s">
        <v>856</v>
      </c>
      <c r="VXZ97" s="1675" t="s">
        <v>856</v>
      </c>
      <c r="VYA97" s="1675" t="s">
        <v>856</v>
      </c>
      <c r="VYB97" s="1675" t="s">
        <v>856</v>
      </c>
      <c r="VYC97" s="1675" t="s">
        <v>856</v>
      </c>
      <c r="VYD97" s="1675" t="s">
        <v>856</v>
      </c>
      <c r="VYE97" s="1675" t="s">
        <v>856</v>
      </c>
      <c r="VYF97" s="1675" t="s">
        <v>856</v>
      </c>
      <c r="VYG97" s="1675" t="s">
        <v>856</v>
      </c>
      <c r="VYH97" s="1675" t="s">
        <v>856</v>
      </c>
      <c r="VYI97" s="1675" t="s">
        <v>856</v>
      </c>
      <c r="VYJ97" s="1675" t="s">
        <v>856</v>
      </c>
      <c r="VYK97" s="1675" t="s">
        <v>856</v>
      </c>
      <c r="VYL97" s="1675" t="s">
        <v>856</v>
      </c>
      <c r="VYM97" s="1675" t="s">
        <v>856</v>
      </c>
      <c r="VYN97" s="1675" t="s">
        <v>856</v>
      </c>
      <c r="VYO97" s="1675" t="s">
        <v>856</v>
      </c>
      <c r="VYP97" s="1675" t="s">
        <v>856</v>
      </c>
      <c r="VYQ97" s="1675" t="s">
        <v>856</v>
      </c>
      <c r="VYR97" s="1675" t="s">
        <v>856</v>
      </c>
      <c r="VYS97" s="1675" t="s">
        <v>856</v>
      </c>
      <c r="VYT97" s="1675" t="s">
        <v>856</v>
      </c>
      <c r="VYU97" s="1675" t="s">
        <v>856</v>
      </c>
      <c r="VYV97" s="1675" t="s">
        <v>856</v>
      </c>
      <c r="VYW97" s="1675" t="s">
        <v>856</v>
      </c>
      <c r="VYX97" s="1675" t="s">
        <v>856</v>
      </c>
      <c r="VYY97" s="1675" t="s">
        <v>856</v>
      </c>
      <c r="VYZ97" s="1675" t="s">
        <v>856</v>
      </c>
      <c r="VZA97" s="1675" t="s">
        <v>856</v>
      </c>
      <c r="VZB97" s="1675" t="s">
        <v>856</v>
      </c>
      <c r="VZC97" s="1675" t="s">
        <v>856</v>
      </c>
      <c r="VZD97" s="1675" t="s">
        <v>856</v>
      </c>
      <c r="VZE97" s="1675" t="s">
        <v>856</v>
      </c>
      <c r="VZF97" s="1675" t="s">
        <v>856</v>
      </c>
      <c r="VZG97" s="1675" t="s">
        <v>856</v>
      </c>
      <c r="VZH97" s="1675" t="s">
        <v>856</v>
      </c>
      <c r="VZI97" s="1675" t="s">
        <v>856</v>
      </c>
      <c r="VZJ97" s="1675" t="s">
        <v>856</v>
      </c>
      <c r="VZK97" s="1675" t="s">
        <v>856</v>
      </c>
      <c r="VZL97" s="1675" t="s">
        <v>856</v>
      </c>
      <c r="VZM97" s="1675" t="s">
        <v>856</v>
      </c>
      <c r="VZN97" s="1675" t="s">
        <v>856</v>
      </c>
      <c r="VZO97" s="1675" t="s">
        <v>856</v>
      </c>
      <c r="VZP97" s="1675" t="s">
        <v>856</v>
      </c>
      <c r="VZQ97" s="1675" t="s">
        <v>856</v>
      </c>
      <c r="VZR97" s="1675" t="s">
        <v>856</v>
      </c>
      <c r="VZS97" s="1675" t="s">
        <v>856</v>
      </c>
      <c r="VZT97" s="1675" t="s">
        <v>856</v>
      </c>
      <c r="VZU97" s="1675" t="s">
        <v>856</v>
      </c>
      <c r="VZV97" s="1675" t="s">
        <v>856</v>
      </c>
      <c r="VZW97" s="1675" t="s">
        <v>856</v>
      </c>
      <c r="VZX97" s="1675" t="s">
        <v>856</v>
      </c>
      <c r="VZY97" s="1675" t="s">
        <v>856</v>
      </c>
      <c r="VZZ97" s="1675" t="s">
        <v>856</v>
      </c>
      <c r="WAA97" s="1675" t="s">
        <v>856</v>
      </c>
      <c r="WAB97" s="1675" t="s">
        <v>856</v>
      </c>
      <c r="WAC97" s="1675" t="s">
        <v>856</v>
      </c>
      <c r="WAD97" s="1675" t="s">
        <v>856</v>
      </c>
      <c r="WAE97" s="1675" t="s">
        <v>856</v>
      </c>
      <c r="WAF97" s="1675" t="s">
        <v>856</v>
      </c>
      <c r="WAG97" s="1675" t="s">
        <v>856</v>
      </c>
      <c r="WAH97" s="1675" t="s">
        <v>856</v>
      </c>
      <c r="WAI97" s="1675" t="s">
        <v>856</v>
      </c>
      <c r="WAJ97" s="1675" t="s">
        <v>856</v>
      </c>
      <c r="WAK97" s="1675" t="s">
        <v>856</v>
      </c>
      <c r="WAL97" s="1675" t="s">
        <v>856</v>
      </c>
      <c r="WAM97" s="1675" t="s">
        <v>856</v>
      </c>
      <c r="WAN97" s="1675" t="s">
        <v>856</v>
      </c>
      <c r="WAO97" s="1675" t="s">
        <v>856</v>
      </c>
      <c r="WAP97" s="1675" t="s">
        <v>856</v>
      </c>
      <c r="WAQ97" s="1675" t="s">
        <v>856</v>
      </c>
      <c r="WAR97" s="1675" t="s">
        <v>856</v>
      </c>
      <c r="WAS97" s="1675" t="s">
        <v>856</v>
      </c>
      <c r="WAT97" s="1675" t="s">
        <v>856</v>
      </c>
      <c r="WAU97" s="1675" t="s">
        <v>856</v>
      </c>
      <c r="WAV97" s="1675" t="s">
        <v>856</v>
      </c>
      <c r="WAW97" s="1675" t="s">
        <v>856</v>
      </c>
      <c r="WAX97" s="1675" t="s">
        <v>856</v>
      </c>
      <c r="WAY97" s="1675" t="s">
        <v>856</v>
      </c>
      <c r="WAZ97" s="1675" t="s">
        <v>856</v>
      </c>
      <c r="WBA97" s="1675" t="s">
        <v>856</v>
      </c>
      <c r="WBB97" s="1675" t="s">
        <v>856</v>
      </c>
      <c r="WBC97" s="1675" t="s">
        <v>856</v>
      </c>
      <c r="WBD97" s="1675" t="s">
        <v>856</v>
      </c>
      <c r="WBE97" s="1675" t="s">
        <v>856</v>
      </c>
      <c r="WBF97" s="1675" t="s">
        <v>856</v>
      </c>
      <c r="WBG97" s="1675" t="s">
        <v>856</v>
      </c>
      <c r="WBH97" s="1675" t="s">
        <v>856</v>
      </c>
      <c r="WBI97" s="1675" t="s">
        <v>856</v>
      </c>
      <c r="WBJ97" s="1675" t="s">
        <v>856</v>
      </c>
      <c r="WBK97" s="1675" t="s">
        <v>856</v>
      </c>
      <c r="WBL97" s="1675" t="s">
        <v>856</v>
      </c>
      <c r="WBM97" s="1675" t="s">
        <v>856</v>
      </c>
      <c r="WBN97" s="1675" t="s">
        <v>856</v>
      </c>
      <c r="WBO97" s="1675" t="s">
        <v>856</v>
      </c>
      <c r="WBP97" s="1675" t="s">
        <v>856</v>
      </c>
      <c r="WBQ97" s="1675" t="s">
        <v>856</v>
      </c>
      <c r="WBR97" s="1675" t="s">
        <v>856</v>
      </c>
      <c r="WBS97" s="1675" t="s">
        <v>856</v>
      </c>
      <c r="WBT97" s="1675" t="s">
        <v>856</v>
      </c>
      <c r="WBU97" s="1675" t="s">
        <v>856</v>
      </c>
      <c r="WBV97" s="1675" t="s">
        <v>856</v>
      </c>
      <c r="WBW97" s="1675" t="s">
        <v>856</v>
      </c>
      <c r="WBX97" s="1675" t="s">
        <v>856</v>
      </c>
      <c r="WBY97" s="1675" t="s">
        <v>856</v>
      </c>
      <c r="WBZ97" s="1675" t="s">
        <v>856</v>
      </c>
      <c r="WCA97" s="1675" t="s">
        <v>856</v>
      </c>
      <c r="WCB97" s="1675" t="s">
        <v>856</v>
      </c>
      <c r="WCC97" s="1675" t="s">
        <v>856</v>
      </c>
      <c r="WCD97" s="1675" t="s">
        <v>856</v>
      </c>
      <c r="WCE97" s="1675" t="s">
        <v>856</v>
      </c>
      <c r="WCF97" s="1675" t="s">
        <v>856</v>
      </c>
      <c r="WCG97" s="1675" t="s">
        <v>856</v>
      </c>
      <c r="WCH97" s="1675" t="s">
        <v>856</v>
      </c>
      <c r="WCI97" s="1675" t="s">
        <v>856</v>
      </c>
      <c r="WCJ97" s="1675" t="s">
        <v>856</v>
      </c>
      <c r="WCK97" s="1675" t="s">
        <v>856</v>
      </c>
      <c r="WCL97" s="1675" t="s">
        <v>856</v>
      </c>
      <c r="WCM97" s="1675" t="s">
        <v>856</v>
      </c>
      <c r="WCN97" s="1675" t="s">
        <v>856</v>
      </c>
      <c r="WCO97" s="1675" t="s">
        <v>856</v>
      </c>
      <c r="WCP97" s="1675" t="s">
        <v>856</v>
      </c>
      <c r="WCQ97" s="1675" t="s">
        <v>856</v>
      </c>
      <c r="WCR97" s="1675" t="s">
        <v>856</v>
      </c>
      <c r="WCS97" s="1675" t="s">
        <v>856</v>
      </c>
      <c r="WCT97" s="1675" t="s">
        <v>856</v>
      </c>
      <c r="WCU97" s="1675" t="s">
        <v>856</v>
      </c>
      <c r="WCV97" s="1675" t="s">
        <v>856</v>
      </c>
      <c r="WCW97" s="1675" t="s">
        <v>856</v>
      </c>
      <c r="WCX97" s="1675" t="s">
        <v>856</v>
      </c>
      <c r="WCY97" s="1675" t="s">
        <v>856</v>
      </c>
      <c r="WCZ97" s="1675" t="s">
        <v>856</v>
      </c>
      <c r="WDA97" s="1675" t="s">
        <v>856</v>
      </c>
      <c r="WDB97" s="1675" t="s">
        <v>856</v>
      </c>
      <c r="WDC97" s="1675" t="s">
        <v>856</v>
      </c>
      <c r="WDD97" s="1675" t="s">
        <v>856</v>
      </c>
      <c r="WDE97" s="1675" t="s">
        <v>856</v>
      </c>
      <c r="WDF97" s="1675" t="s">
        <v>856</v>
      </c>
      <c r="WDG97" s="1675" t="s">
        <v>856</v>
      </c>
      <c r="WDH97" s="1675" t="s">
        <v>856</v>
      </c>
      <c r="WDI97" s="1675" t="s">
        <v>856</v>
      </c>
      <c r="WDJ97" s="1675" t="s">
        <v>856</v>
      </c>
      <c r="WDK97" s="1675" t="s">
        <v>856</v>
      </c>
      <c r="WDL97" s="1675" t="s">
        <v>856</v>
      </c>
      <c r="WDM97" s="1675" t="s">
        <v>856</v>
      </c>
      <c r="WDN97" s="1675" t="s">
        <v>856</v>
      </c>
      <c r="WDO97" s="1675" t="s">
        <v>856</v>
      </c>
      <c r="WDP97" s="1675" t="s">
        <v>856</v>
      </c>
      <c r="WDQ97" s="1675" t="s">
        <v>856</v>
      </c>
      <c r="WDR97" s="1675" t="s">
        <v>856</v>
      </c>
      <c r="WDS97" s="1675" t="s">
        <v>856</v>
      </c>
      <c r="WDT97" s="1675" t="s">
        <v>856</v>
      </c>
      <c r="WDU97" s="1675" t="s">
        <v>856</v>
      </c>
      <c r="WDV97" s="1675" t="s">
        <v>856</v>
      </c>
      <c r="WDW97" s="1675" t="s">
        <v>856</v>
      </c>
      <c r="WDX97" s="1675" t="s">
        <v>856</v>
      </c>
      <c r="WDY97" s="1675" t="s">
        <v>856</v>
      </c>
      <c r="WDZ97" s="1675" t="s">
        <v>856</v>
      </c>
      <c r="WEA97" s="1675" t="s">
        <v>856</v>
      </c>
      <c r="WEB97" s="1675" t="s">
        <v>856</v>
      </c>
      <c r="WEC97" s="1675" t="s">
        <v>856</v>
      </c>
      <c r="WED97" s="1675" t="s">
        <v>856</v>
      </c>
      <c r="WEE97" s="1675" t="s">
        <v>856</v>
      </c>
      <c r="WEF97" s="1675" t="s">
        <v>856</v>
      </c>
      <c r="WEG97" s="1675" t="s">
        <v>856</v>
      </c>
      <c r="WEH97" s="1675" t="s">
        <v>856</v>
      </c>
      <c r="WEI97" s="1675" t="s">
        <v>856</v>
      </c>
      <c r="WEJ97" s="1675" t="s">
        <v>856</v>
      </c>
      <c r="WEK97" s="1675" t="s">
        <v>856</v>
      </c>
      <c r="WEL97" s="1675" t="s">
        <v>856</v>
      </c>
      <c r="WEM97" s="1675" t="s">
        <v>856</v>
      </c>
      <c r="WEN97" s="1675" t="s">
        <v>856</v>
      </c>
      <c r="WEO97" s="1675" t="s">
        <v>856</v>
      </c>
      <c r="WEP97" s="1675" t="s">
        <v>856</v>
      </c>
      <c r="WEQ97" s="1675" t="s">
        <v>856</v>
      </c>
      <c r="WER97" s="1675" t="s">
        <v>856</v>
      </c>
      <c r="WES97" s="1675" t="s">
        <v>856</v>
      </c>
      <c r="WET97" s="1675" t="s">
        <v>856</v>
      </c>
      <c r="WEU97" s="1675" t="s">
        <v>856</v>
      </c>
      <c r="WEV97" s="1675" t="s">
        <v>856</v>
      </c>
      <c r="WEW97" s="1675" t="s">
        <v>856</v>
      </c>
      <c r="WEX97" s="1675" t="s">
        <v>856</v>
      </c>
      <c r="WEY97" s="1675" t="s">
        <v>856</v>
      </c>
      <c r="WEZ97" s="1675" t="s">
        <v>856</v>
      </c>
      <c r="WFA97" s="1675" t="s">
        <v>856</v>
      </c>
      <c r="WFB97" s="1675" t="s">
        <v>856</v>
      </c>
      <c r="WFC97" s="1675" t="s">
        <v>856</v>
      </c>
      <c r="WFD97" s="1675" t="s">
        <v>856</v>
      </c>
      <c r="WFE97" s="1675" t="s">
        <v>856</v>
      </c>
      <c r="WFF97" s="1675" t="s">
        <v>856</v>
      </c>
      <c r="WFG97" s="1675" t="s">
        <v>856</v>
      </c>
      <c r="WFH97" s="1675" t="s">
        <v>856</v>
      </c>
      <c r="WFI97" s="1675" t="s">
        <v>856</v>
      </c>
      <c r="WFJ97" s="1675" t="s">
        <v>856</v>
      </c>
      <c r="WFK97" s="1675" t="s">
        <v>856</v>
      </c>
      <c r="WFL97" s="1675" t="s">
        <v>856</v>
      </c>
      <c r="WFM97" s="1675" t="s">
        <v>856</v>
      </c>
      <c r="WFN97" s="1675" t="s">
        <v>856</v>
      </c>
      <c r="WFO97" s="1675" t="s">
        <v>856</v>
      </c>
      <c r="WFP97" s="1675" t="s">
        <v>856</v>
      </c>
      <c r="WFQ97" s="1675" t="s">
        <v>856</v>
      </c>
      <c r="WFR97" s="1675" t="s">
        <v>856</v>
      </c>
      <c r="WFS97" s="1675" t="s">
        <v>856</v>
      </c>
      <c r="WFT97" s="1675" t="s">
        <v>856</v>
      </c>
      <c r="WFU97" s="1675" t="s">
        <v>856</v>
      </c>
      <c r="WFV97" s="1675" t="s">
        <v>856</v>
      </c>
      <c r="WFW97" s="1675" t="s">
        <v>856</v>
      </c>
      <c r="WFX97" s="1675" t="s">
        <v>856</v>
      </c>
      <c r="WFY97" s="1675" t="s">
        <v>856</v>
      </c>
      <c r="WFZ97" s="1675" t="s">
        <v>856</v>
      </c>
      <c r="WGA97" s="1675" t="s">
        <v>856</v>
      </c>
      <c r="WGB97" s="1675" t="s">
        <v>856</v>
      </c>
      <c r="WGC97" s="1675" t="s">
        <v>856</v>
      </c>
      <c r="WGD97" s="1675" t="s">
        <v>856</v>
      </c>
      <c r="WGE97" s="1675" t="s">
        <v>856</v>
      </c>
      <c r="WGF97" s="1675" t="s">
        <v>856</v>
      </c>
      <c r="WGG97" s="1675" t="s">
        <v>856</v>
      </c>
      <c r="WGH97" s="1675" t="s">
        <v>856</v>
      </c>
      <c r="WGI97" s="1675" t="s">
        <v>856</v>
      </c>
      <c r="WGJ97" s="1675" t="s">
        <v>856</v>
      </c>
      <c r="WGK97" s="1675" t="s">
        <v>856</v>
      </c>
      <c r="WGL97" s="1675" t="s">
        <v>856</v>
      </c>
      <c r="WGM97" s="1675" t="s">
        <v>856</v>
      </c>
      <c r="WGN97" s="1675" t="s">
        <v>856</v>
      </c>
      <c r="WGO97" s="1675" t="s">
        <v>856</v>
      </c>
      <c r="WGP97" s="1675" t="s">
        <v>856</v>
      </c>
      <c r="WGQ97" s="1675" t="s">
        <v>856</v>
      </c>
      <c r="WGR97" s="1675" t="s">
        <v>856</v>
      </c>
      <c r="WGS97" s="1675" t="s">
        <v>856</v>
      </c>
      <c r="WGT97" s="1675" t="s">
        <v>856</v>
      </c>
      <c r="WGU97" s="1675" t="s">
        <v>856</v>
      </c>
      <c r="WGV97" s="1675" t="s">
        <v>856</v>
      </c>
      <c r="WGW97" s="1675" t="s">
        <v>856</v>
      </c>
      <c r="WGX97" s="1675" t="s">
        <v>856</v>
      </c>
      <c r="WGY97" s="1675" t="s">
        <v>856</v>
      </c>
      <c r="WGZ97" s="1675" t="s">
        <v>856</v>
      </c>
      <c r="WHA97" s="1675" t="s">
        <v>856</v>
      </c>
      <c r="WHB97" s="1675" t="s">
        <v>856</v>
      </c>
      <c r="WHC97" s="1675" t="s">
        <v>856</v>
      </c>
      <c r="WHD97" s="1675" t="s">
        <v>856</v>
      </c>
      <c r="WHE97" s="1675" t="s">
        <v>856</v>
      </c>
      <c r="WHF97" s="1675" t="s">
        <v>856</v>
      </c>
      <c r="WHG97" s="1675" t="s">
        <v>856</v>
      </c>
      <c r="WHH97" s="1675" t="s">
        <v>856</v>
      </c>
      <c r="WHI97" s="1675" t="s">
        <v>856</v>
      </c>
      <c r="WHJ97" s="1675" t="s">
        <v>856</v>
      </c>
      <c r="WHK97" s="1675" t="s">
        <v>856</v>
      </c>
      <c r="WHL97" s="1675" t="s">
        <v>856</v>
      </c>
      <c r="WHM97" s="1675" t="s">
        <v>856</v>
      </c>
      <c r="WHN97" s="1675" t="s">
        <v>856</v>
      </c>
      <c r="WHO97" s="1675" t="s">
        <v>856</v>
      </c>
      <c r="WHP97" s="1675" t="s">
        <v>856</v>
      </c>
      <c r="WHQ97" s="1675" t="s">
        <v>856</v>
      </c>
      <c r="WHR97" s="1675" t="s">
        <v>856</v>
      </c>
      <c r="WHS97" s="1675" t="s">
        <v>856</v>
      </c>
      <c r="WHT97" s="1675" t="s">
        <v>856</v>
      </c>
      <c r="WHU97" s="1675" t="s">
        <v>856</v>
      </c>
      <c r="WHV97" s="1675" t="s">
        <v>856</v>
      </c>
      <c r="WHW97" s="1675" t="s">
        <v>856</v>
      </c>
      <c r="WHX97" s="1675" t="s">
        <v>856</v>
      </c>
      <c r="WHY97" s="1675" t="s">
        <v>856</v>
      </c>
      <c r="WHZ97" s="1675" t="s">
        <v>856</v>
      </c>
      <c r="WIA97" s="1675" t="s">
        <v>856</v>
      </c>
      <c r="WIB97" s="1675" t="s">
        <v>856</v>
      </c>
      <c r="WIC97" s="1675" t="s">
        <v>856</v>
      </c>
      <c r="WID97" s="1675" t="s">
        <v>856</v>
      </c>
      <c r="WIE97" s="1675" t="s">
        <v>856</v>
      </c>
      <c r="WIF97" s="1675" t="s">
        <v>856</v>
      </c>
      <c r="WIG97" s="1675" t="s">
        <v>856</v>
      </c>
      <c r="WIH97" s="1675" t="s">
        <v>856</v>
      </c>
      <c r="WII97" s="1675" t="s">
        <v>856</v>
      </c>
      <c r="WIJ97" s="1675" t="s">
        <v>856</v>
      </c>
      <c r="WIK97" s="1675" t="s">
        <v>856</v>
      </c>
      <c r="WIL97" s="1675" t="s">
        <v>856</v>
      </c>
      <c r="WIM97" s="1675" t="s">
        <v>856</v>
      </c>
      <c r="WIN97" s="1675" t="s">
        <v>856</v>
      </c>
      <c r="WIO97" s="1675" t="s">
        <v>856</v>
      </c>
      <c r="WIP97" s="1675" t="s">
        <v>856</v>
      </c>
      <c r="WIQ97" s="1675" t="s">
        <v>856</v>
      </c>
      <c r="WIR97" s="1675" t="s">
        <v>856</v>
      </c>
      <c r="WIS97" s="1675" t="s">
        <v>856</v>
      </c>
      <c r="WIT97" s="1675" t="s">
        <v>856</v>
      </c>
      <c r="WIU97" s="1675" t="s">
        <v>856</v>
      </c>
      <c r="WIV97" s="1675" t="s">
        <v>856</v>
      </c>
      <c r="WIW97" s="1675" t="s">
        <v>856</v>
      </c>
      <c r="WIX97" s="1675" t="s">
        <v>856</v>
      </c>
      <c r="WIY97" s="1675" t="s">
        <v>856</v>
      </c>
      <c r="WIZ97" s="1675" t="s">
        <v>856</v>
      </c>
      <c r="WJA97" s="1675" t="s">
        <v>856</v>
      </c>
      <c r="WJB97" s="1675" t="s">
        <v>856</v>
      </c>
      <c r="WJC97" s="1675" t="s">
        <v>856</v>
      </c>
      <c r="WJD97" s="1675" t="s">
        <v>856</v>
      </c>
      <c r="WJE97" s="1675" t="s">
        <v>856</v>
      </c>
      <c r="WJF97" s="1675" t="s">
        <v>856</v>
      </c>
      <c r="WJG97" s="1675" t="s">
        <v>856</v>
      </c>
      <c r="WJH97" s="1675" t="s">
        <v>856</v>
      </c>
      <c r="WJI97" s="1675" t="s">
        <v>856</v>
      </c>
      <c r="WJJ97" s="1675" t="s">
        <v>856</v>
      </c>
      <c r="WJK97" s="1675" t="s">
        <v>856</v>
      </c>
      <c r="WJL97" s="1675" t="s">
        <v>856</v>
      </c>
      <c r="WJM97" s="1675" t="s">
        <v>856</v>
      </c>
      <c r="WJN97" s="1675" t="s">
        <v>856</v>
      </c>
      <c r="WJO97" s="1675" t="s">
        <v>856</v>
      </c>
      <c r="WJP97" s="1675" t="s">
        <v>856</v>
      </c>
      <c r="WJQ97" s="1675" t="s">
        <v>856</v>
      </c>
      <c r="WJR97" s="1675" t="s">
        <v>856</v>
      </c>
      <c r="WJS97" s="1675" t="s">
        <v>856</v>
      </c>
      <c r="WJT97" s="1675" t="s">
        <v>856</v>
      </c>
      <c r="WJU97" s="1675" t="s">
        <v>856</v>
      </c>
      <c r="WJV97" s="1675" t="s">
        <v>856</v>
      </c>
      <c r="WJW97" s="1675" t="s">
        <v>856</v>
      </c>
      <c r="WJX97" s="1675" t="s">
        <v>856</v>
      </c>
      <c r="WJY97" s="1675" t="s">
        <v>856</v>
      </c>
      <c r="WJZ97" s="1675" t="s">
        <v>856</v>
      </c>
      <c r="WKA97" s="1675" t="s">
        <v>856</v>
      </c>
      <c r="WKB97" s="1675" t="s">
        <v>856</v>
      </c>
      <c r="WKC97" s="1675" t="s">
        <v>856</v>
      </c>
      <c r="WKD97" s="1675" t="s">
        <v>856</v>
      </c>
      <c r="WKE97" s="1675" t="s">
        <v>856</v>
      </c>
      <c r="WKF97" s="1675" t="s">
        <v>856</v>
      </c>
      <c r="WKG97" s="1675" t="s">
        <v>856</v>
      </c>
      <c r="WKH97" s="1675" t="s">
        <v>856</v>
      </c>
      <c r="WKI97" s="1675" t="s">
        <v>856</v>
      </c>
      <c r="WKJ97" s="1675" t="s">
        <v>856</v>
      </c>
      <c r="WKK97" s="1675" t="s">
        <v>856</v>
      </c>
      <c r="WKL97" s="1675" t="s">
        <v>856</v>
      </c>
      <c r="WKM97" s="1675" t="s">
        <v>856</v>
      </c>
      <c r="WKN97" s="1675" t="s">
        <v>856</v>
      </c>
      <c r="WKO97" s="1675" t="s">
        <v>856</v>
      </c>
      <c r="WKP97" s="1675" t="s">
        <v>856</v>
      </c>
      <c r="WKQ97" s="1675" t="s">
        <v>856</v>
      </c>
      <c r="WKR97" s="1675" t="s">
        <v>856</v>
      </c>
      <c r="WKS97" s="1675" t="s">
        <v>856</v>
      </c>
      <c r="WKT97" s="1675" t="s">
        <v>856</v>
      </c>
      <c r="WKU97" s="1675" t="s">
        <v>856</v>
      </c>
      <c r="WKV97" s="1675" t="s">
        <v>856</v>
      </c>
      <c r="WKW97" s="1675" t="s">
        <v>856</v>
      </c>
      <c r="WKX97" s="1675" t="s">
        <v>856</v>
      </c>
      <c r="WKY97" s="1675" t="s">
        <v>856</v>
      </c>
      <c r="WKZ97" s="1675" t="s">
        <v>856</v>
      </c>
      <c r="WLA97" s="1675" t="s">
        <v>856</v>
      </c>
      <c r="WLB97" s="1675" t="s">
        <v>856</v>
      </c>
      <c r="WLC97" s="1675" t="s">
        <v>856</v>
      </c>
      <c r="WLD97" s="1675" t="s">
        <v>856</v>
      </c>
      <c r="WLE97" s="1675" t="s">
        <v>856</v>
      </c>
      <c r="WLF97" s="1675" t="s">
        <v>856</v>
      </c>
      <c r="WLG97" s="1675" t="s">
        <v>856</v>
      </c>
      <c r="WLH97" s="1675" t="s">
        <v>856</v>
      </c>
      <c r="WLI97" s="1675" t="s">
        <v>856</v>
      </c>
      <c r="WLJ97" s="1675" t="s">
        <v>856</v>
      </c>
      <c r="WLK97" s="1675" t="s">
        <v>856</v>
      </c>
      <c r="WLL97" s="1675" t="s">
        <v>856</v>
      </c>
      <c r="WLM97" s="1675" t="s">
        <v>856</v>
      </c>
      <c r="WLN97" s="1675" t="s">
        <v>856</v>
      </c>
      <c r="WLO97" s="1675" t="s">
        <v>856</v>
      </c>
      <c r="WLP97" s="1675" t="s">
        <v>856</v>
      </c>
      <c r="WLQ97" s="1675" t="s">
        <v>856</v>
      </c>
      <c r="WLR97" s="1675" t="s">
        <v>856</v>
      </c>
      <c r="WLS97" s="1675" t="s">
        <v>856</v>
      </c>
      <c r="WLT97" s="1675" t="s">
        <v>856</v>
      </c>
      <c r="WLU97" s="1675" t="s">
        <v>856</v>
      </c>
      <c r="WLV97" s="1675" t="s">
        <v>856</v>
      </c>
      <c r="WLW97" s="1675" t="s">
        <v>856</v>
      </c>
      <c r="WLX97" s="1675" t="s">
        <v>856</v>
      </c>
      <c r="WLY97" s="1675" t="s">
        <v>856</v>
      </c>
      <c r="WLZ97" s="1675" t="s">
        <v>856</v>
      </c>
      <c r="WMA97" s="1675" t="s">
        <v>856</v>
      </c>
      <c r="WMB97" s="1675" t="s">
        <v>856</v>
      </c>
      <c r="WMC97" s="1675" t="s">
        <v>856</v>
      </c>
      <c r="WMD97" s="1675" t="s">
        <v>856</v>
      </c>
      <c r="WME97" s="1675" t="s">
        <v>856</v>
      </c>
      <c r="WMF97" s="1675" t="s">
        <v>856</v>
      </c>
      <c r="WMG97" s="1675" t="s">
        <v>856</v>
      </c>
      <c r="WMH97" s="1675" t="s">
        <v>856</v>
      </c>
      <c r="WMI97" s="1675" t="s">
        <v>856</v>
      </c>
      <c r="WMJ97" s="1675" t="s">
        <v>856</v>
      </c>
      <c r="WMK97" s="1675" t="s">
        <v>856</v>
      </c>
      <c r="WML97" s="1675" t="s">
        <v>856</v>
      </c>
      <c r="WMM97" s="1675" t="s">
        <v>856</v>
      </c>
      <c r="WMN97" s="1675" t="s">
        <v>856</v>
      </c>
      <c r="WMO97" s="1675" t="s">
        <v>856</v>
      </c>
      <c r="WMP97" s="1675" t="s">
        <v>856</v>
      </c>
      <c r="WMQ97" s="1675" t="s">
        <v>856</v>
      </c>
      <c r="WMR97" s="1675" t="s">
        <v>856</v>
      </c>
      <c r="WMS97" s="1675" t="s">
        <v>856</v>
      </c>
      <c r="WMT97" s="1675" t="s">
        <v>856</v>
      </c>
      <c r="WMU97" s="1675" t="s">
        <v>856</v>
      </c>
      <c r="WMV97" s="1675" t="s">
        <v>856</v>
      </c>
      <c r="WMW97" s="1675" t="s">
        <v>856</v>
      </c>
      <c r="WMX97" s="1675" t="s">
        <v>856</v>
      </c>
      <c r="WMY97" s="1675" t="s">
        <v>856</v>
      </c>
      <c r="WMZ97" s="1675" t="s">
        <v>856</v>
      </c>
      <c r="WNA97" s="1675" t="s">
        <v>856</v>
      </c>
      <c r="WNB97" s="1675" t="s">
        <v>856</v>
      </c>
      <c r="WNC97" s="1675" t="s">
        <v>856</v>
      </c>
      <c r="WND97" s="1675" t="s">
        <v>856</v>
      </c>
      <c r="WNE97" s="1675" t="s">
        <v>856</v>
      </c>
      <c r="WNF97" s="1675" t="s">
        <v>856</v>
      </c>
      <c r="WNG97" s="1675" t="s">
        <v>856</v>
      </c>
      <c r="WNH97" s="1675" t="s">
        <v>856</v>
      </c>
      <c r="WNI97" s="1675" t="s">
        <v>856</v>
      </c>
      <c r="WNJ97" s="1675" t="s">
        <v>856</v>
      </c>
      <c r="WNK97" s="1675" t="s">
        <v>856</v>
      </c>
      <c r="WNL97" s="1675" t="s">
        <v>856</v>
      </c>
      <c r="WNM97" s="1675" t="s">
        <v>856</v>
      </c>
      <c r="WNN97" s="1675" t="s">
        <v>856</v>
      </c>
      <c r="WNO97" s="1675" t="s">
        <v>856</v>
      </c>
      <c r="WNP97" s="1675" t="s">
        <v>856</v>
      </c>
      <c r="WNQ97" s="1675" t="s">
        <v>856</v>
      </c>
      <c r="WNR97" s="1675" t="s">
        <v>856</v>
      </c>
      <c r="WNS97" s="1675" t="s">
        <v>856</v>
      </c>
      <c r="WNT97" s="1675" t="s">
        <v>856</v>
      </c>
      <c r="WNU97" s="1675" t="s">
        <v>856</v>
      </c>
      <c r="WNV97" s="1675" t="s">
        <v>856</v>
      </c>
      <c r="WNW97" s="1675" t="s">
        <v>856</v>
      </c>
      <c r="WNX97" s="1675" t="s">
        <v>856</v>
      </c>
      <c r="WNY97" s="1675" t="s">
        <v>856</v>
      </c>
      <c r="WNZ97" s="1675" t="s">
        <v>856</v>
      </c>
      <c r="WOA97" s="1675" t="s">
        <v>856</v>
      </c>
      <c r="WOB97" s="1675" t="s">
        <v>856</v>
      </c>
      <c r="WOC97" s="1675" t="s">
        <v>856</v>
      </c>
      <c r="WOD97" s="1675" t="s">
        <v>856</v>
      </c>
      <c r="WOE97" s="1675" t="s">
        <v>856</v>
      </c>
      <c r="WOF97" s="1675" t="s">
        <v>856</v>
      </c>
      <c r="WOG97" s="1675" t="s">
        <v>856</v>
      </c>
      <c r="WOH97" s="1675" t="s">
        <v>856</v>
      </c>
      <c r="WOI97" s="1675" t="s">
        <v>856</v>
      </c>
      <c r="WOJ97" s="1675" t="s">
        <v>856</v>
      </c>
      <c r="WOK97" s="1675" t="s">
        <v>856</v>
      </c>
      <c r="WOL97" s="1675" t="s">
        <v>856</v>
      </c>
      <c r="WOM97" s="1675" t="s">
        <v>856</v>
      </c>
      <c r="WON97" s="1675" t="s">
        <v>856</v>
      </c>
      <c r="WOO97" s="1675" t="s">
        <v>856</v>
      </c>
      <c r="WOP97" s="1675" t="s">
        <v>856</v>
      </c>
      <c r="WOQ97" s="1675" t="s">
        <v>856</v>
      </c>
      <c r="WOR97" s="1675" t="s">
        <v>856</v>
      </c>
      <c r="WOS97" s="1675" t="s">
        <v>856</v>
      </c>
      <c r="WOT97" s="1675" t="s">
        <v>856</v>
      </c>
      <c r="WOU97" s="1675" t="s">
        <v>856</v>
      </c>
      <c r="WOV97" s="1675" t="s">
        <v>856</v>
      </c>
      <c r="WOW97" s="1675" t="s">
        <v>856</v>
      </c>
      <c r="WOX97" s="1675" t="s">
        <v>856</v>
      </c>
      <c r="WOY97" s="1675" t="s">
        <v>856</v>
      </c>
      <c r="WOZ97" s="1675" t="s">
        <v>856</v>
      </c>
      <c r="WPA97" s="1675" t="s">
        <v>856</v>
      </c>
      <c r="WPB97" s="1675" t="s">
        <v>856</v>
      </c>
      <c r="WPC97" s="1675" t="s">
        <v>856</v>
      </c>
      <c r="WPD97" s="1675" t="s">
        <v>856</v>
      </c>
      <c r="WPE97" s="1675" t="s">
        <v>856</v>
      </c>
      <c r="WPF97" s="1675" t="s">
        <v>856</v>
      </c>
      <c r="WPG97" s="1675" t="s">
        <v>856</v>
      </c>
      <c r="WPH97" s="1675" t="s">
        <v>856</v>
      </c>
      <c r="WPI97" s="1675" t="s">
        <v>856</v>
      </c>
      <c r="WPJ97" s="1675" t="s">
        <v>856</v>
      </c>
      <c r="WPK97" s="1675" t="s">
        <v>856</v>
      </c>
      <c r="WPL97" s="1675" t="s">
        <v>856</v>
      </c>
      <c r="WPM97" s="1675" t="s">
        <v>856</v>
      </c>
      <c r="WPN97" s="1675" t="s">
        <v>856</v>
      </c>
      <c r="WPO97" s="1675" t="s">
        <v>856</v>
      </c>
      <c r="WPP97" s="1675" t="s">
        <v>856</v>
      </c>
      <c r="WPQ97" s="1675" t="s">
        <v>856</v>
      </c>
      <c r="WPR97" s="1675" t="s">
        <v>856</v>
      </c>
      <c r="WPS97" s="1675" t="s">
        <v>856</v>
      </c>
      <c r="WPT97" s="1675" t="s">
        <v>856</v>
      </c>
      <c r="WPU97" s="1675" t="s">
        <v>856</v>
      </c>
      <c r="WPV97" s="1675" t="s">
        <v>856</v>
      </c>
      <c r="WPW97" s="1675" t="s">
        <v>856</v>
      </c>
      <c r="WPX97" s="1675" t="s">
        <v>856</v>
      </c>
      <c r="WPY97" s="1675" t="s">
        <v>856</v>
      </c>
      <c r="WPZ97" s="1675" t="s">
        <v>856</v>
      </c>
      <c r="WQA97" s="1675" t="s">
        <v>856</v>
      </c>
      <c r="WQB97" s="1675" t="s">
        <v>856</v>
      </c>
      <c r="WQC97" s="1675" t="s">
        <v>856</v>
      </c>
      <c r="WQD97" s="1675" t="s">
        <v>856</v>
      </c>
      <c r="WQE97" s="1675" t="s">
        <v>856</v>
      </c>
      <c r="WQF97" s="1675" t="s">
        <v>856</v>
      </c>
      <c r="WQG97" s="1675" t="s">
        <v>856</v>
      </c>
      <c r="WQH97" s="1675" t="s">
        <v>856</v>
      </c>
      <c r="WQI97" s="1675" t="s">
        <v>856</v>
      </c>
      <c r="WQJ97" s="1675" t="s">
        <v>856</v>
      </c>
      <c r="WQK97" s="1675" t="s">
        <v>856</v>
      </c>
      <c r="WQL97" s="1675" t="s">
        <v>856</v>
      </c>
      <c r="WQM97" s="1675" t="s">
        <v>856</v>
      </c>
      <c r="WQN97" s="1675" t="s">
        <v>856</v>
      </c>
      <c r="WQO97" s="1675" t="s">
        <v>856</v>
      </c>
      <c r="WQP97" s="1675" t="s">
        <v>856</v>
      </c>
      <c r="WQQ97" s="1675" t="s">
        <v>856</v>
      </c>
      <c r="WQR97" s="1675" t="s">
        <v>856</v>
      </c>
      <c r="WQS97" s="1675" t="s">
        <v>856</v>
      </c>
      <c r="WQT97" s="1675" t="s">
        <v>856</v>
      </c>
      <c r="WQU97" s="1675" t="s">
        <v>856</v>
      </c>
      <c r="WQV97" s="1675" t="s">
        <v>856</v>
      </c>
      <c r="WQW97" s="1675" t="s">
        <v>856</v>
      </c>
      <c r="WQX97" s="1675" t="s">
        <v>856</v>
      </c>
      <c r="WQY97" s="1675" t="s">
        <v>856</v>
      </c>
      <c r="WQZ97" s="1675" t="s">
        <v>856</v>
      </c>
      <c r="WRA97" s="1675" t="s">
        <v>856</v>
      </c>
      <c r="WRB97" s="1675" t="s">
        <v>856</v>
      </c>
      <c r="WRC97" s="1675" t="s">
        <v>856</v>
      </c>
      <c r="WRD97" s="1675" t="s">
        <v>856</v>
      </c>
      <c r="WRE97" s="1675" t="s">
        <v>856</v>
      </c>
      <c r="WRF97" s="1675" t="s">
        <v>856</v>
      </c>
      <c r="WRG97" s="1675" t="s">
        <v>856</v>
      </c>
      <c r="WRH97" s="1675" t="s">
        <v>856</v>
      </c>
      <c r="WRI97" s="1675" t="s">
        <v>856</v>
      </c>
      <c r="WRJ97" s="1675" t="s">
        <v>856</v>
      </c>
      <c r="WRK97" s="1675" t="s">
        <v>856</v>
      </c>
      <c r="WRL97" s="1675" t="s">
        <v>856</v>
      </c>
      <c r="WRM97" s="1675" t="s">
        <v>856</v>
      </c>
      <c r="WRN97" s="1675" t="s">
        <v>856</v>
      </c>
      <c r="WRO97" s="1675" t="s">
        <v>856</v>
      </c>
      <c r="WRP97" s="1675" t="s">
        <v>856</v>
      </c>
      <c r="WRQ97" s="1675" t="s">
        <v>856</v>
      </c>
      <c r="WRR97" s="1675" t="s">
        <v>856</v>
      </c>
      <c r="WRS97" s="1675" t="s">
        <v>856</v>
      </c>
      <c r="WRT97" s="1675" t="s">
        <v>856</v>
      </c>
      <c r="WRU97" s="1675" t="s">
        <v>856</v>
      </c>
      <c r="WRV97" s="1675" t="s">
        <v>856</v>
      </c>
      <c r="WRW97" s="1675" t="s">
        <v>856</v>
      </c>
      <c r="WRX97" s="1675" t="s">
        <v>856</v>
      </c>
      <c r="WRY97" s="1675" t="s">
        <v>856</v>
      </c>
      <c r="WRZ97" s="1675" t="s">
        <v>856</v>
      </c>
      <c r="WSA97" s="1675" t="s">
        <v>856</v>
      </c>
      <c r="WSB97" s="1675" t="s">
        <v>856</v>
      </c>
      <c r="WSC97" s="1675" t="s">
        <v>856</v>
      </c>
      <c r="WSD97" s="1675" t="s">
        <v>856</v>
      </c>
      <c r="WSE97" s="1675" t="s">
        <v>856</v>
      </c>
      <c r="WSF97" s="1675" t="s">
        <v>856</v>
      </c>
      <c r="WSG97" s="1675" t="s">
        <v>856</v>
      </c>
      <c r="WSH97" s="1675" t="s">
        <v>856</v>
      </c>
      <c r="WSI97" s="1675" t="s">
        <v>856</v>
      </c>
      <c r="WSJ97" s="1675" t="s">
        <v>856</v>
      </c>
      <c r="WSK97" s="1675" t="s">
        <v>856</v>
      </c>
      <c r="WSL97" s="1675" t="s">
        <v>856</v>
      </c>
      <c r="WSM97" s="1675" t="s">
        <v>856</v>
      </c>
      <c r="WSN97" s="1675" t="s">
        <v>856</v>
      </c>
      <c r="WSO97" s="1675" t="s">
        <v>856</v>
      </c>
      <c r="WSP97" s="1675" t="s">
        <v>856</v>
      </c>
      <c r="WSQ97" s="1675" t="s">
        <v>856</v>
      </c>
      <c r="WSR97" s="1675" t="s">
        <v>856</v>
      </c>
      <c r="WSS97" s="1675" t="s">
        <v>856</v>
      </c>
      <c r="WST97" s="1675" t="s">
        <v>856</v>
      </c>
      <c r="WSU97" s="1675" t="s">
        <v>856</v>
      </c>
      <c r="WSV97" s="1675" t="s">
        <v>856</v>
      </c>
      <c r="WSW97" s="1675" t="s">
        <v>856</v>
      </c>
      <c r="WSX97" s="1675" t="s">
        <v>856</v>
      </c>
      <c r="WSY97" s="1675" t="s">
        <v>856</v>
      </c>
      <c r="WSZ97" s="1675" t="s">
        <v>856</v>
      </c>
      <c r="WTA97" s="1675" t="s">
        <v>856</v>
      </c>
      <c r="WTB97" s="1675" t="s">
        <v>856</v>
      </c>
      <c r="WTC97" s="1675" t="s">
        <v>856</v>
      </c>
      <c r="WTD97" s="1675" t="s">
        <v>856</v>
      </c>
      <c r="WTE97" s="1675" t="s">
        <v>856</v>
      </c>
      <c r="WTF97" s="1675" t="s">
        <v>856</v>
      </c>
      <c r="WTG97" s="1675" t="s">
        <v>856</v>
      </c>
      <c r="WTH97" s="1675" t="s">
        <v>856</v>
      </c>
      <c r="WTI97" s="1675" t="s">
        <v>856</v>
      </c>
      <c r="WTJ97" s="1675" t="s">
        <v>856</v>
      </c>
      <c r="WTK97" s="1675" t="s">
        <v>856</v>
      </c>
      <c r="WTL97" s="1675" t="s">
        <v>856</v>
      </c>
      <c r="WTM97" s="1675" t="s">
        <v>856</v>
      </c>
      <c r="WTN97" s="1675" t="s">
        <v>856</v>
      </c>
      <c r="WTO97" s="1675" t="s">
        <v>856</v>
      </c>
      <c r="WTP97" s="1675" t="s">
        <v>856</v>
      </c>
      <c r="WTQ97" s="1675" t="s">
        <v>856</v>
      </c>
      <c r="WTR97" s="1675" t="s">
        <v>856</v>
      </c>
      <c r="WTS97" s="1675" t="s">
        <v>856</v>
      </c>
      <c r="WTT97" s="1675" t="s">
        <v>856</v>
      </c>
      <c r="WTU97" s="1675" t="s">
        <v>856</v>
      </c>
      <c r="WTV97" s="1675" t="s">
        <v>856</v>
      </c>
      <c r="WTW97" s="1675" t="s">
        <v>856</v>
      </c>
      <c r="WTX97" s="1675" t="s">
        <v>856</v>
      </c>
      <c r="WTY97" s="1675" t="s">
        <v>856</v>
      </c>
      <c r="WTZ97" s="1675" t="s">
        <v>856</v>
      </c>
      <c r="WUA97" s="1675" t="s">
        <v>856</v>
      </c>
      <c r="WUB97" s="1675" t="s">
        <v>856</v>
      </c>
      <c r="WUC97" s="1675" t="s">
        <v>856</v>
      </c>
      <c r="WUD97" s="1675" t="s">
        <v>856</v>
      </c>
      <c r="WUE97" s="1675" t="s">
        <v>856</v>
      </c>
      <c r="WUF97" s="1675" t="s">
        <v>856</v>
      </c>
      <c r="WUG97" s="1675" t="s">
        <v>856</v>
      </c>
      <c r="WUH97" s="1675" t="s">
        <v>856</v>
      </c>
      <c r="WUI97" s="1675" t="s">
        <v>856</v>
      </c>
      <c r="WUJ97" s="1675" t="s">
        <v>856</v>
      </c>
      <c r="WUK97" s="1675" t="s">
        <v>856</v>
      </c>
      <c r="WUL97" s="1675" t="s">
        <v>856</v>
      </c>
      <c r="WUM97" s="1675" t="s">
        <v>856</v>
      </c>
      <c r="WUN97" s="1675" t="s">
        <v>856</v>
      </c>
      <c r="WUO97" s="1675" t="s">
        <v>856</v>
      </c>
      <c r="WUP97" s="1675" t="s">
        <v>856</v>
      </c>
      <c r="WUQ97" s="1675" t="s">
        <v>856</v>
      </c>
      <c r="WUR97" s="1675" t="s">
        <v>856</v>
      </c>
      <c r="WUS97" s="1675" t="s">
        <v>856</v>
      </c>
      <c r="WUT97" s="1675" t="s">
        <v>856</v>
      </c>
      <c r="WUU97" s="1675" t="s">
        <v>856</v>
      </c>
      <c r="WUV97" s="1675" t="s">
        <v>856</v>
      </c>
      <c r="WUW97" s="1675" t="s">
        <v>856</v>
      </c>
      <c r="WUX97" s="1675" t="s">
        <v>856</v>
      </c>
      <c r="WUY97" s="1675" t="s">
        <v>856</v>
      </c>
      <c r="WUZ97" s="1675" t="s">
        <v>856</v>
      </c>
      <c r="WVA97" s="1675" t="s">
        <v>856</v>
      </c>
      <c r="WVB97" s="1675" t="s">
        <v>856</v>
      </c>
      <c r="WVC97" s="1675" t="s">
        <v>856</v>
      </c>
      <c r="WVD97" s="1675" t="s">
        <v>856</v>
      </c>
      <c r="WVE97" s="1675" t="s">
        <v>856</v>
      </c>
      <c r="WVF97" s="1675" t="s">
        <v>856</v>
      </c>
      <c r="WVG97" s="1675" t="s">
        <v>856</v>
      </c>
      <c r="WVH97" s="1675" t="s">
        <v>856</v>
      </c>
      <c r="WVI97" s="1675" t="s">
        <v>856</v>
      </c>
      <c r="WVJ97" s="1675" t="s">
        <v>856</v>
      </c>
      <c r="WVK97" s="1675" t="s">
        <v>856</v>
      </c>
      <c r="WVL97" s="1675" t="s">
        <v>856</v>
      </c>
      <c r="WVM97" s="1675" t="s">
        <v>856</v>
      </c>
      <c r="WVN97" s="1675" t="s">
        <v>856</v>
      </c>
      <c r="WVO97" s="1675" t="s">
        <v>856</v>
      </c>
      <c r="WVP97" s="1675" t="s">
        <v>856</v>
      </c>
      <c r="WVQ97" s="1675" t="s">
        <v>856</v>
      </c>
      <c r="WVR97" s="1675" t="s">
        <v>856</v>
      </c>
      <c r="WVS97" s="1675" t="s">
        <v>856</v>
      </c>
      <c r="WVT97" s="1675" t="s">
        <v>856</v>
      </c>
      <c r="WVU97" s="1675" t="s">
        <v>856</v>
      </c>
      <c r="WVV97" s="1675" t="s">
        <v>856</v>
      </c>
      <c r="WVW97" s="1675" t="s">
        <v>856</v>
      </c>
      <c r="WVX97" s="1675" t="s">
        <v>856</v>
      </c>
      <c r="WVY97" s="1675" t="s">
        <v>856</v>
      </c>
      <c r="WVZ97" s="1675" t="s">
        <v>856</v>
      </c>
      <c r="WWA97" s="1675" t="s">
        <v>856</v>
      </c>
      <c r="WWB97" s="1675" t="s">
        <v>856</v>
      </c>
      <c r="WWC97" s="1675" t="s">
        <v>856</v>
      </c>
      <c r="WWD97" s="1675" t="s">
        <v>856</v>
      </c>
      <c r="WWE97" s="1675" t="s">
        <v>856</v>
      </c>
      <c r="WWF97" s="1675" t="s">
        <v>856</v>
      </c>
      <c r="WWG97" s="1675" t="s">
        <v>856</v>
      </c>
      <c r="WWH97" s="1675" t="s">
        <v>856</v>
      </c>
      <c r="WWI97" s="1675" t="s">
        <v>856</v>
      </c>
      <c r="WWJ97" s="1675" t="s">
        <v>856</v>
      </c>
      <c r="WWK97" s="1675" t="s">
        <v>856</v>
      </c>
      <c r="WWL97" s="1675" t="s">
        <v>856</v>
      </c>
      <c r="WWM97" s="1675" t="s">
        <v>856</v>
      </c>
      <c r="WWN97" s="1675" t="s">
        <v>856</v>
      </c>
      <c r="WWO97" s="1675" t="s">
        <v>856</v>
      </c>
      <c r="WWP97" s="1675" t="s">
        <v>856</v>
      </c>
      <c r="WWQ97" s="1675" t="s">
        <v>856</v>
      </c>
      <c r="WWR97" s="1675" t="s">
        <v>856</v>
      </c>
      <c r="WWS97" s="1675" t="s">
        <v>856</v>
      </c>
      <c r="WWT97" s="1675" t="s">
        <v>856</v>
      </c>
      <c r="WWU97" s="1675" t="s">
        <v>856</v>
      </c>
      <c r="WWV97" s="1675" t="s">
        <v>856</v>
      </c>
      <c r="WWW97" s="1675" t="s">
        <v>856</v>
      </c>
      <c r="WWX97" s="1675" t="s">
        <v>856</v>
      </c>
      <c r="WWY97" s="1675" t="s">
        <v>856</v>
      </c>
      <c r="WWZ97" s="1675" t="s">
        <v>856</v>
      </c>
      <c r="WXA97" s="1675" t="s">
        <v>856</v>
      </c>
      <c r="WXB97" s="1675" t="s">
        <v>856</v>
      </c>
      <c r="WXC97" s="1675" t="s">
        <v>856</v>
      </c>
      <c r="WXD97" s="1675" t="s">
        <v>856</v>
      </c>
      <c r="WXE97" s="1675" t="s">
        <v>856</v>
      </c>
      <c r="WXF97" s="1675" t="s">
        <v>856</v>
      </c>
      <c r="WXG97" s="1675" t="s">
        <v>856</v>
      </c>
      <c r="WXH97" s="1675" t="s">
        <v>856</v>
      </c>
      <c r="WXI97" s="1675" t="s">
        <v>856</v>
      </c>
      <c r="WXJ97" s="1675" t="s">
        <v>856</v>
      </c>
      <c r="WXK97" s="1675" t="s">
        <v>856</v>
      </c>
      <c r="WXL97" s="1675" t="s">
        <v>856</v>
      </c>
      <c r="WXM97" s="1675" t="s">
        <v>856</v>
      </c>
      <c r="WXN97" s="1675" t="s">
        <v>856</v>
      </c>
      <c r="WXO97" s="1675" t="s">
        <v>856</v>
      </c>
      <c r="WXP97" s="1675" t="s">
        <v>856</v>
      </c>
      <c r="WXQ97" s="1675" t="s">
        <v>856</v>
      </c>
      <c r="WXR97" s="1675" t="s">
        <v>856</v>
      </c>
      <c r="WXS97" s="1675" t="s">
        <v>856</v>
      </c>
      <c r="WXT97" s="1675" t="s">
        <v>856</v>
      </c>
      <c r="WXU97" s="1675" t="s">
        <v>856</v>
      </c>
      <c r="WXV97" s="1675" t="s">
        <v>856</v>
      </c>
      <c r="WXW97" s="1675" t="s">
        <v>856</v>
      </c>
      <c r="WXX97" s="1675" t="s">
        <v>856</v>
      </c>
      <c r="WXY97" s="1675" t="s">
        <v>856</v>
      </c>
      <c r="WXZ97" s="1675" t="s">
        <v>856</v>
      </c>
      <c r="WYA97" s="1675" t="s">
        <v>856</v>
      </c>
      <c r="WYB97" s="1675" t="s">
        <v>856</v>
      </c>
      <c r="WYC97" s="1675" t="s">
        <v>856</v>
      </c>
      <c r="WYD97" s="1675" t="s">
        <v>856</v>
      </c>
      <c r="WYE97" s="1675" t="s">
        <v>856</v>
      </c>
      <c r="WYF97" s="1675" t="s">
        <v>856</v>
      </c>
      <c r="WYG97" s="1675" t="s">
        <v>856</v>
      </c>
      <c r="WYH97" s="1675" t="s">
        <v>856</v>
      </c>
      <c r="WYI97" s="1675" t="s">
        <v>856</v>
      </c>
      <c r="WYJ97" s="1675" t="s">
        <v>856</v>
      </c>
      <c r="WYK97" s="1675" t="s">
        <v>856</v>
      </c>
      <c r="WYL97" s="1675" t="s">
        <v>856</v>
      </c>
      <c r="WYM97" s="1675" t="s">
        <v>856</v>
      </c>
      <c r="WYN97" s="1675" t="s">
        <v>856</v>
      </c>
      <c r="WYO97" s="1675" t="s">
        <v>856</v>
      </c>
      <c r="WYP97" s="1675" t="s">
        <v>856</v>
      </c>
      <c r="WYQ97" s="1675" t="s">
        <v>856</v>
      </c>
      <c r="WYR97" s="1675" t="s">
        <v>856</v>
      </c>
      <c r="WYS97" s="1675" t="s">
        <v>856</v>
      </c>
      <c r="WYT97" s="1675" t="s">
        <v>856</v>
      </c>
      <c r="WYU97" s="1675" t="s">
        <v>856</v>
      </c>
      <c r="WYV97" s="1675" t="s">
        <v>856</v>
      </c>
      <c r="WYW97" s="1675" t="s">
        <v>856</v>
      </c>
      <c r="WYX97" s="1675" t="s">
        <v>856</v>
      </c>
      <c r="WYY97" s="1675" t="s">
        <v>856</v>
      </c>
      <c r="WYZ97" s="1675" t="s">
        <v>856</v>
      </c>
      <c r="WZA97" s="1675" t="s">
        <v>856</v>
      </c>
      <c r="WZB97" s="1675" t="s">
        <v>856</v>
      </c>
      <c r="WZC97" s="1675" t="s">
        <v>856</v>
      </c>
      <c r="WZD97" s="1675" t="s">
        <v>856</v>
      </c>
      <c r="WZE97" s="1675" t="s">
        <v>856</v>
      </c>
      <c r="WZF97" s="1675" t="s">
        <v>856</v>
      </c>
      <c r="WZG97" s="1675" t="s">
        <v>856</v>
      </c>
      <c r="WZH97" s="1675" t="s">
        <v>856</v>
      </c>
      <c r="WZI97" s="1675" t="s">
        <v>856</v>
      </c>
      <c r="WZJ97" s="1675" t="s">
        <v>856</v>
      </c>
      <c r="WZK97" s="1675" t="s">
        <v>856</v>
      </c>
      <c r="WZL97" s="1675" t="s">
        <v>856</v>
      </c>
      <c r="WZM97" s="1675" t="s">
        <v>856</v>
      </c>
      <c r="WZN97" s="1675" t="s">
        <v>856</v>
      </c>
      <c r="WZO97" s="1675" t="s">
        <v>856</v>
      </c>
      <c r="WZP97" s="1675" t="s">
        <v>856</v>
      </c>
      <c r="WZQ97" s="1675" t="s">
        <v>856</v>
      </c>
      <c r="WZR97" s="1675" t="s">
        <v>856</v>
      </c>
      <c r="WZS97" s="1675" t="s">
        <v>856</v>
      </c>
      <c r="WZT97" s="1675" t="s">
        <v>856</v>
      </c>
      <c r="WZU97" s="1675" t="s">
        <v>856</v>
      </c>
      <c r="WZV97" s="1675" t="s">
        <v>856</v>
      </c>
      <c r="WZW97" s="1675" t="s">
        <v>856</v>
      </c>
      <c r="WZX97" s="1675" t="s">
        <v>856</v>
      </c>
      <c r="WZY97" s="1675" t="s">
        <v>856</v>
      </c>
      <c r="WZZ97" s="1675" t="s">
        <v>856</v>
      </c>
      <c r="XAA97" s="1675" t="s">
        <v>856</v>
      </c>
      <c r="XAB97" s="1675" t="s">
        <v>856</v>
      </c>
      <c r="XAC97" s="1675" t="s">
        <v>856</v>
      </c>
      <c r="XAD97" s="1675" t="s">
        <v>856</v>
      </c>
      <c r="XAE97" s="1675" t="s">
        <v>856</v>
      </c>
      <c r="XAF97" s="1675" t="s">
        <v>856</v>
      </c>
      <c r="XAG97" s="1675" t="s">
        <v>856</v>
      </c>
      <c r="XAH97" s="1675" t="s">
        <v>856</v>
      </c>
      <c r="XAI97" s="1675" t="s">
        <v>856</v>
      </c>
      <c r="XAJ97" s="1675" t="s">
        <v>856</v>
      </c>
      <c r="XAK97" s="1675" t="s">
        <v>856</v>
      </c>
      <c r="XAL97" s="1675" t="s">
        <v>856</v>
      </c>
      <c r="XAM97" s="1675" t="s">
        <v>856</v>
      </c>
      <c r="XAN97" s="1675" t="s">
        <v>856</v>
      </c>
      <c r="XAO97" s="1675" t="s">
        <v>856</v>
      </c>
      <c r="XAP97" s="1675" t="s">
        <v>856</v>
      </c>
      <c r="XAQ97" s="1675" t="s">
        <v>856</v>
      </c>
      <c r="XAR97" s="1675" t="s">
        <v>856</v>
      </c>
      <c r="XAS97" s="1675" t="s">
        <v>856</v>
      </c>
      <c r="XAT97" s="1675" t="s">
        <v>856</v>
      </c>
      <c r="XAU97" s="1675" t="s">
        <v>856</v>
      </c>
      <c r="XAV97" s="1675" t="s">
        <v>856</v>
      </c>
      <c r="XAW97" s="1675" t="s">
        <v>856</v>
      </c>
      <c r="XAX97" s="1675" t="s">
        <v>856</v>
      </c>
      <c r="XAY97" s="1675" t="s">
        <v>856</v>
      </c>
      <c r="XAZ97" s="1675" t="s">
        <v>856</v>
      </c>
      <c r="XBA97" s="1675" t="s">
        <v>856</v>
      </c>
      <c r="XBB97" s="1675" t="s">
        <v>856</v>
      </c>
      <c r="XBC97" s="1675" t="s">
        <v>856</v>
      </c>
      <c r="XBD97" s="1675" t="s">
        <v>856</v>
      </c>
      <c r="XBE97" s="1675" t="s">
        <v>856</v>
      </c>
      <c r="XBF97" s="1675" t="s">
        <v>856</v>
      </c>
      <c r="XBG97" s="1675" t="s">
        <v>856</v>
      </c>
      <c r="XBH97" s="1675" t="s">
        <v>856</v>
      </c>
      <c r="XBI97" s="1675" t="s">
        <v>856</v>
      </c>
      <c r="XBJ97" s="1675" t="s">
        <v>856</v>
      </c>
      <c r="XBK97" s="1675" t="s">
        <v>856</v>
      </c>
      <c r="XBL97" s="1675" t="s">
        <v>856</v>
      </c>
      <c r="XBM97" s="1675" t="s">
        <v>856</v>
      </c>
      <c r="XBN97" s="1675" t="s">
        <v>856</v>
      </c>
      <c r="XBO97" s="1675" t="s">
        <v>856</v>
      </c>
      <c r="XBP97" s="1675" t="s">
        <v>856</v>
      </c>
      <c r="XBQ97" s="1675" t="s">
        <v>856</v>
      </c>
      <c r="XBR97" s="1675" t="s">
        <v>856</v>
      </c>
      <c r="XBS97" s="1675" t="s">
        <v>856</v>
      </c>
      <c r="XBT97" s="1675" t="s">
        <v>856</v>
      </c>
      <c r="XBU97" s="1675" t="s">
        <v>856</v>
      </c>
      <c r="XBV97" s="1675" t="s">
        <v>856</v>
      </c>
      <c r="XBW97" s="1675" t="s">
        <v>856</v>
      </c>
      <c r="XBX97" s="1675" t="s">
        <v>856</v>
      </c>
      <c r="XBY97" s="1675" t="s">
        <v>856</v>
      </c>
      <c r="XBZ97" s="1675" t="s">
        <v>856</v>
      </c>
      <c r="XCA97" s="1675" t="s">
        <v>856</v>
      </c>
      <c r="XCB97" s="1675" t="s">
        <v>856</v>
      </c>
      <c r="XCC97" s="1675" t="s">
        <v>856</v>
      </c>
      <c r="XCD97" s="1675" t="s">
        <v>856</v>
      </c>
      <c r="XCE97" s="1675" t="s">
        <v>856</v>
      </c>
      <c r="XCF97" s="1675" t="s">
        <v>856</v>
      </c>
      <c r="XCG97" s="1675" t="s">
        <v>856</v>
      </c>
      <c r="XCH97" s="1675" t="s">
        <v>856</v>
      </c>
      <c r="XCI97" s="1675" t="s">
        <v>856</v>
      </c>
      <c r="XCJ97" s="1675" t="s">
        <v>856</v>
      </c>
      <c r="XCK97" s="1675" t="s">
        <v>856</v>
      </c>
      <c r="XCL97" s="1675" t="s">
        <v>856</v>
      </c>
      <c r="XCM97" s="1675" t="s">
        <v>856</v>
      </c>
      <c r="XCN97" s="1675" t="s">
        <v>856</v>
      </c>
      <c r="XCO97" s="1675" t="s">
        <v>856</v>
      </c>
      <c r="XCP97" s="1675" t="s">
        <v>856</v>
      </c>
      <c r="XCQ97" s="1675" t="s">
        <v>856</v>
      </c>
      <c r="XCR97" s="1675" t="s">
        <v>856</v>
      </c>
      <c r="XCS97" s="1675" t="s">
        <v>856</v>
      </c>
      <c r="XCT97" s="1675" t="s">
        <v>856</v>
      </c>
      <c r="XCU97" s="1675" t="s">
        <v>856</v>
      </c>
      <c r="XCV97" s="1675" t="s">
        <v>856</v>
      </c>
      <c r="XCW97" s="1675" t="s">
        <v>856</v>
      </c>
      <c r="XCX97" s="1675" t="s">
        <v>856</v>
      </c>
      <c r="XCY97" s="1675" t="s">
        <v>856</v>
      </c>
      <c r="XCZ97" s="1675" t="s">
        <v>856</v>
      </c>
      <c r="XDA97" s="1675" t="s">
        <v>856</v>
      </c>
      <c r="XDB97" s="1675" t="s">
        <v>856</v>
      </c>
      <c r="XDC97" s="1675" t="s">
        <v>856</v>
      </c>
      <c r="XDD97" s="1675" t="s">
        <v>856</v>
      </c>
      <c r="XDE97" s="1675" t="s">
        <v>856</v>
      </c>
      <c r="XDF97" s="1675" t="s">
        <v>856</v>
      </c>
      <c r="XDG97" s="1675" t="s">
        <v>856</v>
      </c>
      <c r="XDH97" s="1675" t="s">
        <v>856</v>
      </c>
      <c r="XDI97" s="1675" t="s">
        <v>856</v>
      </c>
      <c r="XDJ97" s="1675" t="s">
        <v>856</v>
      </c>
      <c r="XDK97" s="1675" t="s">
        <v>856</v>
      </c>
      <c r="XDL97" s="1675" t="s">
        <v>856</v>
      </c>
      <c r="XDM97" s="1675" t="s">
        <v>856</v>
      </c>
      <c r="XDN97" s="1675" t="s">
        <v>856</v>
      </c>
      <c r="XDO97" s="1675" t="s">
        <v>856</v>
      </c>
      <c r="XDP97" s="1675" t="s">
        <v>856</v>
      </c>
      <c r="XDQ97" s="1675" t="s">
        <v>856</v>
      </c>
      <c r="XDR97" s="1675" t="s">
        <v>856</v>
      </c>
      <c r="XDS97" s="1675" t="s">
        <v>856</v>
      </c>
      <c r="XDT97" s="1675" t="s">
        <v>856</v>
      </c>
      <c r="XDU97" s="1675" t="s">
        <v>856</v>
      </c>
      <c r="XDV97" s="1675" t="s">
        <v>856</v>
      </c>
      <c r="XDW97" s="1675" t="s">
        <v>856</v>
      </c>
      <c r="XDX97" s="1675" t="s">
        <v>856</v>
      </c>
      <c r="XDY97" s="1675" t="s">
        <v>856</v>
      </c>
      <c r="XDZ97" s="1675" t="s">
        <v>856</v>
      </c>
      <c r="XEA97" s="1675" t="s">
        <v>856</v>
      </c>
      <c r="XEB97" s="1675" t="s">
        <v>856</v>
      </c>
      <c r="XEC97" s="1675" t="s">
        <v>856</v>
      </c>
      <c r="XED97" s="1675" t="s">
        <v>856</v>
      </c>
      <c r="XEE97" s="1675" t="s">
        <v>856</v>
      </c>
      <c r="XEF97" s="1675" t="s">
        <v>856</v>
      </c>
      <c r="XEG97" s="1675" t="s">
        <v>856</v>
      </c>
      <c r="XEH97" s="1675" t="s">
        <v>856</v>
      </c>
      <c r="XEI97" s="1675" t="s">
        <v>856</v>
      </c>
      <c r="XEJ97" s="1675" t="s">
        <v>856</v>
      </c>
      <c r="XEK97" s="1675" t="s">
        <v>856</v>
      </c>
      <c r="XEL97" s="1675" t="s">
        <v>856</v>
      </c>
      <c r="XEM97" s="1675" t="s">
        <v>856</v>
      </c>
      <c r="XEN97" s="1675" t="s">
        <v>856</v>
      </c>
      <c r="XEO97" s="1675" t="s">
        <v>856</v>
      </c>
      <c r="XEP97" s="1675" t="s">
        <v>856</v>
      </c>
      <c r="XEQ97" s="1675" t="s">
        <v>856</v>
      </c>
      <c r="XER97" s="1675" t="s">
        <v>856</v>
      </c>
      <c r="XES97" s="1675" t="s">
        <v>856</v>
      </c>
      <c r="XET97" s="1675" t="s">
        <v>856</v>
      </c>
      <c r="XEU97" s="1675" t="s">
        <v>856</v>
      </c>
      <c r="XEV97" s="1675" t="s">
        <v>856</v>
      </c>
      <c r="XEW97" s="1675" t="s">
        <v>856</v>
      </c>
      <c r="XEX97" s="1675" t="s">
        <v>856</v>
      </c>
      <c r="XEY97" s="1675" t="s">
        <v>856</v>
      </c>
      <c r="XEZ97" s="1675" t="s">
        <v>856</v>
      </c>
      <c r="XFA97" s="1675" t="s">
        <v>856</v>
      </c>
      <c r="XFB97" s="1675" t="s">
        <v>856</v>
      </c>
      <c r="XFC97" s="1675" t="s">
        <v>856</v>
      </c>
      <c r="XFD97" s="1675" t="s">
        <v>856</v>
      </c>
    </row>
    <row r="98" spans="1:16384">
      <c r="A98" s="1673" t="s">
        <v>863</v>
      </c>
    </row>
    <row r="99" spans="1:16384">
      <c r="A99" s="1673" t="s">
        <v>864</v>
      </c>
    </row>
    <row r="100" spans="1:16384">
      <c r="A100" s="1673" t="s">
        <v>865</v>
      </c>
    </row>
    <row r="101" spans="1:16384">
      <c r="A101" s="1673" t="s">
        <v>866</v>
      </c>
    </row>
    <row r="102" spans="1:16384">
      <c r="A102" s="1673" t="s">
        <v>867</v>
      </c>
    </row>
    <row r="103" spans="1:16384">
      <c r="A103" s="1673" t="s">
        <v>868</v>
      </c>
    </row>
    <row r="104" spans="1:16384">
      <c r="A104" s="1673" t="s">
        <v>869</v>
      </c>
    </row>
    <row r="105" spans="1:16384">
      <c r="A105" s="1673" t="s">
        <v>870</v>
      </c>
    </row>
    <row r="106" spans="1:16384">
      <c r="A106" s="1673" t="s">
        <v>871</v>
      </c>
    </row>
    <row r="107" spans="1:16384">
      <c r="A107" s="1673" t="s">
        <v>872</v>
      </c>
    </row>
    <row r="108" spans="1:16384">
      <c r="A108" s="1675"/>
    </row>
    <row r="109" spans="1:16384">
      <c r="A109" s="1672" t="s">
        <v>873</v>
      </c>
    </row>
    <row r="110" spans="1:16384" ht="4.5" customHeight="1">
      <c r="A110" s="1672"/>
    </row>
    <row r="111" spans="1:16384">
      <c r="A111" s="1673" t="s">
        <v>874</v>
      </c>
    </row>
    <row r="112" spans="1:16384">
      <c r="A112" s="1673" t="s">
        <v>875</v>
      </c>
    </row>
    <row r="113" spans="1:1">
      <c r="A113" s="1673" t="s">
        <v>876</v>
      </c>
    </row>
    <row r="114" spans="1:1">
      <c r="A114" s="1673" t="s">
        <v>877</v>
      </c>
    </row>
    <row r="115" spans="1:1">
      <c r="A115" s="1673" t="s">
        <v>878</v>
      </c>
    </row>
    <row r="116" spans="1:1">
      <c r="A116" s="1673" t="s">
        <v>879</v>
      </c>
    </row>
    <row r="117" spans="1:1">
      <c r="A117" s="1673" t="s">
        <v>880</v>
      </c>
    </row>
    <row r="118" spans="1:1">
      <c r="A118" s="1673" t="s">
        <v>881</v>
      </c>
    </row>
    <row r="119" spans="1:1">
      <c r="A119" s="1673" t="s">
        <v>882</v>
      </c>
    </row>
    <row r="120" spans="1:1" ht="16.5" customHeight="1">
      <c r="A120" s="1675"/>
    </row>
    <row r="121" spans="1:1">
      <c r="A121" s="1672" t="s">
        <v>883</v>
      </c>
    </row>
    <row r="122" spans="1:1" ht="4.5" customHeight="1">
      <c r="A122" s="1672"/>
    </row>
    <row r="123" spans="1:1">
      <c r="A123" s="1673" t="s">
        <v>884</v>
      </c>
    </row>
    <row r="124" spans="1:1">
      <c r="A124" s="1673" t="s">
        <v>885</v>
      </c>
    </row>
    <row r="125" spans="1:1">
      <c r="A125" s="1673" t="s">
        <v>886</v>
      </c>
    </row>
    <row r="127" spans="1:1">
      <c r="A127" s="1670" t="s">
        <v>887</v>
      </c>
    </row>
    <row r="128" spans="1:1" ht="9.75" customHeight="1">
      <c r="A128" s="1670"/>
    </row>
    <row r="129" spans="1:1">
      <c r="A129" s="1677" t="s">
        <v>888</v>
      </c>
    </row>
    <row r="130" spans="1:1" ht="23.25" customHeight="1">
      <c r="A130" s="1673" t="s">
        <v>889</v>
      </c>
    </row>
    <row r="131" spans="1:1">
      <c r="A131" s="1673" t="s">
        <v>890</v>
      </c>
    </row>
    <row r="132" spans="1:1">
      <c r="A132" s="1673" t="s">
        <v>891</v>
      </c>
    </row>
    <row r="133" spans="1:1">
      <c r="A133" s="1673" t="s">
        <v>892</v>
      </c>
    </row>
    <row r="134" spans="1:1">
      <c r="A134" s="1675"/>
    </row>
    <row r="135" spans="1:1">
      <c r="A135" s="1677" t="s">
        <v>893</v>
      </c>
    </row>
    <row r="136" spans="1:1" ht="6" customHeight="1">
      <c r="A136" s="1677"/>
    </row>
    <row r="137" spans="1:1">
      <c r="A137" s="1673" t="s">
        <v>894</v>
      </c>
    </row>
    <row r="138" spans="1:1">
      <c r="A138" s="1673" t="s">
        <v>895</v>
      </c>
    </row>
    <row r="139" spans="1:1">
      <c r="A139" s="1673" t="s">
        <v>896</v>
      </c>
    </row>
    <row r="140" spans="1:1">
      <c r="A140" s="1673" t="s">
        <v>897</v>
      </c>
    </row>
    <row r="141" spans="1:1" ht="8.25" customHeight="1">
      <c r="A141" s="1675"/>
    </row>
    <row r="142" spans="1:1">
      <c r="A142" s="1677" t="s">
        <v>898</v>
      </c>
    </row>
    <row r="143" spans="1:1" ht="4.5" customHeight="1">
      <c r="A143" s="1675"/>
    </row>
    <row r="144" spans="1:1">
      <c r="A144" s="1673" t="s">
        <v>899</v>
      </c>
    </row>
    <row r="145" spans="1:1">
      <c r="A145" s="1673" t="s">
        <v>900</v>
      </c>
    </row>
    <row r="146" spans="1:1">
      <c r="A146" s="1673" t="s">
        <v>901</v>
      </c>
    </row>
    <row r="147" spans="1:1">
      <c r="A147" s="1673" t="s">
        <v>902</v>
      </c>
    </row>
    <row r="148" spans="1:1">
      <c r="A148" s="1673" t="s">
        <v>903</v>
      </c>
    </row>
    <row r="149" spans="1:1" ht="9" customHeight="1"/>
    <row r="150" spans="1:1">
      <c r="A150" s="1677" t="s">
        <v>904</v>
      </c>
    </row>
    <row r="151" spans="1:1" ht="4.5" customHeight="1"/>
    <row r="152" spans="1:1">
      <c r="A152" s="1673" t="s">
        <v>905</v>
      </c>
    </row>
    <row r="153" spans="1:1">
      <c r="A153" s="1673" t="s">
        <v>906</v>
      </c>
    </row>
    <row r="154" spans="1:1">
      <c r="A154" s="1673" t="s">
        <v>907</v>
      </c>
    </row>
    <row r="155" spans="1:1">
      <c r="A155" s="1673" t="s">
        <v>908</v>
      </c>
    </row>
    <row r="156" spans="1:1">
      <c r="A156" s="1673" t="s">
        <v>909</v>
      </c>
    </row>
    <row r="157" spans="1:1">
      <c r="A157" s="1673" t="s">
        <v>910</v>
      </c>
    </row>
    <row r="158" spans="1:1">
      <c r="A158" s="1673" t="s">
        <v>911</v>
      </c>
    </row>
    <row r="159" spans="1:1">
      <c r="A159" s="1673" t="s">
        <v>912</v>
      </c>
    </row>
    <row r="160" spans="1:1">
      <c r="A160" s="1673" t="s">
        <v>913</v>
      </c>
    </row>
    <row r="161" spans="1:1">
      <c r="A161" s="1673" t="s">
        <v>914</v>
      </c>
    </row>
    <row r="162" spans="1:1">
      <c r="A162" s="1673" t="s">
        <v>915</v>
      </c>
    </row>
    <row r="163" spans="1:1">
      <c r="A163" s="1673" t="s">
        <v>916</v>
      </c>
    </row>
    <row r="164" spans="1:1">
      <c r="A164" s="1673" t="s">
        <v>917</v>
      </c>
    </row>
    <row r="165" spans="1:1">
      <c r="A165" s="1673" t="s">
        <v>918</v>
      </c>
    </row>
    <row r="166" spans="1:1">
      <c r="A166" s="1673" t="s">
        <v>919</v>
      </c>
    </row>
    <row r="167" spans="1:1">
      <c r="A167" s="1673" t="s">
        <v>920</v>
      </c>
    </row>
    <row r="168" spans="1:1">
      <c r="A168" s="1673" t="s">
        <v>921</v>
      </c>
    </row>
    <row r="169" spans="1:1">
      <c r="A169" s="1673" t="s">
        <v>922</v>
      </c>
    </row>
    <row r="170" spans="1:1">
      <c r="A170" s="1673" t="s">
        <v>923</v>
      </c>
    </row>
    <row r="171" spans="1:1">
      <c r="A171" s="1673" t="s">
        <v>924</v>
      </c>
    </row>
    <row r="172" spans="1:1">
      <c r="A172" s="1673" t="s">
        <v>925</v>
      </c>
    </row>
    <row r="173" spans="1:1">
      <c r="A173" s="1673" t="s">
        <v>926</v>
      </c>
    </row>
    <row r="174" spans="1:1">
      <c r="A174" s="1673" t="s">
        <v>927</v>
      </c>
    </row>
    <row r="175" spans="1:1">
      <c r="A175" s="1673" t="s">
        <v>928</v>
      </c>
    </row>
    <row r="176" spans="1:1">
      <c r="A176" s="1673" t="s">
        <v>929</v>
      </c>
    </row>
    <row r="177" spans="1:1" ht="5.25" customHeight="1">
      <c r="A177" s="1675"/>
    </row>
    <row r="178" spans="1:1">
      <c r="A178" s="1670" t="s">
        <v>930</v>
      </c>
    </row>
    <row r="179" spans="1:1" ht="5.25" customHeight="1">
      <c r="A179" s="1670"/>
    </row>
    <row r="180" spans="1:1">
      <c r="A180" s="1673" t="s">
        <v>931</v>
      </c>
    </row>
    <row r="181" spans="1:1">
      <c r="A181" s="1673" t="s">
        <v>932</v>
      </c>
    </row>
    <row r="182" spans="1:1">
      <c r="A182" s="1673" t="s">
        <v>933</v>
      </c>
    </row>
    <row r="183" spans="1:1">
      <c r="A183" s="1673" t="s">
        <v>934</v>
      </c>
    </row>
    <row r="184" spans="1:1" ht="7.5" customHeight="1"/>
    <row r="185" spans="1:1">
      <c r="A185" s="1670" t="s">
        <v>959</v>
      </c>
    </row>
    <row r="186" spans="1:1" ht="10.5" customHeight="1"/>
    <row r="187" spans="1:1" ht="12" customHeight="1">
      <c r="A187" s="1673" t="s">
        <v>961</v>
      </c>
    </row>
    <row r="188" spans="1:1" ht="12" customHeight="1">
      <c r="A188" s="1673" t="s">
        <v>966</v>
      </c>
    </row>
    <row r="189" spans="1:1">
      <c r="A189" s="1673" t="s">
        <v>960</v>
      </c>
    </row>
    <row r="190" spans="1:1">
      <c r="A190" s="1673" t="s">
        <v>967</v>
      </c>
    </row>
    <row r="191" spans="1:1">
      <c r="A191" s="1673" t="s">
        <v>968</v>
      </c>
    </row>
    <row r="192" spans="1:1">
      <c r="A192" s="1673" t="s">
        <v>969</v>
      </c>
    </row>
    <row r="193" spans="1:1">
      <c r="A193" s="1673" t="s">
        <v>1029</v>
      </c>
    </row>
    <row r="194" spans="1:1" ht="9" customHeight="1"/>
    <row r="195" spans="1:1">
      <c r="A195" s="1670" t="s">
        <v>957</v>
      </c>
    </row>
    <row r="196" spans="1:1" ht="0.75" customHeight="1"/>
    <row r="197" spans="1:1" s="1674" customFormat="1">
      <c r="A197" s="1673" t="s">
        <v>962</v>
      </c>
    </row>
    <row r="198" spans="1:1">
      <c r="A198" s="1673" t="s">
        <v>963</v>
      </c>
    </row>
    <row r="199" spans="1:1" ht="15" customHeight="1"/>
    <row r="200" spans="1:1">
      <c r="A200" s="1670" t="s">
        <v>958</v>
      </c>
    </row>
    <row r="201" spans="1:1" ht="0.75" customHeight="1"/>
    <row r="202" spans="1:1" s="1674" customFormat="1">
      <c r="A202" s="1673" t="s">
        <v>964</v>
      </c>
    </row>
    <row r="203" spans="1:1">
      <c r="A203" s="1673" t="s">
        <v>965</v>
      </c>
    </row>
    <row r="208" spans="1:1">
      <c r="A208" s="77" t="s">
        <v>31</v>
      </c>
    </row>
  </sheetData>
  <hyperlinks>
    <hyperlink ref="A7" location="'I.1. Ley 87-01 (2)'!A1" display="I.1 Ley 87-01"/>
    <hyperlink ref="A8" location="'I.2. Org. SDSS'!A1" display="I.2 Organización del Sistema"/>
    <hyperlink ref="A9" location="'I.3. Reg. y Seg.'!A1" display="I.3 Regímenes y Seguros del SDSS"/>
    <hyperlink ref="A10" location="'I.4. Seg. y Ben.'!A1" display="I.4 Seguros y Beneficios del SDSS"/>
    <hyperlink ref="A13" location="'II.1. SDSS.Definición'!A1" display="II.1 Definiciones del SDSS"/>
    <hyperlink ref="A14" location="'II.2.Analisis SDSS'!A1" display="II.2 Análisis de las Empresas del SDSS"/>
    <hyperlink ref="A15" location="'II.3. Empl x sector '!A1" display="II.3 Empresas y Empleados Afiliados Activos al SDSS por Sector"/>
    <hyperlink ref="A16" location="' II.4.Empr x No. de empl'!A1" display="II.4 Empresas Afiliadas al SDSS, por Cantidad de Empleados Registrados en TSS"/>
    <hyperlink ref="A17" location="'II.5 Salario prom.'!A1" display="II.5 Salario Promedio Mensual de los Empleados Afiliados Activos al SDSS, por Sector"/>
    <hyperlink ref="A18" location="'II.6.Empl xsexoy edad'!A1" display="II.6 Trabajadores Afiliados Activos al SDSS, por Sexo y Edad"/>
    <hyperlink ref="A24" location="'III.1.1a. Def. Afil. SFS1'!A1" display="III.1.1 Definiciones del SFS"/>
    <hyperlink ref="A25" location="'III.1.2.Analisis SFS'!A1" display="III.1.2 Análisis de Afiliación del SFS"/>
    <hyperlink ref="A26" location="III.1.3.Afil.SFSPob.Nac.!A1" display="III.1.3 Afiliación del SFS a la Población Nacional"/>
    <hyperlink ref="A27" location="'III.1.4.Afil. SFS'!A1" display="III.1.4 Afiliación del SFS por Régimen de Financiamiento"/>
    <hyperlink ref="A28" location="'III.1.5.Cob.Afil. SFS '!A1" display="III.1.5 Cobertura de Afiliación al SFS por Régimen de Financiamiento"/>
    <hyperlink ref="A29" location="'III.1.6.Afil. SFS x sexo'!A1" display="III.1.6 Afiliación al SFS por Sexo"/>
    <hyperlink ref="A30" location="'III.1.7.Proy. afil.Vs pobl.'!A1" display="III.1.7 Comportamiento Real y Proyectado de la Cobertura del SFS a la Población Total"/>
    <hyperlink ref="A34" location="'III.2.1.Afil. SFS.RC '!A1" display="III.2.2 Análisis de Afiliación del SFS del RC"/>
    <hyperlink ref="A35" location="'III.2.2. Afil. SFS RC Anual '!A1" display="III.2.2 Afiliación Anual por Tipo al SFS del Régimen Contributivo (RC)"/>
    <hyperlink ref="A34:XFD34" location="'III.2.1.Afil. SFS.RC '!A1" display="III.2.1 Análisis de Afiliación del SFS del RC"/>
    <hyperlink ref="A36" location="'III.2.3. Afil. SFS RC Mensual'!A1" display="III.2.3 Afiliación Mensual por Tipo al SFS del Régimen Contributivo (RC)"/>
    <hyperlink ref="A37" location="'III.2.4.Cob.Afil. SFS RC Anual'!A1" display="III.2.4 Cobertura de Afiliación  Anual por Tipo del Régimen Contributivo (RC)"/>
    <hyperlink ref="A38" location="' III.2.5.Cob.Afil.SFSRC Mens'!A1" display="III.2.5 Cobertura de Afiliación Mensual por Tipo del Régimen Contributivo (RC)"/>
    <hyperlink ref="A39" location="'III.2.6.Afil. SFS RC X sex.tipo'!A1" display="III.2.6 Afiliados al SFS del RC por Sexo y Tipo"/>
    <hyperlink ref="A43" location="'III.3.1.Analis.Afil. SFS.RS1  '!A1" display="III.3.1 Definiciones y Análisis de Afiliación del SFS del RS"/>
    <hyperlink ref="A44" location="'III.3.2. Afil anual SFS RS '!A1" display="III.3.2 Afiliación Anual al SFS del Régimen Subsidiado (RS) por Tipo"/>
    <hyperlink ref="A45" location="' III.3.3.Afil.mensual SFS RS '!A1" display="III.3.3 Afiliación Mensual al SFS del Régimen Subsidiado (RS) por Tipo"/>
    <hyperlink ref="A46" location="'III.3.4.Cob.Afil anual SFS RS'!A1" display="III.3.4 Cobertura de Afiliación Anual al SFS el Régimen Subsidiado (RS) por Tipo "/>
    <hyperlink ref="A47" location="'III.3.5.Cob.Afil.mens.SFS RS '!A1" display="III.3.5 Cobertura de Afiliación Mensual al SFS el Régimen Subsidiado (RS) por Tipo "/>
    <hyperlink ref="A48" location="'III.3.6.Afil.SFSRSsex tipo '!A1" display="III.3.6 Afiliados al SFS el Régimen Subsidiado (RS) por Sexo y Tipo de Afiliación"/>
    <hyperlink ref="A49" location="'III.3.7. Afil. SFS RS Vs pob.'!A1" display="III.3.7 Comportamiento de la Afiliación al SFS del RS con Relación a la Población Pobre del País "/>
    <hyperlink ref="A53" location="III.4.1.Afil.RET1!A1" display="III.4.1 Definiciones y Análisis del RET "/>
    <hyperlink ref="A54" location="' III.4.2.Afil. SFSP Anual.'!A1" display="III.4.2 Afiliación Anual de Pensionados al SFS"/>
    <hyperlink ref="A55" location="' III.4.3.Afil. SFSP Mensual'!A1" display="III.4.3 Afiliación Mensual de Pensionados al SFS"/>
    <hyperlink ref="A56" location="' III.4.4.Cob.Afil. SFSP Mensual'!A1" display="III.4.4 Cobertura Afiliación Mensual de Pensionados al SFS"/>
    <hyperlink ref="A60" location="'III.5.1.Definición Afil. SVDS'!A1" display="III.5.1  Definiciones del SVDS"/>
    <hyperlink ref="A61" location="'III.5.2.Analisis Afil. SVDS'!A1" display="III.5.2  Análisis de Afiliación del SVDS"/>
    <hyperlink ref="A62" location="'III.5.3.Afil. SVDS'!A1" display="III.5.3 Cantidad de Afiliados y Cotizantes Anual del RC"/>
    <hyperlink ref="A63" location="'III.5.4.Afil. SVDS mensual'!A1" display="III.5.4  Afiliación Mensual al SVDS del RC"/>
    <hyperlink ref="A64" location="'III.5.5.Afil. cotiz.'!A1" display="III.5.5  Comparación Anual del Número de Afiliados Cotizantes con la Población Ocupada Formal"/>
    <hyperlink ref="A65" location="'III.5.6.Cotiz. x rango de edad'!A1" display="III.5.6  Cotizantes del SVDS por Rango de Edad"/>
    <hyperlink ref="A66" location="'III.5.7.Cotiz x sal. min. cot.'!A1" display="III.5.7  Cotizantes del SVDS por Cantidad de Salario Mínimo Cotizable"/>
    <hyperlink ref="A67" location="'III.5.8.Cotiz.x AFP y fondos'!A1" display="III.5.8  Distribución de los Afiliados Cotizantes por AFP`s y Fondos de Reparto"/>
    <hyperlink ref="A68" location="III.5.9.PEA_Pensiones_Género!A1" display="III.5.9  Población Económicamente Activa Afiliada al SVDS por Género"/>
    <hyperlink ref="A69" location="'III.5.10.Cot.Afil X Sexo'!A1" display="III.5.10 Afiliados y Cotizantes del SVDS por Género"/>
    <hyperlink ref="A70" location="'III.5.11.Traspasos anual'!A1" display="III.5.11  Traspaso Totales por Año"/>
    <hyperlink ref="A71" location="'III.5.12.Trasp. recibidos'!A1" display="III.5.12 Traspasos Recibidos en Entidades de CCI y Reparto"/>
    <hyperlink ref="A72" location="'III.5.13.Trasp. cedidos'!A1" display="III.5.13 Traspaso Cedidos en Entidades de CCI y Reparto"/>
    <hyperlink ref="A73" location="'III.5.14.Trasp. netos'!A1" display="III.5.14 Traspaso Netos en Entidades de CCI y Reparto"/>
    <hyperlink ref="A74" location="'III.5.15.Afil. SVDSxprov.'!A1" display="III.5.15 Distribución de Afiliados de las AFP por Provincias"/>
    <hyperlink ref="A78" location="'III.6.1.Definición Afil. SRL'!A1" display="III.6.1 Definiciones de SRL"/>
    <hyperlink ref="A79" location="'III.6.2.Afil. SRL.RC1 '!A1" display="III.6.2 Análisis de la Afiliación del SRL"/>
    <hyperlink ref="A80" location="'III.6.3.Afil. SRL'!A1" display="III.6.3 Comparativo Afiliación al SRL en Relación a la Población Ocupada en el Sector Formal"/>
    <hyperlink ref="A81" location="'III.6.4.Afil. SRL x sexoy edad'!A1" display="III.6.4 Afiliación al SRL por Grupo de Edad y Género"/>
    <hyperlink ref="A82" location="'III.6.5.Afil. ARL x riesgo'!A1" display="III.6.5 Empleados Afiliados Activos al SDSS por Tipo de Riesgos Laborales de sus Empresas"/>
    <hyperlink ref="A83" location="'III.6.6.ID. Accidentabilidad'!A1" display="III.6.6 Accidentabilidad Laboral de los Afiliados al SRL"/>
    <hyperlink ref="A88" location="'IV.1a.Definición Ing.Gastos)'!A1" display="IV.I.1  Definiciones Ingresos y Egresos del SDSS"/>
    <hyperlink ref="A89" location="'IV.1.2. Analisis Ing.Egr'!A1" display="IV.I.2  Análisis de Ingresos y Egresos del SDSS"/>
    <hyperlink ref="A90" location="'IV.1.3. Ingr y egr SDSS'!A1" display="IV.I.3  Ingreso y egreso Anuales del SDSS"/>
    <hyperlink ref="A91" location="'IV.1.4. Recaudo x sector'!A1" display="IV.I.4  Recaudo del RC del SDSS por Origen por Sector Económico"/>
    <hyperlink ref="A92" location="'IV.1.5 Rec. x origen'!A1" display="IV.I.5  Recaudo del RC del SDSS por Origen de los Aportes"/>
    <hyperlink ref="A93" location="'IV.1.6 Aport.Gob.SS'!A1" display="IV.I.6   Aportes del Gobierno a la Seguridad Social"/>
    <hyperlink ref="A97" location="'IV.2.1 AnálisisIng.Egr.Seg'!A1" display="IV.2.1  Análisis de Ingresos y Egresos por Seguros"/>
    <hyperlink ref="A98" location="'IV.2.2. Pagos SFS A'!A1" display="IV.2.2  Fondos Pagados Anualmente por Cuentas al SFS del RC"/>
    <hyperlink ref="A99" location="'IV.2.3.Pagos_SFS M'!A1" display="IV.2.3  Fondos Pagados Mensualmente por Cuentas al SFS del RC"/>
    <hyperlink ref="A100" location="'IV.2.4.Pagos x ARS 2'!A1" display="IV.2.4  Fondos Pagados a las ARS del SFS del RC"/>
    <hyperlink ref="A101" location="'IV.2.5.Pagos x ARS'!A1" display="IV.2.5  Fondos Pagados del RC a las ARS del SFS"/>
    <hyperlink ref="A102" location="'IV.2.6.INV_SFS x Entidad'!A1" display="IV.2.6 Distribución de las Inversiones de la Cuenta de la Salud por Instrumento"/>
    <hyperlink ref="A103" location="'IV.2.6.INV_SFS x Entidad'!A1" display="IV.2.7 Distribución de las Inversiones del SFS del RC"/>
    <hyperlink ref="A104" location="'IV.2.8.Aport. GOB. y Pagos RS'!A1" display="IV.2.8 Aportes del Gobierno Central y Pago a SENASA"/>
    <hyperlink ref="A105" location="'IV.2.9.Saldos RS mensual'!A1" display="IV.2.9 Aportes y Pagos Mensual del SFS en el RS"/>
    <hyperlink ref="A106" location="'IV.2.10 Pagos.SFS Pens.'!A1" display="IV.2.10 Pagos Anuales del SFSP Ley 1896-379"/>
    <hyperlink ref="A107" location="'IV.2.11.Pagos.SFS Pens.Mens.'!A1" display="IV.2.11 Pagos Mensuales del SFSP por ARS"/>
    <hyperlink ref="A111" location="IV.3.1.AnálisisIng.Eg.SVDS!A1" display="IV.3.1  Análisis de Ingresos y Egresos del SVDS"/>
    <hyperlink ref="A112" location="'IV.3.2.Pagos_ SVDS'!A1" display="IV.3.2 Dispersión Histórica del SVDS"/>
    <hyperlink ref="A113" location="'IV.3.3.Pagos anuales x cuentas'!A1" display="IV.3.3  Pago Anual al SVDS por Cuentas del SVDS"/>
    <hyperlink ref="A114" location="'IV.3.4.Pago Entidades'!A1" display="IV.3.4  Pagos a Entidades del Seguro de Vejez, Discapacidad y Sobrevivencia"/>
    <hyperlink ref="A115" location="'IV.3.5.Patrim. fp anual'!A1" display="IV.3.5  Patrimonio de los Fondos de Pensiones por Año"/>
    <hyperlink ref="A116" location="'IV.3.6.Cartera de inv fp'!A1" display="IV.3.6 Composición de la Cartera Total de Inversión de los Fondos de Pensiones por Tipo de Emisor"/>
    <hyperlink ref="A117" location="'IV.3.7. Comp. Cartera'!A1" display="IV.3.7 Composición de la Cartera Total de Inversión de los Fondos de Pensiones por Instrumento"/>
    <hyperlink ref="A118" location="'IV.3.8. Rent. nom. de los FP'!A1" display="IV.3.8  Rentabilidad Nominal Promedio de los Fondos de Pensiones"/>
    <hyperlink ref="A119" location="IV.3.9.Rentab.Real!A1" display="IV.3.9 Rentabilidad Promedio de los Fondos de Pensiones"/>
    <hyperlink ref="A123" location="'IV.4.1. Analisis '!A1" display="IV.4.1  Análisis del SRL"/>
    <hyperlink ref="A124" location="'IV.4.2.Pagos ARL A'!A1" display="IV.4.2 Pagos Anuales al ARL por Cuentas"/>
    <hyperlink ref="A125" location="'IV.4.3.Pagos_ARL M'!A1" display="IV.4.3 Pagos Mensuales por Cuentas al Seguro de Riesgo Laborales"/>
    <hyperlink ref="A130" location="'V.1b. Def. EI'!A1" display="V. 1.1  Definiciones EI"/>
    <hyperlink ref="A131" location="V.1.2.AnalisEI!A1" display="V. 1.2 Análisis de las Estancias Infantiles"/>
    <hyperlink ref="A132" location="V.1.3.Afil.EI!A1" display="V. 1.3 Niños Afiliados de las Estancias Infantiles del RC"/>
    <hyperlink ref="A133" location="V.1.4.Afil.EI!A1" display="V. 1.4 Pagos a las Estancias Infantiles"/>
    <hyperlink ref="A137" location="'V.2.1.SUBSIDIO_SFS Def.'!A1" display="V.2.1  Definiciones Subsidios"/>
    <hyperlink ref="A138" location="V.2.2.Análisis!A1" display="V.2.2 Análisis de Subsidio de Matenidad, Lactancia y Enfermedad Común"/>
    <hyperlink ref="A139" location="' V.2.3.Benef. subsid '!A1" display="V.2.3 Afiliados Beneficiarios por Subsidios de Maternidad, Lactancia y Enfermedad Común"/>
    <hyperlink ref="A140" location="'V.2.4. Monto subsid (2)'!A1" display="V.2.4 Montos Aprobados en Millones de RD$ por Concepto de Subsidios por Maternidad, Lactancia y Enfermedad Común"/>
    <hyperlink ref="A144" location="'V.3.1. Def-Análisis pens.'!A1" display="V.3.1  Definiciones Subsidios SVDS"/>
    <hyperlink ref="A145" location="'V.3.1. Def-Análisis pens.'!A1" display="V.3.2 Análisis de Subsidio de SVDS"/>
    <hyperlink ref="A146" location="'V.3.2 Pensiones por año'!A1" display="V.3.3 Pensiones Otorgadas por Año del SVDS"/>
    <hyperlink ref="A147" location="'V.3.3.Pens.Disc. AFP'!A1" display="V.3.4 Monto de Pensión Promedio por Tipo de Discapacidad Según AFP"/>
    <hyperlink ref="A148" location="'V.3.4.Pensiones Sob.Disc'!A1" display="V.3.5 Pensión Promedio de Sobrevivencia y Discapacidad (RD$) del SVDS"/>
    <hyperlink ref="A180" location="'VI.1.Analisis CMNR'!A1" display="VI.1 Análisis de CMNR"/>
    <hyperlink ref="A181" location="VI.2.Status!A1" display="VI.2  Solicitudes Recibidas en las Comisiones Médicas por Estatus"/>
    <hyperlink ref="A182" location="VI.3.Apelaciones1!A1" display="VI.3 Apelaciones de Dictamenes de la CMNR"/>
    <hyperlink ref="A183" location="'VI.4. Entidad Receptora Origen'!A1" display="VI.4 Apelaciones por Entidad Receptora y Orígen"/>
    <hyperlink ref="A197" location="Contenido!A1" display="VIII.1  Distribución de la Población Ocupada Formal por Rama de Actividad"/>
    <hyperlink ref="A198" location="'VIII.2 Pob. econ.'!Área_de_impresión" display="VIII.2 Población Total República Dominicana y por Tipo de Ocupación"/>
    <hyperlink ref="A152" location="'V.4.1.Def-Analisis   '!A1" display="V.4.1 Análisis de Beneficios de la Administradora de Riesgos Laborales"/>
    <hyperlink ref="A153" location="'V.4.2.NA. Reportes ARL'!A1" display="V.4.2 Reporte de Accidente Laborales y Enfermedades Profesionales"/>
    <hyperlink ref="A154" location="'V.4.3. NA.Cant. accid x región'!A1" display="V.4.3  Reporte de Accidente Laborales y Enfermedades Profesionales por Región"/>
    <hyperlink ref="A155" location="'V.4.4.NA.Cant. accid x Prov.)'!A1" display="V.4.4 Reporte de Accidentes Laborales y Enfermedades Profesionales por Provincia"/>
    <hyperlink ref="A156" location="'V.4.5.NA.Cant. accid x Proced.'!A1" display="V.4.5 Reporte de Accidentes Laborales y Enfermedades Profesionales por Zona de Procedencia"/>
    <hyperlink ref="A157" location="'V.4.6. NA.Cant. accid x sector'!A1" display="V.4.6 Reporte de Accidente Laborales y Enfermedades Profesionales por Tipo Sector"/>
    <hyperlink ref="A158" location="'V.4.7. Accid x sexo'!A1" display="V.4.7 Reporte de Accidentes Laborales y Enfermedades Profesionales por Sexo"/>
    <hyperlink ref="A159" location="'V.4.8. Accid x rango de edad'!A1" display="V.4.8 Reporte de Accidentes Laborales y Enfermedades Profesionales por Rango de Edad"/>
    <hyperlink ref="A160" location="'V.4.9.Accid x Escolaridad'!A1" display="V.4.9 Reporte de Accidentes Laborales y Enfermedades Profesionales por Nivel de Escolaridad"/>
    <hyperlink ref="A161" location="'V.4.10.Accid x sector '!A1" display="V.4.10 Comparación Reporte de Accidentes Laborales y Enfermedades Profesionales y Afiliación al SRL por Sector"/>
    <hyperlink ref="A162" location="'V.4.11.Accid x sexo'!A1" display="V.4.11 Comparación Reporte de Accidentes laborales y Enfermedades Profesionales y Afiliación al SRL por Sexo"/>
    <hyperlink ref="A163" location="'V.4.12.Accid x edad'!A1" display="V.4.12 Comparación  Reporte de Accidentes Laborales y Enfermedades Profesionales y Afiliación al SRL por Edad"/>
    <hyperlink ref="A164" location="'V.4.13.EC. Accid. Lab'!A1" display="V.4.13 Cantidad de Expedientes Calificados por la ARL Vs Casos Reportados"/>
    <hyperlink ref="A165" location="'V.4.14.EC. Accid. Lab.'!A1" display="V.4.14 Cantidad de Expedientes de Accidentes Laborales Calificados por la ARL "/>
    <hyperlink ref="A166" location="'V.4.15.EC. Accid. Lab x tipo'!A1" display="V.4.15 Cantidad de Expedientes Calificados por la ARL por Tipo de Accidente"/>
    <hyperlink ref="A167" location="'V.4.16. EC. Accid. Lab x Lesión'!A1" display="V.4.16 Cantidad de Expedientes Calificados por la ARL por Grado de Lesión"/>
    <hyperlink ref="A168" location="'V.4.17. Accid.Lab suceso'!A1" display="V.4.17 Cantidad de Expedientes Calificados por la ARL  Según Circunstancia del Suceso"/>
    <hyperlink ref="A169" location="'V.4.18. EC. x Agente daño'!A1" display="V.4.18 Cantidad de Expedientes Calificados por la ARL Según Agente Dañino"/>
    <hyperlink ref="A170" location="'V.4.19. EC. x  lugar de accid.'!A1" display="V.4.19 Cantidad de Expedientes Calificados por la ARL Según Lugar de Accidente"/>
    <hyperlink ref="A171" location="'V.4.20.EC. Accid incapac.'!A1" display="V.4.20 Cantidad de Expedientes Calificados por la ARL con Accidentes Laborales con Lesiones Discapacitantes"/>
    <hyperlink ref="A172" location="'V.4.21. EC. Enferm. Prof (R)'!A1" display="V.4.21 Cantidad de Expedientes de Enfermedades Profesionales Calificados en Proceso de Investigación"/>
    <hyperlink ref="A173" location="'V.4.22.EC. Accid Lab.(R)'!A1" display="V.4.22 Cantidad de Expedientes de Accidentes Laborales Calificados en Proceso de Reinvestigación"/>
    <hyperlink ref="A174" location="'V.4.23. Accid. Aprobxtipo'!A1" display="V.4.23 Casos Aprobados en Proceso de Reinvestigación por Tipo de Accidente"/>
    <hyperlink ref="A175" location="'V.4.24. Accid. Aprob xLesión '!A1" display="V.4.24 Casos Aprobados en Proceso de Reinvestigación por Grado de Lesión"/>
    <hyperlink ref="A176" location="'V.4.25.Accid.Aprob Según suc.'!A1" display="V.4.25 Casos Aprobados en Proceso de Reinvestigación por Circunstancia del Suceso"/>
    <hyperlink ref="A202" location="Contenido!A1" display="IX.1  Definiciones de Sistema Dominicano de Seguridad Social"/>
    <hyperlink ref="A203" location="'IX.2b. Logros1'!Área_de_impresión" display="IX.2 Logros del Sistema Dominicano de Seguridad Social"/>
    <hyperlink ref="A187" location="'VII.1. Analisis CBSS'!Área_de_impresión" display="VII.1 Analisis del Convenio Bilateral"/>
    <hyperlink ref="A188" location="'VII.2.CBSS Tram.'!Área_de_impresión" display="VII.2 Cantidad de Solicitudes por año y tipo de trámite"/>
    <hyperlink ref="A189" location="'VII.3.CBSS-Benef'!Área_de_impresión" display="VII.3 Cantidad de Solicitantes por Año y Tipo de Beneficio"/>
    <hyperlink ref="A190" location="'VII.4.CBSS-Tramit.'!Área_de_impresión" display="VII.4  Cantidad de Solicitudes y Tramitaciones Concluidas "/>
    <hyperlink ref="A191" location="'VII.5.CBSS-Rel.Concl. '!Área_de_impresión" display="VII.5  Cantidad de Expedientes Enviados a España en Espera de Documentación o Resolución Conclusiva"/>
    <hyperlink ref="A192" location="'VII.6.CBSS-Cert.'!Área_de_impresión" display="VII.6 Cantidad de Expedientes con Solicitud de Certificación a Entidades Dominicanas"/>
    <hyperlink ref="A193" location="VII.7.CBSS.Sex!Área_de_impresión" display="VII.7 Cantidad de Solicitudes por Fecha y Sexo"/>
    <hyperlink ref="A185" location="VII.CBSS!Área_de_impresión" display="VII. Estadísticas del Convenio Bilateral de Seguridad Social entre España y la República Dominicana"/>
    <hyperlink ref="A1" location="'VIII.1 Ocup. formal'!Área_de_impresión" display="'VIII.1 Ocup. formal'!Área_de_impresión"/>
    <hyperlink ref="A197:XFD197" location="'VIII.1 Ocup. formal'!Área_de_impresión" display="VIII.1  Distribución de la Población Ocupada Formal por Rama de Actividad"/>
    <hyperlink ref="A202:XFD202" location="'IX.1.b  SDSS Definiciones '!Área_de_impresión" display="IX.1  Definiciones de Sistema Dominicano de Seguridad Social"/>
  </hyperlinks>
  <pageMargins left="0.7" right="0.7" top="0.75" bottom="0.75" header="0.3" footer="0.3"/>
  <pageSetup scale="99" fitToHeight="0" orientation="portrait" r:id="rId1"/>
  <rowBreaks count="5" manualBreakCount="5">
    <brk id="50" man="1"/>
    <brk id="94" man="1"/>
    <brk id="140" man="1"/>
    <brk id="183" man="1"/>
    <brk id="204" man="1"/>
  </row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2">
    <tabColor theme="9" tint="-0.249977111117893"/>
    <pageSetUpPr fitToPage="1"/>
  </sheetPr>
  <dimension ref="A1:X55"/>
  <sheetViews>
    <sheetView showGridLines="0" view="pageBreakPreview" zoomScale="55" zoomScaleNormal="100" zoomScaleSheetLayoutView="55" zoomScalePageLayoutView="62" workbookViewId="0">
      <selection activeCell="K4" sqref="K4"/>
    </sheetView>
  </sheetViews>
  <sheetFormatPr baseColWidth="10" defaultColWidth="11.42578125" defaultRowHeight="15"/>
  <cols>
    <col min="1" max="1" width="18.42578125" style="77" customWidth="1"/>
    <col min="2" max="2" width="20.85546875" style="77" customWidth="1"/>
    <col min="3" max="3" width="23.28515625" style="77" customWidth="1"/>
    <col min="4" max="4" width="20.42578125" style="77" customWidth="1"/>
    <col min="5" max="5" width="26" style="77" customWidth="1"/>
    <col min="6" max="8" width="16.28515625" style="77" customWidth="1"/>
    <col min="9" max="9" width="19" style="77" customWidth="1"/>
    <col min="10" max="10" width="16.140625" style="77" customWidth="1"/>
    <col min="11" max="11" width="17.7109375" style="77" customWidth="1"/>
    <col min="12" max="12" width="15.28515625" style="77" customWidth="1"/>
    <col min="13" max="13" width="18.42578125" style="77" customWidth="1"/>
    <col min="14" max="14" width="17" style="77" customWidth="1"/>
    <col min="15" max="15" width="19.140625" style="77" customWidth="1"/>
    <col min="16" max="16" width="27" style="77" customWidth="1"/>
    <col min="17" max="17" width="14.85546875" style="77" customWidth="1"/>
    <col min="18" max="18" width="14.5703125" style="77" customWidth="1"/>
    <col min="19" max="16384" width="11.42578125" style="77"/>
  </cols>
  <sheetData>
    <row r="1" spans="1:18" ht="87" customHeight="1">
      <c r="A1" s="2026"/>
      <c r="B1" s="2026"/>
      <c r="C1" s="2026"/>
      <c r="D1" s="2026"/>
      <c r="E1" s="2026"/>
      <c r="F1" s="2026"/>
      <c r="G1" s="2026"/>
      <c r="H1" s="2026"/>
      <c r="I1" s="2026"/>
      <c r="J1" s="2026"/>
      <c r="K1" s="2026"/>
      <c r="L1" s="2026"/>
      <c r="M1" s="2026"/>
      <c r="N1" s="2026"/>
      <c r="O1" s="2026"/>
      <c r="P1" s="2026"/>
      <c r="Q1" s="2026"/>
    </row>
    <row r="2" spans="1:18" ht="24" customHeight="1">
      <c r="A2" s="180"/>
      <c r="B2" s="180"/>
      <c r="C2" s="180"/>
      <c r="D2" s="180"/>
      <c r="E2" s="180"/>
      <c r="F2" s="180"/>
      <c r="G2" s="180"/>
      <c r="H2" s="180"/>
      <c r="I2" s="180"/>
      <c r="J2" s="180"/>
      <c r="K2" s="180"/>
      <c r="L2" s="180"/>
      <c r="M2" s="180"/>
      <c r="N2" s="180"/>
      <c r="O2" s="180"/>
      <c r="P2" s="180"/>
    </row>
    <row r="3" spans="1:18" ht="55.5" customHeight="1">
      <c r="A3" s="348" t="s">
        <v>238</v>
      </c>
      <c r="B3" s="303" t="s">
        <v>553</v>
      </c>
      <c r="C3" s="303" t="s">
        <v>784</v>
      </c>
      <c r="D3" s="303" t="s">
        <v>772</v>
      </c>
      <c r="E3" s="305" t="s">
        <v>554</v>
      </c>
      <c r="F3" s="303" t="s">
        <v>235</v>
      </c>
      <c r="G3" s="303" t="s">
        <v>236</v>
      </c>
      <c r="H3" s="304" t="s">
        <v>407</v>
      </c>
      <c r="I3" s="243"/>
      <c r="J3" s="243"/>
      <c r="K3" s="243"/>
      <c r="L3" s="243"/>
      <c r="M3" s="243"/>
      <c r="N3" s="243"/>
      <c r="O3" s="243"/>
      <c r="P3" s="244" t="s">
        <v>529</v>
      </c>
      <c r="Q3" s="61"/>
      <c r="R3" s="61"/>
    </row>
    <row r="4" spans="1:18" s="996" customFormat="1" ht="25.5" customHeight="1">
      <c r="A4" s="306" t="s">
        <v>26</v>
      </c>
      <c r="B4" s="1540"/>
      <c r="C4" s="1540">
        <v>266531</v>
      </c>
      <c r="D4" s="1541">
        <v>0</v>
      </c>
      <c r="E4" s="1542">
        <f>B4+C4+D4</f>
        <v>266531</v>
      </c>
      <c r="F4" s="1003"/>
      <c r="G4" s="1003">
        <f t="shared" ref="G4:G10" si="0">C4/E4</f>
        <v>1</v>
      </c>
      <c r="H4" s="1599"/>
      <c r="I4" s="1543"/>
      <c r="J4" s="1543"/>
      <c r="K4" s="1543"/>
      <c r="M4" s="239"/>
      <c r="N4" s="239" t="s">
        <v>176</v>
      </c>
      <c r="O4" s="1544"/>
      <c r="P4" s="242">
        <f t="shared" ref="P4:P9" si="1">L4/E4</f>
        <v>0</v>
      </c>
      <c r="Q4" s="1545"/>
      <c r="R4" s="1545"/>
    </row>
    <row r="5" spans="1:18" s="996" customFormat="1" ht="25.5" customHeight="1">
      <c r="A5" s="306" t="s">
        <v>27</v>
      </c>
      <c r="B5" s="1540"/>
      <c r="C5" s="1540">
        <v>513416</v>
      </c>
      <c r="D5" s="1541">
        <v>0</v>
      </c>
      <c r="E5" s="1542">
        <f>B5+C5+D5</f>
        <v>513416</v>
      </c>
      <c r="F5" s="1003"/>
      <c r="G5" s="1003">
        <f t="shared" si="0"/>
        <v>1</v>
      </c>
      <c r="H5" s="1599"/>
      <c r="I5" s="1543"/>
      <c r="J5" s="1543"/>
      <c r="K5" s="1543"/>
      <c r="L5" s="1546"/>
      <c r="M5" s="239"/>
      <c r="N5" s="239"/>
      <c r="O5" s="1544"/>
      <c r="P5" s="242">
        <f t="shared" si="1"/>
        <v>0</v>
      </c>
      <c r="Q5" s="1545"/>
      <c r="R5" s="1545"/>
    </row>
    <row r="6" spans="1:18" s="996" customFormat="1" ht="25.5" customHeight="1">
      <c r="A6" s="306" t="s">
        <v>28</v>
      </c>
      <c r="B6" s="1540">
        <v>1599467</v>
      </c>
      <c r="C6" s="1540">
        <v>1081936</v>
      </c>
      <c r="D6" s="1541">
        <v>0</v>
      </c>
      <c r="E6" s="1542">
        <f t="shared" ref="E6:E13" si="2">B6+C6+D6</f>
        <v>2681403</v>
      </c>
      <c r="F6" s="1003">
        <f t="shared" ref="F6:F14" si="3">B6/E6</f>
        <v>0.59650377060068926</v>
      </c>
      <c r="G6" s="1003">
        <f t="shared" si="0"/>
        <v>0.40349622939931074</v>
      </c>
      <c r="H6" s="1599"/>
      <c r="I6" s="1543"/>
      <c r="J6" s="1543"/>
      <c r="K6" s="1543"/>
      <c r="L6" s="1546"/>
      <c r="M6" s="239"/>
      <c r="N6" s="239"/>
      <c r="O6" s="1544"/>
      <c r="P6" s="242">
        <f t="shared" si="1"/>
        <v>0</v>
      </c>
      <c r="Q6" s="1545"/>
      <c r="R6" s="1545"/>
    </row>
    <row r="7" spans="1:18" s="996" customFormat="1" ht="25.5" customHeight="1">
      <c r="A7" s="306" t="s">
        <v>29</v>
      </c>
      <c r="B7" s="1540">
        <v>1729671</v>
      </c>
      <c r="C7" s="1540">
        <v>1224643</v>
      </c>
      <c r="D7" s="1541">
        <v>0</v>
      </c>
      <c r="E7" s="1542">
        <f t="shared" si="2"/>
        <v>2954314</v>
      </c>
      <c r="F7" s="1003">
        <f t="shared" si="3"/>
        <v>0.5854729727442648</v>
      </c>
      <c r="G7" s="1003">
        <f t="shared" si="0"/>
        <v>0.41452702725573515</v>
      </c>
      <c r="H7" s="1599"/>
      <c r="I7" s="1543"/>
      <c r="J7" s="1543"/>
      <c r="K7" s="1543"/>
      <c r="L7" s="1546"/>
      <c r="M7" s="239"/>
      <c r="N7" s="239"/>
      <c r="O7" s="1544"/>
      <c r="P7" s="242">
        <f t="shared" si="1"/>
        <v>0</v>
      </c>
      <c r="Q7" s="1545"/>
      <c r="R7" s="1545"/>
    </row>
    <row r="8" spans="1:18" s="996" customFormat="1" ht="25.5" customHeight="1">
      <c r="A8" s="306" t="s">
        <v>30</v>
      </c>
      <c r="B8" s="1540">
        <v>2096232</v>
      </c>
      <c r="C8" s="1540">
        <v>1346166</v>
      </c>
      <c r="D8" s="1541">
        <v>18375</v>
      </c>
      <c r="E8" s="1542">
        <f t="shared" si="2"/>
        <v>3460773</v>
      </c>
      <c r="F8" s="1003">
        <f t="shared" si="3"/>
        <v>0.60571207646384206</v>
      </c>
      <c r="G8" s="1003">
        <f t="shared" si="0"/>
        <v>0.3889784160937455</v>
      </c>
      <c r="H8" s="1004">
        <f t="shared" ref="H8:H14" si="4">D8/E8</f>
        <v>5.309507442412432E-3</v>
      </c>
      <c r="I8" s="1543"/>
      <c r="J8" s="1543"/>
      <c r="K8" s="1543"/>
      <c r="L8" s="1546"/>
      <c r="M8" s="239"/>
      <c r="N8" s="239"/>
      <c r="O8" s="1544"/>
      <c r="P8" s="242">
        <f t="shared" si="1"/>
        <v>0</v>
      </c>
      <c r="Q8" s="1545"/>
      <c r="R8" s="1545"/>
    </row>
    <row r="9" spans="1:18" s="996" customFormat="1" ht="25.5" customHeight="1">
      <c r="A9" s="306" t="s">
        <v>191</v>
      </c>
      <c r="B9" s="1540">
        <v>2417992</v>
      </c>
      <c r="C9" s="1540">
        <v>1847833</v>
      </c>
      <c r="D9" s="1541">
        <v>27177</v>
      </c>
      <c r="E9" s="1542">
        <f t="shared" si="2"/>
        <v>4293002</v>
      </c>
      <c r="F9" s="1003">
        <f t="shared" si="3"/>
        <v>0.56324036187264759</v>
      </c>
      <c r="G9" s="1003">
        <f t="shared" si="0"/>
        <v>0.43042910299133336</v>
      </c>
      <c r="H9" s="1004">
        <f t="shared" si="4"/>
        <v>6.3305351360190372E-3</v>
      </c>
      <c r="I9" s="1543"/>
      <c r="J9" s="1543"/>
      <c r="K9" s="1543"/>
      <c r="L9" s="1546"/>
      <c r="M9" s="239"/>
      <c r="N9" s="239"/>
      <c r="O9" s="1544"/>
      <c r="P9" s="242">
        <f t="shared" si="1"/>
        <v>0</v>
      </c>
      <c r="Q9" s="1545"/>
      <c r="R9" s="1545"/>
    </row>
    <row r="10" spans="1:18" s="996" customFormat="1" ht="25.5" customHeight="1">
      <c r="A10" s="306" t="s">
        <v>231</v>
      </c>
      <c r="B10" s="1540">
        <v>2586943</v>
      </c>
      <c r="C10" s="1540">
        <v>1996335</v>
      </c>
      <c r="D10" s="1541">
        <v>29648</v>
      </c>
      <c r="E10" s="1542">
        <f t="shared" si="2"/>
        <v>4612926</v>
      </c>
      <c r="F10" s="1003">
        <f t="shared" si="3"/>
        <v>0.56080305645484019</v>
      </c>
      <c r="G10" s="1003">
        <f t="shared" si="0"/>
        <v>0.43276978646525005</v>
      </c>
      <c r="H10" s="1004">
        <f t="shared" si="4"/>
        <v>6.4271570799098012E-3</v>
      </c>
      <c r="I10" s="1543"/>
      <c r="J10" s="1543"/>
      <c r="K10" s="1543"/>
      <c r="L10" s="1546"/>
      <c r="M10" s="239"/>
      <c r="N10" s="239"/>
      <c r="O10" s="239"/>
      <c r="P10" s="242">
        <f>L10/E10</f>
        <v>0</v>
      </c>
      <c r="Q10" s="1545"/>
      <c r="R10" s="1545"/>
    </row>
    <row r="11" spans="1:18" s="996" customFormat="1" ht="25.5" customHeight="1">
      <c r="A11" s="306" t="s">
        <v>481</v>
      </c>
      <c r="B11" s="1540">
        <v>2747735</v>
      </c>
      <c r="C11" s="1540">
        <v>2294356</v>
      </c>
      <c r="D11" s="1541">
        <v>30884</v>
      </c>
      <c r="E11" s="1542">
        <f t="shared" si="2"/>
        <v>5072975</v>
      </c>
      <c r="F11" s="1003">
        <f t="shared" si="3"/>
        <v>0.54164173882189448</v>
      </c>
      <c r="G11" s="1003">
        <f>C11/E11</f>
        <v>0.45227031475613422</v>
      </c>
      <c r="H11" s="1004">
        <f t="shared" si="4"/>
        <v>6.0879464219713289E-3</v>
      </c>
      <c r="I11" s="1543"/>
      <c r="J11" s="1543"/>
      <c r="K11" s="1543"/>
      <c r="L11" s="1546"/>
      <c r="M11" s="239"/>
      <c r="N11" s="239"/>
      <c r="O11" s="239"/>
      <c r="P11" s="242">
        <f>L11/E11</f>
        <v>0</v>
      </c>
      <c r="Q11" s="1545"/>
      <c r="R11" s="1545"/>
    </row>
    <row r="12" spans="1:18" s="996" customFormat="1" ht="25.5" customHeight="1">
      <c r="A12" s="306" t="s">
        <v>557</v>
      </c>
      <c r="B12" s="1540">
        <v>2965326</v>
      </c>
      <c r="C12" s="1540">
        <v>2646899</v>
      </c>
      <c r="D12" s="1541">
        <v>29217</v>
      </c>
      <c r="E12" s="1542">
        <f t="shared" si="2"/>
        <v>5641442</v>
      </c>
      <c r="F12" s="1003">
        <f t="shared" si="3"/>
        <v>0.52563263080609535</v>
      </c>
      <c r="G12" s="1003">
        <f>C12/E12</f>
        <v>0.46918837417809134</v>
      </c>
      <c r="H12" s="1004">
        <f t="shared" si="4"/>
        <v>5.1789950158133329E-3</v>
      </c>
      <c r="I12" s="1543"/>
      <c r="J12" s="1543"/>
      <c r="K12" s="1543"/>
      <c r="L12" s="1546"/>
      <c r="M12" s="239"/>
      <c r="N12" s="239"/>
      <c r="O12" s="239"/>
      <c r="P12" s="242"/>
      <c r="Q12" s="1545"/>
      <c r="R12" s="1545"/>
    </row>
    <row r="13" spans="1:18" s="996" customFormat="1" ht="25.5" customHeight="1">
      <c r="A13" s="306" t="s">
        <v>570</v>
      </c>
      <c r="B13" s="1540">
        <v>3224947</v>
      </c>
      <c r="C13" s="1540">
        <v>3015646</v>
      </c>
      <c r="D13" s="1541">
        <v>30470</v>
      </c>
      <c r="E13" s="1542">
        <f t="shared" si="2"/>
        <v>6271063</v>
      </c>
      <c r="F13" s="1003">
        <f t="shared" si="3"/>
        <v>0.5142584279571103</v>
      </c>
      <c r="G13" s="1003">
        <f>C13/E13</f>
        <v>0.48088274667309194</v>
      </c>
      <c r="H13" s="1004">
        <f t="shared" si="4"/>
        <v>4.8588253697977521E-3</v>
      </c>
      <c r="I13" s="1543"/>
      <c r="J13" s="1543"/>
      <c r="K13" s="1543"/>
      <c r="L13" s="1546"/>
      <c r="M13" s="239"/>
      <c r="N13" s="239"/>
      <c r="O13" s="239"/>
      <c r="P13" s="242"/>
      <c r="Q13" s="1545"/>
      <c r="R13" s="1545"/>
    </row>
    <row r="14" spans="1:18" s="996" customFormat="1" ht="25.5" customHeight="1">
      <c r="A14" s="337" t="s">
        <v>1003</v>
      </c>
      <c r="B14" s="1547">
        <v>3435291</v>
      </c>
      <c r="C14" s="1547">
        <v>3089672</v>
      </c>
      <c r="D14" s="1548">
        <v>30522</v>
      </c>
      <c r="E14" s="1549">
        <f>B14+C14+D14</f>
        <v>6555485</v>
      </c>
      <c r="F14" s="1598">
        <f t="shared" si="3"/>
        <v>0.52403308069502108</v>
      </c>
      <c r="G14" s="1598">
        <f>C14/E14</f>
        <v>0.47131097088926294</v>
      </c>
      <c r="H14" s="1007">
        <f t="shared" si="4"/>
        <v>4.6559484157159998E-3</v>
      </c>
      <c r="I14" s="1597"/>
      <c r="J14" s="1543"/>
      <c r="K14" s="1543"/>
      <c r="L14" s="1546"/>
      <c r="M14" s="239"/>
      <c r="N14" s="239"/>
      <c r="O14" s="239"/>
      <c r="P14" s="242"/>
      <c r="Q14" s="1545"/>
      <c r="R14" s="1545"/>
    </row>
    <row r="15" spans="1:18" ht="23.25" customHeight="1">
      <c r="A15" s="2027" t="s">
        <v>685</v>
      </c>
      <c r="B15" s="2027"/>
      <c r="C15" s="2027"/>
      <c r="D15" s="2027"/>
      <c r="E15" s="2027"/>
      <c r="F15" s="2027"/>
      <c r="G15" s="2027"/>
      <c r="H15" s="2027"/>
      <c r="I15" s="2027"/>
      <c r="J15" s="2027"/>
      <c r="K15" s="2027"/>
      <c r="L15" s="2027"/>
      <c r="M15" s="2027"/>
      <c r="N15" s="2027"/>
      <c r="O15" s="2027"/>
      <c r="P15" s="2027"/>
      <c r="Q15" s="61"/>
      <c r="R15" s="61"/>
    </row>
    <row r="16" spans="1:18" ht="25.5" customHeight="1">
      <c r="A16" s="31"/>
      <c r="B16" s="31"/>
      <c r="C16" s="31"/>
      <c r="D16" s="31"/>
      <c r="E16" s="31"/>
      <c r="F16" s="31"/>
      <c r="G16" s="31"/>
      <c r="H16" s="31"/>
      <c r="I16" s="31"/>
      <c r="J16" s="31"/>
      <c r="K16" s="31"/>
      <c r="L16" s="31"/>
      <c r="M16" s="31"/>
      <c r="N16" s="31"/>
      <c r="O16" s="31"/>
      <c r="P16" s="31"/>
      <c r="R16" s="61"/>
    </row>
    <row r="17" spans="1:24" ht="25.5" customHeight="1">
      <c r="A17" s="31"/>
      <c r="B17" s="31"/>
      <c r="C17" s="31"/>
      <c r="D17" s="31"/>
      <c r="E17" s="31"/>
      <c r="F17" s="31"/>
      <c r="G17" s="31"/>
      <c r="H17" s="31"/>
      <c r="I17" s="31"/>
      <c r="J17" s="31"/>
      <c r="K17" s="31"/>
      <c r="L17" s="31"/>
      <c r="M17" s="31"/>
      <c r="N17" s="31"/>
      <c r="O17" s="31"/>
      <c r="P17" s="31"/>
      <c r="Q17" s="31"/>
      <c r="R17" s="61"/>
    </row>
    <row r="18" spans="1:24" ht="25.5" customHeight="1">
      <c r="A18" s="31"/>
      <c r="B18" s="31"/>
      <c r="C18" s="31"/>
      <c r="D18" s="31"/>
      <c r="E18" s="31"/>
      <c r="F18" s="31"/>
      <c r="G18" s="31"/>
      <c r="H18" s="31"/>
      <c r="I18" s="31"/>
      <c r="J18" s="31"/>
      <c r="K18" s="31"/>
      <c r="L18" s="31"/>
      <c r="M18" s="31"/>
      <c r="N18" s="31"/>
      <c r="O18" s="31"/>
      <c r="P18" s="31"/>
      <c r="Q18" s="31"/>
      <c r="R18" s="61"/>
      <c r="X18" s="77" t="s">
        <v>31</v>
      </c>
    </row>
    <row r="19" spans="1:24" ht="25.5" customHeight="1">
      <c r="A19" s="31"/>
      <c r="B19" s="31"/>
      <c r="C19" s="31"/>
      <c r="D19" s="31"/>
      <c r="E19" s="31"/>
      <c r="F19" s="31"/>
      <c r="G19" s="31"/>
      <c r="H19" s="31"/>
      <c r="I19" s="31"/>
      <c r="J19" s="31"/>
      <c r="K19" s="31"/>
      <c r="L19" s="31"/>
      <c r="M19" s="31"/>
      <c r="N19" s="31"/>
      <c r="O19" s="31"/>
      <c r="P19" s="31"/>
      <c r="Q19" s="31"/>
      <c r="R19" s="61"/>
    </row>
    <row r="20" spans="1:24" ht="25.5" customHeight="1">
      <c r="A20" s="31"/>
      <c r="B20" s="31"/>
      <c r="C20" s="31"/>
      <c r="D20" s="31"/>
      <c r="E20" s="31"/>
      <c r="F20" s="31"/>
      <c r="G20" s="31"/>
      <c r="H20" s="31"/>
      <c r="I20" s="31"/>
      <c r="J20" s="31"/>
      <c r="K20" s="31"/>
      <c r="L20" s="31"/>
      <c r="M20" s="31"/>
      <c r="N20" s="31"/>
      <c r="O20" s="31"/>
      <c r="P20" s="31"/>
      <c r="Q20" s="31"/>
      <c r="R20" s="61"/>
    </row>
    <row r="21" spans="1:24" ht="25.5" customHeight="1">
      <c r="A21" s="31"/>
      <c r="B21" s="31"/>
      <c r="C21" s="31"/>
      <c r="D21" s="31"/>
      <c r="E21" s="31"/>
      <c r="F21" s="31"/>
      <c r="G21" s="31"/>
      <c r="H21" s="31"/>
      <c r="I21" s="31"/>
      <c r="J21" s="31"/>
      <c r="K21" s="31"/>
      <c r="L21" s="31"/>
      <c r="M21" s="31"/>
      <c r="N21" s="31"/>
      <c r="O21" s="31"/>
      <c r="P21" s="31"/>
      <c r="Q21" s="31"/>
      <c r="R21" s="61"/>
    </row>
    <row r="22" spans="1:24" ht="25.5" customHeight="1">
      <c r="A22" s="31"/>
      <c r="B22" s="31"/>
      <c r="C22" s="31"/>
      <c r="D22" s="31"/>
      <c r="E22" s="31"/>
      <c r="F22" s="31"/>
      <c r="G22" s="31"/>
      <c r="H22" s="31"/>
      <c r="I22" s="31"/>
      <c r="J22" s="31"/>
      <c r="K22" s="31"/>
      <c r="L22" s="31"/>
      <c r="M22" s="31"/>
      <c r="N22" s="31"/>
      <c r="O22" s="31"/>
      <c r="P22" s="31"/>
      <c r="Q22" s="31"/>
      <c r="R22" s="61"/>
    </row>
    <row r="23" spans="1:24" ht="25.5" customHeight="1">
      <c r="A23" s="31"/>
      <c r="B23" s="31"/>
      <c r="C23" s="31"/>
      <c r="D23" s="31"/>
      <c r="E23" s="31"/>
      <c r="F23" s="31"/>
      <c r="G23" s="31"/>
      <c r="H23" s="31"/>
      <c r="I23" s="31"/>
      <c r="J23" s="31"/>
      <c r="K23" s="31"/>
      <c r="L23" s="31"/>
      <c r="M23" s="31"/>
      <c r="N23" s="31"/>
      <c r="O23" s="31"/>
      <c r="P23" s="31"/>
      <c r="Q23" s="31"/>
      <c r="R23" s="61"/>
    </row>
    <row r="24" spans="1:24" ht="25.5" customHeight="1">
      <c r="A24" s="31"/>
      <c r="B24" s="31"/>
      <c r="C24" s="31"/>
      <c r="D24" s="31"/>
      <c r="E24" s="31"/>
      <c r="F24" s="31"/>
      <c r="G24" s="31"/>
      <c r="H24" s="31"/>
      <c r="I24" s="31"/>
      <c r="J24" s="31"/>
      <c r="K24" s="31"/>
      <c r="L24" s="31"/>
      <c r="M24" s="31"/>
      <c r="N24" s="31"/>
      <c r="O24" s="31"/>
      <c r="P24" s="31"/>
      <c r="Q24" s="31"/>
      <c r="R24" s="61"/>
    </row>
    <row r="25" spans="1:24" ht="25.5" customHeight="1">
      <c r="A25" s="31"/>
      <c r="B25" s="31"/>
      <c r="C25" s="31"/>
      <c r="D25" s="31"/>
      <c r="E25" s="31"/>
      <c r="F25" s="31"/>
      <c r="G25" s="31"/>
      <c r="H25" s="31"/>
      <c r="I25" s="31"/>
      <c r="J25" s="31"/>
      <c r="K25" s="31"/>
      <c r="L25" s="31"/>
      <c r="M25" s="31"/>
      <c r="N25" s="31"/>
      <c r="O25" s="31"/>
      <c r="P25" s="31"/>
      <c r="Q25" s="31"/>
      <c r="R25" s="31"/>
    </row>
    <row r="26" spans="1:24" ht="25.5" customHeight="1">
      <c r="A26" s="31"/>
      <c r="B26" s="31"/>
      <c r="C26" s="31"/>
      <c r="D26" s="31"/>
      <c r="E26" s="31"/>
      <c r="F26" s="31"/>
      <c r="G26" s="31"/>
      <c r="H26" s="31"/>
      <c r="I26" s="31"/>
      <c r="J26" s="31"/>
      <c r="K26" s="31"/>
      <c r="L26" s="31"/>
      <c r="M26" s="31"/>
      <c r="N26" s="31"/>
      <c r="O26" s="31"/>
      <c r="P26" s="31"/>
      <c r="Q26" s="31"/>
      <c r="R26" s="31"/>
    </row>
    <row r="27" spans="1:24" ht="25.5" customHeight="1">
      <c r="A27" s="31"/>
      <c r="B27" s="31"/>
      <c r="C27" s="31"/>
      <c r="D27" s="31"/>
      <c r="E27" s="31"/>
      <c r="F27" s="31"/>
      <c r="G27" s="31"/>
      <c r="H27" s="31"/>
      <c r="I27" s="31"/>
      <c r="J27" s="31"/>
      <c r="K27" s="31"/>
      <c r="L27" s="31"/>
      <c r="M27" s="31"/>
      <c r="N27" s="31"/>
      <c r="O27" s="31"/>
      <c r="P27" s="31"/>
      <c r="Q27" s="31"/>
      <c r="R27" s="31"/>
    </row>
    <row r="28" spans="1:24" ht="25.5" customHeight="1">
      <c r="A28" s="31"/>
      <c r="B28" s="31"/>
      <c r="C28" s="31"/>
      <c r="D28" s="31"/>
      <c r="E28" s="31"/>
      <c r="F28" s="31"/>
      <c r="G28" s="31"/>
      <c r="H28" s="31"/>
      <c r="I28" s="31"/>
      <c r="J28" s="31"/>
      <c r="K28" s="31"/>
      <c r="L28" s="31"/>
      <c r="M28" s="31"/>
      <c r="N28" s="31"/>
      <c r="O28" s="31"/>
      <c r="P28" s="31"/>
      <c r="Q28" s="31"/>
      <c r="R28" s="31"/>
    </row>
    <row r="29" spans="1:24" ht="25.5" customHeight="1">
      <c r="A29" s="31"/>
      <c r="B29" s="31"/>
      <c r="C29" s="31"/>
      <c r="D29" s="31"/>
      <c r="E29" s="31"/>
      <c r="F29" s="31"/>
      <c r="G29" s="31"/>
      <c r="H29" s="31"/>
      <c r="I29" s="31"/>
      <c r="J29" s="31"/>
      <c r="K29" s="31"/>
      <c r="L29" s="31"/>
      <c r="M29" s="31"/>
      <c r="N29" s="31"/>
      <c r="O29" s="31"/>
      <c r="P29" s="31"/>
      <c r="Q29" s="31"/>
      <c r="R29" s="31"/>
    </row>
    <row r="30" spans="1:24" ht="25.5" customHeight="1">
      <c r="A30" s="31"/>
      <c r="B30" s="31"/>
      <c r="C30" s="31"/>
      <c r="D30" s="31"/>
      <c r="E30" s="31"/>
      <c r="F30" s="31"/>
      <c r="G30" s="31"/>
      <c r="H30" s="31"/>
      <c r="I30" s="31"/>
      <c r="J30" s="31"/>
      <c r="K30" s="31"/>
      <c r="L30" s="31"/>
      <c r="M30" s="31"/>
      <c r="N30" s="31"/>
      <c r="O30" s="31"/>
      <c r="P30" s="31"/>
      <c r="Q30" s="31"/>
      <c r="R30" s="31"/>
    </row>
    <row r="31" spans="1:24" ht="25.5" customHeight="1">
      <c r="A31" s="31"/>
      <c r="B31" s="31"/>
      <c r="C31" s="31"/>
      <c r="D31" s="31"/>
      <c r="E31" s="31"/>
      <c r="F31" s="31"/>
      <c r="G31" s="31"/>
      <c r="H31" s="31"/>
      <c r="I31" s="31"/>
      <c r="J31" s="31"/>
      <c r="K31" s="31"/>
      <c r="L31" s="31"/>
      <c r="M31" s="31"/>
      <c r="N31" s="31"/>
      <c r="O31" s="31"/>
      <c r="P31" s="31"/>
      <c r="Q31" s="31"/>
      <c r="R31" s="31"/>
    </row>
    <row r="32" spans="1:24" ht="25.5" customHeight="1">
      <c r="A32" s="31"/>
      <c r="B32" s="31"/>
      <c r="C32" s="31"/>
      <c r="D32" s="31"/>
      <c r="E32" s="31"/>
      <c r="F32" s="31"/>
      <c r="G32" s="31"/>
      <c r="H32" s="31"/>
      <c r="I32" s="31"/>
      <c r="J32" s="31"/>
      <c r="K32" s="31"/>
      <c r="L32" s="31"/>
      <c r="M32" s="31"/>
      <c r="N32" s="31"/>
      <c r="O32" s="31"/>
      <c r="P32" s="31"/>
      <c r="Q32" s="31"/>
      <c r="R32" s="31"/>
    </row>
    <row r="33" spans="1:19" ht="25.5" customHeight="1">
      <c r="A33" s="31"/>
      <c r="B33" s="31"/>
      <c r="C33" s="31"/>
      <c r="D33" s="31"/>
      <c r="E33" s="31"/>
      <c r="F33" s="31"/>
      <c r="G33" s="31"/>
      <c r="H33" s="31"/>
      <c r="I33" s="31"/>
      <c r="J33" s="31"/>
      <c r="K33" s="31"/>
      <c r="L33" s="31"/>
      <c r="M33" s="31"/>
      <c r="N33" s="31"/>
      <c r="O33" s="31"/>
      <c r="P33" s="31"/>
      <c r="Q33" s="31"/>
      <c r="R33" s="31"/>
    </row>
    <row r="34" spans="1:19" ht="25.5" customHeight="1">
      <c r="A34" s="31"/>
      <c r="B34" s="31"/>
      <c r="C34" s="31"/>
      <c r="D34" s="31"/>
      <c r="E34" s="31"/>
      <c r="F34" s="31"/>
      <c r="G34" s="31"/>
      <c r="H34" s="31"/>
      <c r="I34" s="31"/>
      <c r="J34" s="31"/>
      <c r="K34" s="31"/>
      <c r="L34" s="31"/>
      <c r="M34" s="31"/>
      <c r="N34" s="31"/>
      <c r="O34" s="31"/>
      <c r="P34" s="31"/>
      <c r="Q34" s="31"/>
      <c r="R34" s="31"/>
    </row>
    <row r="35" spans="1:19" ht="25.5" customHeight="1">
      <c r="A35" s="31"/>
      <c r="B35" s="31"/>
      <c r="C35" s="31"/>
      <c r="D35" s="31"/>
      <c r="E35" s="31"/>
      <c r="F35" s="31"/>
      <c r="G35" s="31"/>
      <c r="H35" s="31"/>
      <c r="I35" s="31"/>
      <c r="J35" s="31"/>
      <c r="K35" s="31"/>
      <c r="L35" s="31"/>
      <c r="M35" s="31"/>
      <c r="N35" s="31"/>
      <c r="O35" s="31"/>
      <c r="P35" s="31"/>
      <c r="Q35" s="31"/>
      <c r="R35" s="31"/>
    </row>
    <row r="36" spans="1:19" ht="25.5" customHeight="1">
      <c r="A36" s="31"/>
      <c r="B36" s="31"/>
      <c r="C36" s="31"/>
      <c r="D36" s="31"/>
      <c r="E36" s="31"/>
      <c r="F36" s="31"/>
      <c r="G36" s="31"/>
      <c r="H36" s="31"/>
      <c r="I36" s="31"/>
      <c r="J36" s="31"/>
      <c r="K36" s="31"/>
      <c r="L36" s="31"/>
      <c r="M36" s="31"/>
      <c r="N36" s="31"/>
      <c r="O36" s="31"/>
      <c r="P36" s="31"/>
      <c r="Q36" s="31"/>
      <c r="R36" s="31"/>
    </row>
    <row r="37" spans="1:19" ht="25.5" customHeight="1">
      <c r="A37" s="31"/>
      <c r="B37" s="31"/>
      <c r="C37" s="31"/>
      <c r="D37" s="31"/>
      <c r="E37" s="31"/>
      <c r="F37" s="31"/>
      <c r="G37" s="31"/>
      <c r="H37" s="31"/>
      <c r="I37" s="31"/>
      <c r="J37" s="31"/>
      <c r="K37" s="31"/>
      <c r="L37" s="31"/>
      <c r="M37" s="31"/>
      <c r="N37" s="31"/>
      <c r="O37" s="31"/>
      <c r="P37" s="31"/>
      <c r="Q37" s="31"/>
      <c r="R37" s="31"/>
    </row>
    <row r="38" spans="1:19">
      <c r="S38" s="96"/>
    </row>
    <row r="39" spans="1:19">
      <c r="S39" s="96"/>
    </row>
    <row r="40" spans="1:19">
      <c r="S40" s="96"/>
    </row>
    <row r="41" spans="1:19">
      <c r="S41" s="96"/>
    </row>
    <row r="42" spans="1:19" ht="51" customHeight="1">
      <c r="S42" s="96"/>
    </row>
    <row r="43" spans="1:19" ht="78" customHeight="1">
      <c r="A43" s="331"/>
      <c r="B43" s="331"/>
      <c r="C43" s="331"/>
      <c r="D43" s="331"/>
      <c r="E43" s="331"/>
      <c r="F43" s="331"/>
      <c r="G43" s="331"/>
      <c r="H43" s="331"/>
      <c r="I43" s="331"/>
      <c r="J43" s="331"/>
      <c r="K43" s="331"/>
      <c r="L43" s="331"/>
      <c r="M43" s="331"/>
      <c r="N43" s="331"/>
      <c r="O43" s="331"/>
      <c r="P43" s="331"/>
      <c r="Q43" s="331"/>
      <c r="R43" s="331"/>
      <c r="S43" s="96"/>
    </row>
    <row r="49" spans="2:21">
      <c r="S49" s="96"/>
      <c r="T49" s="96"/>
      <c r="U49" s="96"/>
    </row>
    <row r="50" spans="2:21">
      <c r="S50" s="96"/>
      <c r="T50" s="96"/>
      <c r="U50" s="96"/>
    </row>
    <row r="51" spans="2:21">
      <c r="S51" s="96"/>
      <c r="T51" s="96"/>
      <c r="U51" s="96"/>
    </row>
    <row r="52" spans="2:21">
      <c r="S52" s="96"/>
      <c r="T52" s="96"/>
      <c r="U52" s="96"/>
    </row>
    <row r="53" spans="2:21">
      <c r="S53" s="96"/>
      <c r="T53" s="96"/>
      <c r="U53" s="96"/>
    </row>
    <row r="54" spans="2:21">
      <c r="S54" s="96"/>
      <c r="T54" s="96"/>
      <c r="U54" s="96"/>
    </row>
    <row r="55" spans="2:21">
      <c r="B55" s="96"/>
      <c r="C55" s="96"/>
      <c r="D55" s="96"/>
      <c r="E55" s="96"/>
      <c r="F55" s="96"/>
      <c r="G55" s="96"/>
      <c r="H55" s="96"/>
      <c r="I55" s="96"/>
      <c r="J55" s="96"/>
      <c r="K55" s="96"/>
      <c r="L55" s="96"/>
      <c r="M55" s="96"/>
      <c r="N55" s="96"/>
      <c r="O55" s="96"/>
      <c r="P55" s="96"/>
      <c r="Q55" s="96"/>
      <c r="R55" s="96"/>
      <c r="S55" s="96"/>
      <c r="T55" s="96"/>
      <c r="U55" s="96"/>
    </row>
  </sheetData>
  <mergeCells count="2">
    <mergeCell ref="A1:Q1"/>
    <mergeCell ref="A15:P15"/>
  </mergeCells>
  <printOptions horizontalCentered="1" verticalCentered="1"/>
  <pageMargins left="0.39370078740157483" right="0.39370078740157483" top="0.23622047244094491" bottom="0.23622047244094491" header="0.31496062992125984" footer="0.31496062992125984"/>
  <pageSetup scale="40"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3">
    <tabColor theme="9" tint="-0.249977111117893"/>
    <pageSetUpPr fitToPage="1"/>
  </sheetPr>
  <dimension ref="A1:AD54"/>
  <sheetViews>
    <sheetView showGridLines="0" view="pageBreakPreview" zoomScale="55" zoomScaleNormal="100" zoomScaleSheetLayoutView="55" zoomScalePageLayoutView="62" workbookViewId="0">
      <selection activeCell="L10" sqref="L10"/>
    </sheetView>
  </sheetViews>
  <sheetFormatPr baseColWidth="10" defaultColWidth="11.42578125" defaultRowHeight="28.5"/>
  <cols>
    <col min="1" max="1" width="22" style="77" customWidth="1"/>
    <col min="2" max="3" width="17.42578125" style="77" customWidth="1"/>
    <col min="4" max="5" width="18.7109375" style="77" customWidth="1"/>
    <col min="6" max="7" width="18" style="77" customWidth="1"/>
    <col min="8" max="8" width="22.140625" style="77" customWidth="1"/>
    <col min="9" max="10" width="17.140625" style="77" customWidth="1"/>
    <col min="11" max="11" width="13.85546875" style="77" customWidth="1"/>
    <col min="12" max="12" width="12.7109375" style="77" customWidth="1"/>
    <col min="13" max="13" width="19" style="77" customWidth="1"/>
    <col min="14" max="14" width="16.140625" style="77" customWidth="1"/>
    <col min="15" max="15" width="14.28515625" style="77" customWidth="1"/>
    <col min="16" max="16" width="10.5703125" style="77" customWidth="1"/>
    <col min="17" max="17" width="6" style="77" customWidth="1"/>
    <col min="18" max="18" width="18.42578125" style="1125" customWidth="1"/>
    <col min="19" max="19" width="17" style="1125" customWidth="1"/>
    <col min="20" max="20" width="19.140625" style="1125" customWidth="1"/>
    <col min="21" max="21" width="27" style="77" customWidth="1"/>
    <col min="22" max="22" width="14.85546875" style="77" customWidth="1"/>
    <col min="23" max="23" width="14.5703125" style="77" customWidth="1"/>
    <col min="24" max="24" width="24.7109375" style="77" customWidth="1"/>
    <col min="25" max="16384" width="11.42578125" style="77"/>
  </cols>
  <sheetData>
    <row r="1" spans="1:24" ht="87" customHeight="1">
      <c r="A1" s="2026"/>
      <c r="B1" s="2026"/>
      <c r="C1" s="2026"/>
      <c r="D1" s="2026"/>
      <c r="E1" s="2026"/>
      <c r="F1" s="2026"/>
      <c r="G1" s="2026"/>
      <c r="H1" s="2026"/>
      <c r="I1" s="2026"/>
      <c r="J1" s="2026"/>
      <c r="K1" s="2026"/>
      <c r="L1" s="2026"/>
      <c r="M1" s="2026"/>
      <c r="N1" s="2026"/>
      <c r="O1" s="2026"/>
      <c r="P1" s="2026"/>
      <c r="Q1" s="2026"/>
      <c r="R1" s="2026"/>
      <c r="S1" s="2026"/>
      <c r="T1" s="2026"/>
      <c r="U1" s="2026"/>
      <c r="V1" s="2026"/>
    </row>
    <row r="2" spans="1:24" ht="19.5" customHeight="1">
      <c r="A2" s="895"/>
      <c r="B2" s="897"/>
      <c r="C2" s="897"/>
      <c r="D2" s="897"/>
      <c r="E2" s="897"/>
      <c r="F2" s="895"/>
      <c r="G2" s="895"/>
      <c r="H2" s="897" t="s">
        <v>663</v>
      </c>
      <c r="I2" s="895"/>
      <c r="J2" s="895"/>
      <c r="K2" s="895"/>
      <c r="L2" s="895"/>
      <c r="M2" s="895"/>
      <c r="N2" s="895"/>
      <c r="O2" s="895"/>
      <c r="P2" s="895"/>
      <c r="Q2" s="1114"/>
      <c r="R2" s="1114"/>
      <c r="S2" s="1114"/>
      <c r="T2" s="1114"/>
      <c r="U2" s="895"/>
    </row>
    <row r="3" spans="1:24" s="1422" customFormat="1" ht="26.25">
      <c r="A3" s="1410"/>
      <c r="B3" s="2029" t="s">
        <v>661</v>
      </c>
      <c r="C3" s="2030"/>
      <c r="D3" s="2029" t="s">
        <v>662</v>
      </c>
      <c r="E3" s="2031"/>
      <c r="F3" s="2032" t="s">
        <v>664</v>
      </c>
      <c r="G3" s="2032"/>
      <c r="H3" s="2032"/>
      <c r="I3" s="2032"/>
      <c r="J3" s="2033"/>
      <c r="K3" s="1410"/>
      <c r="L3" s="1410"/>
      <c r="M3" s="1410"/>
      <c r="N3" s="1410"/>
      <c r="O3" s="1410"/>
      <c r="P3" s="1410"/>
      <c r="Q3" s="1410"/>
      <c r="R3" s="1410"/>
      <c r="S3" s="1410"/>
      <c r="T3" s="1410"/>
      <c r="U3" s="1410"/>
    </row>
    <row r="4" spans="1:24">
      <c r="A4" s="348" t="s">
        <v>238</v>
      </c>
      <c r="B4" s="902" t="s">
        <v>127</v>
      </c>
      <c r="C4" s="303" t="s">
        <v>75</v>
      </c>
      <c r="D4" s="902" t="s">
        <v>127</v>
      </c>
      <c r="E4" s="304" t="s">
        <v>75</v>
      </c>
      <c r="F4" s="303" t="s">
        <v>127</v>
      </c>
      <c r="G4" s="303" t="s">
        <v>75</v>
      </c>
      <c r="H4" s="305" t="s">
        <v>23</v>
      </c>
      <c r="I4" s="303" t="s">
        <v>712</v>
      </c>
      <c r="J4" s="304" t="s">
        <v>660</v>
      </c>
      <c r="K4" s="1335"/>
      <c r="L4" s="1335"/>
      <c r="M4" s="1335"/>
      <c r="N4" s="1335"/>
      <c r="O4" s="1335"/>
      <c r="R4" s="1123"/>
      <c r="S4" s="1123"/>
      <c r="T4" s="1124"/>
      <c r="U4" s="243"/>
      <c r="V4" s="243"/>
      <c r="W4" s="243"/>
      <c r="X4" s="24"/>
    </row>
    <row r="5" spans="1:24" ht="25.5" customHeight="1">
      <c r="A5" s="903" t="s">
        <v>28</v>
      </c>
      <c r="B5" s="1412">
        <v>479821</v>
      </c>
      <c r="C5" s="1413">
        <v>602115</v>
      </c>
      <c r="D5" s="1412">
        <v>792515</v>
      </c>
      <c r="E5" s="1414">
        <v>684666</v>
      </c>
      <c r="F5" s="1001">
        <f>+D5+B5</f>
        <v>1272336</v>
      </c>
      <c r="G5" s="1413">
        <v>1286781</v>
      </c>
      <c r="H5" s="1415">
        <f t="shared" ref="H5:H13" si="0">F5+G5</f>
        <v>2559117</v>
      </c>
      <c r="I5" s="1416">
        <f>F5/H5</f>
        <v>0.49717773747741895</v>
      </c>
      <c r="J5" s="1417">
        <f>G5/H5</f>
        <v>0.502822262522581</v>
      </c>
      <c r="K5" s="1335"/>
      <c r="L5" s="1335"/>
      <c r="M5" s="1335"/>
      <c r="N5" s="1335"/>
      <c r="O5" s="1335"/>
      <c r="R5" s="1123"/>
      <c r="S5" s="1127"/>
      <c r="T5" s="1126"/>
      <c r="U5" s="904"/>
      <c r="V5" s="901"/>
      <c r="W5" s="241"/>
      <c r="X5" s="24"/>
    </row>
    <row r="6" spans="1:24" ht="25.5" customHeight="1">
      <c r="A6" s="379" t="s">
        <v>29</v>
      </c>
      <c r="B6" s="1418">
        <v>545438</v>
      </c>
      <c r="C6" s="1001">
        <v>679205</v>
      </c>
      <c r="D6" s="1418">
        <v>890402</v>
      </c>
      <c r="E6" s="1002">
        <v>801857</v>
      </c>
      <c r="F6" s="1001">
        <f t="shared" ref="F6:F11" si="1">+D6+B6</f>
        <v>1435840</v>
      </c>
      <c r="G6" s="1001">
        <f t="shared" ref="G6:G13" si="2">+E6+C6</f>
        <v>1481062</v>
      </c>
      <c r="H6" s="1419">
        <f t="shared" si="0"/>
        <v>2916902</v>
      </c>
      <c r="I6" s="1420">
        <f t="shared" ref="I6:I13" si="3">F6/H6</f>
        <v>0.49224828259571285</v>
      </c>
      <c r="J6" s="1421">
        <f t="shared" ref="J6:J12" si="4">G6/H6</f>
        <v>0.50775171740428715</v>
      </c>
      <c r="K6" s="1335"/>
      <c r="L6" s="1335"/>
      <c r="M6" s="1335"/>
      <c r="N6" s="1335"/>
      <c r="O6" s="1335"/>
      <c r="R6" s="1123"/>
      <c r="S6" s="1127"/>
      <c r="T6" s="1126"/>
      <c r="U6" s="904"/>
      <c r="V6" s="901"/>
      <c r="W6" s="241"/>
      <c r="X6" s="24"/>
    </row>
    <row r="7" spans="1:24" ht="25.5" customHeight="1">
      <c r="A7" s="379" t="s">
        <v>30</v>
      </c>
      <c r="B7" s="1418">
        <v>615631</v>
      </c>
      <c r="C7" s="1001">
        <v>788594</v>
      </c>
      <c r="D7" s="1418">
        <v>1078877</v>
      </c>
      <c r="E7" s="1002">
        <v>1009422</v>
      </c>
      <c r="F7" s="1001">
        <f t="shared" si="1"/>
        <v>1694508</v>
      </c>
      <c r="G7" s="1001">
        <f t="shared" si="2"/>
        <v>1798016</v>
      </c>
      <c r="H7" s="1419">
        <f t="shared" si="0"/>
        <v>3492524</v>
      </c>
      <c r="I7" s="1420">
        <f t="shared" si="3"/>
        <v>0.48518149052089549</v>
      </c>
      <c r="J7" s="1421">
        <f t="shared" si="4"/>
        <v>0.51481850947910446</v>
      </c>
      <c r="K7" s="1335"/>
      <c r="L7" s="1335"/>
      <c r="M7" s="1335"/>
      <c r="N7" s="1335"/>
      <c r="O7" s="1335"/>
      <c r="R7" s="1123"/>
      <c r="S7" s="1127"/>
      <c r="T7" s="1126"/>
      <c r="U7" s="904"/>
      <c r="V7" s="901"/>
      <c r="W7" s="241"/>
      <c r="X7" s="24"/>
    </row>
    <row r="8" spans="1:24" ht="25.5" customHeight="1">
      <c r="A8" s="379" t="s">
        <v>191</v>
      </c>
      <c r="B8" s="1418">
        <v>904636</v>
      </c>
      <c r="C8" s="1001">
        <v>1109150</v>
      </c>
      <c r="D8" s="1418">
        <v>1210182</v>
      </c>
      <c r="E8" s="1002">
        <v>1153901</v>
      </c>
      <c r="F8" s="1001">
        <f t="shared" si="1"/>
        <v>2114818</v>
      </c>
      <c r="G8" s="1001">
        <f t="shared" si="2"/>
        <v>2263051</v>
      </c>
      <c r="H8" s="1419">
        <f t="shared" si="0"/>
        <v>4377869</v>
      </c>
      <c r="I8" s="1420">
        <f t="shared" si="3"/>
        <v>0.48307018780141664</v>
      </c>
      <c r="J8" s="1421">
        <f t="shared" si="4"/>
        <v>0.51692981219858336</v>
      </c>
      <c r="K8" s="1335"/>
      <c r="L8" s="1335"/>
      <c r="M8" s="1335"/>
      <c r="N8" s="1335"/>
      <c r="O8" s="1335"/>
      <c r="R8" s="1123"/>
      <c r="S8" s="1127"/>
      <c r="T8" s="1126"/>
      <c r="U8" s="904"/>
      <c r="V8" s="901"/>
      <c r="W8" s="241"/>
      <c r="X8" s="24"/>
    </row>
    <row r="9" spans="1:24" ht="25.5" customHeight="1">
      <c r="A9" s="379" t="s">
        <v>231</v>
      </c>
      <c r="B9" s="1418">
        <v>899174</v>
      </c>
      <c r="C9" s="1001">
        <v>1104253</v>
      </c>
      <c r="D9" s="1418">
        <v>1279458</v>
      </c>
      <c r="E9" s="1002">
        <v>1237965</v>
      </c>
      <c r="F9" s="1001">
        <f t="shared" si="1"/>
        <v>2178632</v>
      </c>
      <c r="G9" s="1001">
        <f t="shared" si="2"/>
        <v>2342218</v>
      </c>
      <c r="H9" s="1419">
        <f t="shared" si="0"/>
        <v>4520850</v>
      </c>
      <c r="I9" s="1420">
        <f t="shared" si="3"/>
        <v>0.48190760587057746</v>
      </c>
      <c r="J9" s="1421">
        <f t="shared" si="4"/>
        <v>0.51809239412942254</v>
      </c>
      <c r="S9" s="1127"/>
      <c r="T9" s="1126"/>
      <c r="U9" s="904"/>
      <c r="V9" s="901"/>
      <c r="W9" s="241"/>
      <c r="X9" s="24"/>
    </row>
    <row r="10" spans="1:24" ht="25.5" customHeight="1">
      <c r="A10" s="379" t="s">
        <v>481</v>
      </c>
      <c r="B10" s="1418">
        <v>1031326</v>
      </c>
      <c r="C10" s="1001">
        <v>1272025</v>
      </c>
      <c r="D10" s="1418">
        <v>1360788</v>
      </c>
      <c r="E10" s="1002">
        <v>1327623</v>
      </c>
      <c r="F10" s="1001">
        <f t="shared" si="1"/>
        <v>2392114</v>
      </c>
      <c r="G10" s="1001">
        <f t="shared" si="2"/>
        <v>2599648</v>
      </c>
      <c r="H10" s="1419">
        <f t="shared" si="0"/>
        <v>4991762</v>
      </c>
      <c r="I10" s="1420">
        <f t="shared" si="3"/>
        <v>0.47921235026830206</v>
      </c>
      <c r="J10" s="1421">
        <f t="shared" si="4"/>
        <v>0.520787649731698</v>
      </c>
      <c r="L10" s="77" t="s">
        <v>31</v>
      </c>
      <c r="R10" s="1123"/>
      <c r="S10" s="1127"/>
      <c r="T10" s="1126"/>
      <c r="U10" s="904"/>
      <c r="V10" s="901"/>
      <c r="W10" s="241"/>
      <c r="X10" s="24"/>
    </row>
    <row r="11" spans="1:24" ht="25.5" customHeight="1">
      <c r="A11" s="379" t="s">
        <v>557</v>
      </c>
      <c r="B11" s="1418">
        <v>1243431</v>
      </c>
      <c r="C11" s="1001">
        <v>1508322</v>
      </c>
      <c r="D11" s="1418">
        <v>1462398</v>
      </c>
      <c r="E11" s="1002">
        <v>1438578</v>
      </c>
      <c r="F11" s="1001">
        <f t="shared" si="1"/>
        <v>2705829</v>
      </c>
      <c r="G11" s="1001">
        <f t="shared" si="2"/>
        <v>2946900</v>
      </c>
      <c r="H11" s="1419">
        <f t="shared" si="0"/>
        <v>5652729</v>
      </c>
      <c r="I11" s="1420">
        <f t="shared" si="3"/>
        <v>0.47867658258515489</v>
      </c>
      <c r="J11" s="1421">
        <f t="shared" si="4"/>
        <v>0.52132341741484511</v>
      </c>
      <c r="R11" s="1123"/>
      <c r="S11" s="1127"/>
      <c r="T11" s="1126"/>
      <c r="U11" s="904"/>
      <c r="V11" s="901"/>
      <c r="W11" s="241"/>
      <c r="X11" s="24"/>
    </row>
    <row r="12" spans="1:24" ht="25.5" customHeight="1">
      <c r="A12" s="379" t="s">
        <v>570</v>
      </c>
      <c r="B12" s="1418">
        <v>1400518</v>
      </c>
      <c r="C12" s="1001">
        <v>1615128</v>
      </c>
      <c r="D12" s="1418">
        <v>1578325</v>
      </c>
      <c r="E12" s="1002">
        <v>1563274</v>
      </c>
      <c r="F12" s="1001">
        <f>+D12+B12</f>
        <v>2978843</v>
      </c>
      <c r="G12" s="1001">
        <f t="shared" si="2"/>
        <v>3178402</v>
      </c>
      <c r="H12" s="1419">
        <f t="shared" si="0"/>
        <v>6157245</v>
      </c>
      <c r="I12" s="1420">
        <f t="shared" si="3"/>
        <v>0.48379478159469047</v>
      </c>
      <c r="J12" s="1421">
        <f t="shared" si="4"/>
        <v>0.51620521840530953</v>
      </c>
      <c r="R12" s="1123"/>
      <c r="S12" s="1123"/>
      <c r="T12" s="1126"/>
      <c r="U12" s="904"/>
      <c r="V12" s="901"/>
      <c r="W12" s="241"/>
      <c r="X12" s="24"/>
    </row>
    <row r="13" spans="1:24" ht="25.5" customHeight="1">
      <c r="A13" s="997" t="s">
        <v>1003</v>
      </c>
      <c r="B13" s="1550">
        <v>1456731</v>
      </c>
      <c r="C13" s="1005">
        <v>1650945</v>
      </c>
      <c r="D13" s="1550">
        <v>1682222</v>
      </c>
      <c r="E13" s="1006">
        <v>1670477</v>
      </c>
      <c r="F13" s="1005">
        <f>+B13+D13</f>
        <v>3138953</v>
      </c>
      <c r="G13" s="1005">
        <f t="shared" si="2"/>
        <v>3321422</v>
      </c>
      <c r="H13" s="1551">
        <f t="shared" si="0"/>
        <v>6460375</v>
      </c>
      <c r="I13" s="1552">
        <f t="shared" si="3"/>
        <v>0.48587783216918523</v>
      </c>
      <c r="J13" s="1553">
        <f>G13/H13</f>
        <v>0.51412216783081477</v>
      </c>
      <c r="S13" s="1127"/>
      <c r="T13" s="1126"/>
      <c r="U13" s="904"/>
      <c r="V13" s="901"/>
      <c r="W13" s="241"/>
      <c r="X13" s="31"/>
    </row>
    <row r="14" spans="1:24" ht="49.5" customHeight="1">
      <c r="A14" s="2028" t="s">
        <v>787</v>
      </c>
      <c r="B14" s="2028"/>
      <c r="C14" s="2028"/>
      <c r="D14" s="2028"/>
      <c r="E14" s="2028"/>
      <c r="F14" s="2028"/>
      <c r="G14" s="2028"/>
      <c r="H14" s="2028"/>
      <c r="I14" s="2028"/>
      <c r="J14" s="2028"/>
      <c r="K14" s="898"/>
      <c r="L14" s="898"/>
      <c r="M14" s="898"/>
      <c r="N14" s="898"/>
      <c r="O14" s="898"/>
      <c r="P14" s="898"/>
      <c r="Q14" s="898"/>
      <c r="S14" s="1127"/>
      <c r="T14" s="1128"/>
      <c r="U14" s="898"/>
      <c r="V14" s="61"/>
      <c r="W14" s="61"/>
      <c r="X14" s="31"/>
    </row>
    <row r="15" spans="1:24" ht="25.5" customHeight="1">
      <c r="A15" s="31"/>
      <c r="B15" s="31"/>
      <c r="C15" s="31"/>
      <c r="D15" s="31"/>
      <c r="E15" s="31"/>
      <c r="F15" s="31"/>
      <c r="G15" s="31"/>
      <c r="H15" s="31"/>
      <c r="I15" s="31"/>
      <c r="J15" s="31"/>
      <c r="K15" s="31"/>
      <c r="L15" s="31"/>
      <c r="M15" s="31"/>
      <c r="N15" s="31"/>
      <c r="O15" s="31"/>
      <c r="P15" s="31"/>
      <c r="Q15" s="31"/>
      <c r="R15" s="1123"/>
      <c r="S15" s="1127"/>
      <c r="T15" s="1129"/>
      <c r="U15" s="31"/>
      <c r="W15" s="61"/>
      <c r="X15" s="31"/>
    </row>
    <row r="16" spans="1:24" ht="25.5" customHeight="1">
      <c r="A16" s="31"/>
      <c r="B16" s="31"/>
      <c r="C16" s="31"/>
      <c r="D16" s="31"/>
      <c r="E16" s="31"/>
      <c r="F16" s="31"/>
      <c r="G16" s="31"/>
      <c r="H16" s="31"/>
      <c r="I16" s="31"/>
      <c r="J16" s="31"/>
      <c r="K16" s="31"/>
      <c r="L16" s="31"/>
      <c r="M16" s="31"/>
      <c r="N16" s="31"/>
      <c r="O16" s="31"/>
      <c r="P16" s="31"/>
      <c r="Q16" s="31"/>
      <c r="R16" s="1123"/>
      <c r="S16" s="1127"/>
      <c r="T16" s="1129"/>
      <c r="U16" s="31"/>
      <c r="V16" s="31"/>
      <c r="W16" s="61"/>
      <c r="X16" s="31"/>
    </row>
    <row r="17" spans="1:30" ht="25.5" customHeight="1">
      <c r="A17" s="31"/>
      <c r="B17" s="31"/>
      <c r="C17" s="31"/>
      <c r="D17" s="31"/>
      <c r="E17" s="31"/>
      <c r="F17" s="31"/>
      <c r="G17" s="31"/>
      <c r="H17" s="31"/>
      <c r="I17" s="31"/>
      <c r="J17" s="31"/>
      <c r="K17" s="31"/>
      <c r="L17" s="31"/>
      <c r="M17" s="31"/>
      <c r="N17" s="31"/>
      <c r="O17" s="31"/>
      <c r="P17" s="31"/>
      <c r="Q17" s="31"/>
      <c r="R17" s="1123"/>
      <c r="S17" s="1123"/>
      <c r="T17" s="1129"/>
      <c r="U17" s="31"/>
      <c r="V17" s="31"/>
      <c r="W17" s="61"/>
      <c r="X17" s="31"/>
      <c r="AD17" s="77" t="s">
        <v>31</v>
      </c>
    </row>
    <row r="18" spans="1:30" ht="25.5" customHeight="1">
      <c r="A18" s="31"/>
      <c r="B18" s="31"/>
      <c r="C18" s="31"/>
      <c r="D18" s="31"/>
      <c r="E18" s="31"/>
      <c r="F18" s="31"/>
      <c r="G18" s="31"/>
      <c r="H18" s="31"/>
      <c r="I18" s="31"/>
      <c r="J18" s="31"/>
      <c r="K18" s="31"/>
      <c r="L18" s="31"/>
      <c r="M18" s="31"/>
      <c r="N18" s="31"/>
      <c r="O18" s="31"/>
      <c r="P18" s="31"/>
      <c r="Q18" s="31"/>
      <c r="R18" s="1129"/>
      <c r="S18" s="1129"/>
      <c r="T18" s="1129"/>
      <c r="U18" s="31"/>
      <c r="V18" s="31"/>
      <c r="W18" s="61"/>
      <c r="X18" s="31"/>
    </row>
    <row r="19" spans="1:30" ht="25.5" customHeight="1">
      <c r="A19" s="31"/>
      <c r="B19" s="31"/>
      <c r="C19" s="31"/>
      <c r="D19" s="31"/>
      <c r="E19" s="31"/>
      <c r="F19" s="31"/>
      <c r="G19" s="31"/>
      <c r="H19" s="31"/>
      <c r="I19" s="31"/>
      <c r="J19" s="31"/>
      <c r="K19" s="31"/>
      <c r="L19" s="31"/>
      <c r="M19" s="31"/>
      <c r="N19" s="31"/>
      <c r="O19" s="31"/>
      <c r="P19" s="31"/>
      <c r="Q19" s="31"/>
      <c r="R19" s="1678"/>
      <c r="S19" s="1129"/>
      <c r="T19" s="1129"/>
      <c r="U19" s="31"/>
      <c r="V19" s="31"/>
      <c r="W19" s="61"/>
      <c r="X19" s="31"/>
    </row>
    <row r="20" spans="1:30" ht="25.5" customHeight="1">
      <c r="A20" s="31"/>
      <c r="B20" s="31"/>
      <c r="C20" s="31"/>
      <c r="D20" s="31"/>
      <c r="E20" s="31"/>
      <c r="F20" s="31"/>
      <c r="G20" s="31"/>
      <c r="H20" s="31"/>
      <c r="I20" s="31"/>
      <c r="J20" s="31"/>
      <c r="K20" s="31"/>
      <c r="L20" s="31"/>
      <c r="M20" s="31"/>
      <c r="N20" s="31"/>
      <c r="O20" s="31"/>
      <c r="P20" s="31"/>
      <c r="Q20" s="31"/>
      <c r="R20" s="1129"/>
      <c r="S20" s="1129"/>
      <c r="T20" s="1129"/>
      <c r="U20" s="31"/>
      <c r="V20" s="31"/>
      <c r="W20" s="61"/>
      <c r="X20" s="31"/>
    </row>
    <row r="21" spans="1:30" ht="25.5" customHeight="1">
      <c r="A21" s="31"/>
      <c r="B21" s="31"/>
      <c r="C21" s="31"/>
      <c r="D21" s="31"/>
      <c r="E21" s="31"/>
      <c r="F21" s="31"/>
      <c r="G21" s="31"/>
      <c r="H21" s="31"/>
      <c r="I21" s="31"/>
      <c r="J21" s="31"/>
      <c r="K21" s="31"/>
      <c r="L21" s="31"/>
      <c r="M21" s="31"/>
      <c r="N21" s="31"/>
      <c r="O21" s="31"/>
      <c r="P21" s="31"/>
      <c r="Q21" s="31"/>
      <c r="R21" s="1129"/>
      <c r="S21" s="1129"/>
      <c r="T21" s="1129"/>
      <c r="U21" s="31"/>
      <c r="V21" s="31"/>
      <c r="W21" s="61"/>
      <c r="X21" s="31"/>
    </row>
    <row r="22" spans="1:30" ht="25.5" customHeight="1">
      <c r="A22" s="31"/>
      <c r="B22" s="31"/>
      <c r="C22" s="31"/>
      <c r="D22" s="31"/>
      <c r="E22" s="31"/>
      <c r="F22" s="31"/>
      <c r="G22" s="31"/>
      <c r="H22" s="31"/>
      <c r="I22" s="31"/>
      <c r="J22" s="31"/>
      <c r="K22" s="31"/>
      <c r="L22" s="31"/>
      <c r="M22" s="31"/>
      <c r="N22" s="31"/>
      <c r="O22" s="31"/>
      <c r="P22" s="31"/>
      <c r="Q22" s="31"/>
      <c r="R22" s="1129"/>
      <c r="S22" s="1129"/>
      <c r="T22" s="1129"/>
      <c r="U22" s="31"/>
      <c r="V22" s="31"/>
      <c r="W22" s="61"/>
      <c r="X22" s="31"/>
    </row>
    <row r="23" spans="1:30" ht="25.5" customHeight="1">
      <c r="A23" s="31"/>
      <c r="B23" s="31"/>
      <c r="C23" s="31"/>
      <c r="D23" s="31"/>
      <c r="E23" s="31"/>
      <c r="F23" s="31"/>
      <c r="G23" s="31"/>
      <c r="H23" s="31"/>
      <c r="I23" s="31"/>
      <c r="J23" s="31"/>
      <c r="K23" s="31"/>
      <c r="L23" s="31"/>
      <c r="M23" s="31"/>
      <c r="N23" s="31"/>
      <c r="O23" s="31"/>
      <c r="P23" s="31"/>
      <c r="Q23" s="31"/>
      <c r="R23" s="1129"/>
      <c r="S23" s="1129"/>
      <c r="T23" s="1129"/>
      <c r="U23" s="31"/>
      <c r="V23" s="31"/>
      <c r="W23" s="61"/>
      <c r="X23" s="31"/>
    </row>
    <row r="24" spans="1:30" ht="25.5" customHeight="1">
      <c r="A24" s="31"/>
      <c r="B24" s="31"/>
      <c r="C24" s="31"/>
      <c r="D24" s="31"/>
      <c r="E24" s="31"/>
      <c r="F24" s="31"/>
      <c r="G24" s="31"/>
      <c r="H24" s="31"/>
      <c r="I24" s="31"/>
      <c r="J24" s="31"/>
      <c r="K24" s="31"/>
      <c r="L24" s="31"/>
      <c r="M24" s="31"/>
      <c r="N24" s="31"/>
      <c r="O24" s="31"/>
      <c r="P24" s="31"/>
      <c r="Q24" s="31"/>
      <c r="R24" s="1129"/>
      <c r="S24" s="1129"/>
      <c r="T24" s="1129"/>
      <c r="U24" s="31"/>
      <c r="V24" s="31"/>
      <c r="W24" s="31"/>
      <c r="X24" s="31"/>
    </row>
    <row r="25" spans="1:30" ht="25.5" customHeight="1">
      <c r="A25" s="31"/>
      <c r="B25" s="31"/>
      <c r="C25" s="31"/>
      <c r="D25" s="31"/>
      <c r="E25" s="31"/>
      <c r="F25" s="31"/>
      <c r="G25" s="31"/>
      <c r="H25" s="31"/>
      <c r="I25" s="31"/>
      <c r="J25" s="31"/>
      <c r="K25" s="31"/>
      <c r="L25" s="31"/>
      <c r="M25" s="31"/>
      <c r="N25" s="31"/>
      <c r="O25" s="31"/>
      <c r="P25" s="31"/>
      <c r="Q25" s="31"/>
      <c r="R25" s="1129"/>
      <c r="S25" s="1129"/>
      <c r="T25" s="1129"/>
      <c r="U25" s="31"/>
      <c r="V25" s="31"/>
      <c r="W25" s="31"/>
      <c r="X25" s="31"/>
    </row>
    <row r="26" spans="1:30" ht="25.5" customHeight="1">
      <c r="A26" s="31"/>
      <c r="B26" s="31"/>
      <c r="C26" s="31"/>
      <c r="D26" s="31"/>
      <c r="E26" s="31"/>
      <c r="F26" s="31"/>
      <c r="G26" s="31"/>
      <c r="H26" s="31"/>
      <c r="I26" s="31"/>
      <c r="J26" s="31"/>
      <c r="K26" s="31"/>
      <c r="L26" s="31"/>
      <c r="M26" s="31"/>
      <c r="N26" s="31"/>
      <c r="O26" s="31"/>
      <c r="P26" s="31"/>
      <c r="Q26" s="31"/>
      <c r="R26" s="1129"/>
      <c r="S26" s="1129"/>
      <c r="T26" s="1129"/>
      <c r="U26" s="31"/>
      <c r="V26" s="31"/>
      <c r="W26" s="31"/>
      <c r="X26" s="31"/>
    </row>
    <row r="27" spans="1:30" ht="25.5" customHeight="1">
      <c r="A27" s="31"/>
      <c r="B27" s="31"/>
      <c r="C27" s="31"/>
      <c r="D27" s="31"/>
      <c r="E27" s="31"/>
      <c r="F27" s="31"/>
      <c r="G27" s="31"/>
      <c r="H27" s="31"/>
      <c r="I27" s="31"/>
      <c r="J27" s="31"/>
      <c r="K27" s="31"/>
      <c r="L27" s="31"/>
      <c r="M27" s="31"/>
      <c r="N27" s="31"/>
      <c r="O27" s="31"/>
      <c r="P27" s="31"/>
      <c r="Q27" s="31"/>
      <c r="R27" s="1129"/>
      <c r="S27" s="1129"/>
      <c r="T27" s="1129"/>
      <c r="U27" s="31"/>
      <c r="V27" s="31"/>
      <c r="W27" s="31"/>
      <c r="X27" s="31"/>
    </row>
    <row r="28" spans="1:30" ht="25.5" customHeight="1">
      <c r="A28" s="31"/>
      <c r="B28" s="31"/>
      <c r="C28" s="31"/>
      <c r="D28" s="31"/>
      <c r="E28" s="31"/>
      <c r="F28" s="31"/>
      <c r="G28" s="31"/>
      <c r="H28" s="31"/>
      <c r="I28" s="31"/>
      <c r="J28" s="31"/>
      <c r="K28" s="31"/>
      <c r="L28" s="31"/>
      <c r="M28" s="31"/>
      <c r="N28" s="31"/>
      <c r="O28" s="31"/>
      <c r="P28" s="31"/>
      <c r="Q28" s="31"/>
      <c r="R28" s="1129"/>
      <c r="S28" s="1129"/>
      <c r="T28" s="1129"/>
      <c r="U28" s="31"/>
      <c r="V28" s="31"/>
      <c r="W28" s="31"/>
      <c r="X28" s="31"/>
    </row>
    <row r="29" spans="1:30" ht="25.5" customHeight="1">
      <c r="A29" s="31"/>
      <c r="B29" s="31"/>
      <c r="C29" s="31"/>
      <c r="D29" s="31"/>
      <c r="E29" s="31"/>
      <c r="F29" s="31"/>
      <c r="G29" s="31"/>
      <c r="H29" s="31"/>
      <c r="I29" s="31"/>
      <c r="J29" s="31"/>
      <c r="K29" s="31"/>
      <c r="L29" s="31"/>
      <c r="M29" s="31"/>
      <c r="N29" s="31"/>
      <c r="O29" s="31"/>
      <c r="P29" s="31"/>
      <c r="Q29" s="31"/>
      <c r="R29" s="1129"/>
      <c r="S29" s="1129"/>
      <c r="T29" s="1129"/>
      <c r="U29" s="31"/>
      <c r="V29" s="31"/>
      <c r="W29" s="31"/>
      <c r="X29" s="31"/>
    </row>
    <row r="30" spans="1:30" ht="25.5" customHeight="1">
      <c r="A30" s="31"/>
      <c r="B30" s="31"/>
      <c r="C30" s="31"/>
      <c r="D30" s="31"/>
      <c r="E30" s="31"/>
      <c r="F30" s="31"/>
      <c r="G30" s="31"/>
      <c r="H30" s="31"/>
      <c r="I30" s="31"/>
      <c r="J30" s="31"/>
      <c r="K30" s="31"/>
      <c r="L30" s="31"/>
      <c r="M30" s="31"/>
      <c r="N30" s="31"/>
      <c r="O30" s="31"/>
      <c r="P30" s="31"/>
      <c r="Q30" s="31"/>
      <c r="R30" s="1129"/>
      <c r="S30" s="1129"/>
      <c r="T30" s="1129"/>
      <c r="U30" s="31"/>
      <c r="V30" s="31"/>
      <c r="W30" s="31"/>
      <c r="X30" s="31"/>
    </row>
    <row r="31" spans="1:30" ht="25.5" customHeight="1">
      <c r="A31" s="31"/>
      <c r="B31" s="31"/>
      <c r="C31" s="31"/>
      <c r="D31" s="31"/>
      <c r="E31" s="31"/>
      <c r="F31" s="31"/>
      <c r="G31" s="31"/>
      <c r="H31" s="31"/>
      <c r="I31" s="31"/>
      <c r="J31" s="31"/>
      <c r="K31" s="31"/>
      <c r="L31" s="31"/>
      <c r="M31" s="31"/>
      <c r="N31" s="31"/>
      <c r="O31" s="31"/>
      <c r="P31" s="31"/>
      <c r="Q31" s="31"/>
      <c r="R31" s="1129"/>
      <c r="S31" s="1129"/>
      <c r="T31" s="1129"/>
      <c r="U31" s="31"/>
      <c r="V31" s="31"/>
      <c r="W31" s="31"/>
      <c r="X31" s="31"/>
    </row>
    <row r="32" spans="1:30" ht="25.5" customHeight="1">
      <c r="A32" s="31"/>
      <c r="B32" s="31"/>
      <c r="C32" s="31"/>
      <c r="D32" s="31"/>
      <c r="E32" s="31"/>
      <c r="F32" s="31"/>
      <c r="G32" s="31"/>
      <c r="H32" s="31"/>
      <c r="I32" s="31"/>
      <c r="J32" s="31"/>
      <c r="K32" s="31"/>
      <c r="L32" s="31"/>
      <c r="M32" s="31"/>
      <c r="N32" s="31"/>
      <c r="O32" s="31"/>
      <c r="P32" s="31"/>
      <c r="Q32" s="31"/>
      <c r="R32" s="1129"/>
      <c r="S32" s="1129"/>
      <c r="T32" s="1129"/>
      <c r="U32" s="31"/>
      <c r="V32" s="31"/>
      <c r="W32" s="31"/>
      <c r="X32" s="31"/>
    </row>
    <row r="33" spans="1:27" ht="25.5" customHeight="1">
      <c r="A33" s="31"/>
      <c r="B33" s="31"/>
      <c r="C33" s="31"/>
      <c r="D33" s="31"/>
      <c r="E33" s="31"/>
      <c r="F33" s="31"/>
      <c r="G33" s="31"/>
      <c r="H33" s="31"/>
      <c r="I33" s="31"/>
      <c r="J33" s="31"/>
      <c r="K33" s="31"/>
      <c r="L33" s="31"/>
      <c r="M33" s="31"/>
      <c r="N33" s="31"/>
      <c r="O33" s="31"/>
      <c r="P33" s="31"/>
      <c r="Q33" s="31"/>
      <c r="R33" s="1129"/>
      <c r="S33" s="1129"/>
      <c r="T33" s="1129"/>
      <c r="U33" s="31"/>
      <c r="V33" s="31"/>
      <c r="W33" s="31"/>
      <c r="X33" s="31"/>
    </row>
    <row r="34" spans="1:27" ht="25.5" customHeight="1">
      <c r="A34" s="31"/>
      <c r="B34" s="31"/>
      <c r="C34" s="31"/>
      <c r="D34" s="31"/>
      <c r="E34" s="31"/>
      <c r="F34" s="31"/>
      <c r="G34" s="31"/>
      <c r="H34" s="31"/>
      <c r="I34" s="31"/>
      <c r="J34" s="31"/>
      <c r="K34" s="31"/>
      <c r="L34" s="31"/>
      <c r="M34" s="31"/>
      <c r="N34" s="31"/>
      <c r="O34" s="31"/>
      <c r="P34" s="31"/>
      <c r="Q34" s="31"/>
      <c r="R34" s="1129"/>
      <c r="S34" s="1129"/>
      <c r="T34" s="1129"/>
      <c r="U34" s="31"/>
      <c r="V34" s="31"/>
      <c r="W34" s="31"/>
      <c r="X34" s="95"/>
    </row>
    <row r="35" spans="1:27" ht="25.5" customHeight="1">
      <c r="A35" s="31"/>
      <c r="B35" s="31"/>
      <c r="C35" s="31"/>
      <c r="D35" s="31"/>
      <c r="E35" s="31"/>
      <c r="F35" s="31"/>
      <c r="G35" s="31"/>
      <c r="H35" s="31"/>
      <c r="I35" s="31"/>
      <c r="J35" s="31"/>
      <c r="K35" s="31"/>
      <c r="L35" s="31"/>
      <c r="M35" s="31"/>
      <c r="N35" s="31"/>
      <c r="O35" s="31"/>
      <c r="P35" s="31"/>
      <c r="Q35" s="31"/>
      <c r="R35" s="1129"/>
      <c r="S35" s="1129"/>
      <c r="T35" s="1129"/>
      <c r="U35" s="31"/>
      <c r="V35" s="31"/>
      <c r="W35" s="31"/>
      <c r="X35" s="95"/>
    </row>
    <row r="36" spans="1:27" ht="25.5" customHeight="1">
      <c r="A36" s="31"/>
      <c r="B36" s="31"/>
      <c r="C36" s="31"/>
      <c r="D36" s="31"/>
      <c r="E36" s="31"/>
      <c r="F36" s="31"/>
      <c r="G36" s="31"/>
      <c r="H36" s="31"/>
      <c r="I36" s="31"/>
      <c r="J36" s="31"/>
      <c r="K36" s="31"/>
      <c r="L36" s="31"/>
      <c r="M36" s="31"/>
      <c r="N36" s="31"/>
      <c r="O36" s="31"/>
      <c r="P36" s="31"/>
      <c r="Q36" s="31"/>
      <c r="R36" s="1129"/>
      <c r="S36" s="1129"/>
      <c r="T36" s="1129"/>
      <c r="U36" s="31"/>
      <c r="V36" s="31"/>
      <c r="W36" s="31"/>
      <c r="X36" s="95"/>
    </row>
    <row r="37" spans="1:27">
      <c r="X37" s="95"/>
      <c r="Y37" s="96"/>
    </row>
    <row r="38" spans="1:27">
      <c r="X38" s="95"/>
      <c r="Y38" s="96"/>
    </row>
    <row r="39" spans="1:27">
      <c r="X39" s="894"/>
      <c r="Y39" s="96"/>
    </row>
    <row r="40" spans="1:27">
      <c r="X40" s="96"/>
      <c r="Y40" s="96"/>
    </row>
    <row r="41" spans="1:27" ht="51" customHeight="1">
      <c r="X41" s="96"/>
      <c r="Y41" s="96"/>
    </row>
    <row r="42" spans="1:27" ht="78" customHeight="1">
      <c r="A42" s="894"/>
      <c r="B42" s="896"/>
      <c r="C42" s="896"/>
      <c r="D42" s="896"/>
      <c r="E42" s="896"/>
      <c r="F42" s="894"/>
      <c r="G42" s="894"/>
      <c r="H42" s="894"/>
      <c r="I42" s="894"/>
      <c r="J42" s="894"/>
      <c r="K42" s="894"/>
      <c r="L42" s="894"/>
      <c r="M42" s="894"/>
      <c r="N42" s="894"/>
      <c r="O42" s="894"/>
      <c r="P42" s="894"/>
      <c r="Q42" s="1113"/>
      <c r="R42" s="1130"/>
      <c r="S42" s="1130"/>
      <c r="T42" s="1130"/>
      <c r="U42" s="894"/>
      <c r="V42" s="894"/>
      <c r="W42" s="894"/>
      <c r="X42" s="96"/>
      <c r="Y42" s="96"/>
    </row>
    <row r="43" spans="1:27">
      <c r="X43" s="96"/>
    </row>
    <row r="44" spans="1:27">
      <c r="X44" s="96"/>
    </row>
    <row r="45" spans="1:27">
      <c r="X45" s="96"/>
    </row>
    <row r="46" spans="1:27">
      <c r="X46" s="96"/>
    </row>
    <row r="47" spans="1:27">
      <c r="X47" s="96"/>
    </row>
    <row r="48" spans="1:27">
      <c r="X48" s="96"/>
      <c r="Y48" s="96"/>
      <c r="Z48" s="96"/>
      <c r="AA48" s="96"/>
    </row>
    <row r="49" spans="6:27">
      <c r="X49" s="96"/>
      <c r="Y49" s="96"/>
      <c r="Z49" s="96"/>
      <c r="AA49" s="96"/>
    </row>
    <row r="50" spans="6:27">
      <c r="X50" s="96"/>
      <c r="Y50" s="96"/>
      <c r="Z50" s="96"/>
      <c r="AA50" s="96"/>
    </row>
    <row r="51" spans="6:27">
      <c r="X51" s="96"/>
      <c r="Y51" s="96"/>
      <c r="Z51" s="96"/>
      <c r="AA51" s="96"/>
    </row>
    <row r="52" spans="6:27">
      <c r="Y52" s="96"/>
      <c r="Z52" s="96"/>
      <c r="AA52" s="96"/>
    </row>
    <row r="53" spans="6:27">
      <c r="Y53" s="96"/>
      <c r="Z53" s="96"/>
      <c r="AA53" s="96"/>
    </row>
    <row r="54" spans="6:27">
      <c r="F54" s="96"/>
      <c r="G54" s="96"/>
      <c r="H54" s="96"/>
      <c r="I54" s="96"/>
      <c r="J54" s="96"/>
      <c r="K54" s="96"/>
      <c r="L54" s="96"/>
      <c r="M54" s="96"/>
      <c r="N54" s="96"/>
      <c r="O54" s="96"/>
      <c r="P54" s="96"/>
      <c r="Q54" s="96"/>
      <c r="R54" s="1131"/>
      <c r="S54" s="1131"/>
      <c r="T54" s="1131"/>
      <c r="U54" s="96"/>
      <c r="V54" s="96"/>
      <c r="W54" s="96"/>
      <c r="Y54" s="96"/>
      <c r="Z54" s="96"/>
      <c r="AA54" s="96"/>
    </row>
  </sheetData>
  <mergeCells count="5">
    <mergeCell ref="A1:V1"/>
    <mergeCell ref="A14:J14"/>
    <mergeCell ref="B3:C3"/>
    <mergeCell ref="D3:E3"/>
    <mergeCell ref="F3:J3"/>
  </mergeCells>
  <printOptions horizontalCentered="1" verticalCentered="1"/>
  <pageMargins left="0.39370078740157483" right="0.39370078740157483" top="0.23622047244094491" bottom="0.23622047244094491" header="0.31496062992125984" footer="0.31496062992125984"/>
  <pageSetup scale="48" orientation="landscape"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4">
    <tabColor theme="9" tint="-0.249977111117893"/>
  </sheetPr>
  <dimension ref="A1:CN55"/>
  <sheetViews>
    <sheetView showGridLines="0" view="pageBreakPreview" zoomScale="55" zoomScaleNormal="40" zoomScaleSheetLayoutView="55" workbookViewId="0">
      <pane ySplit="1" topLeftCell="A2" activePane="bottomLeft" state="frozen"/>
      <selection activeCell="M22" sqref="M22"/>
      <selection pane="bottomLeft" activeCell="C15" sqref="C15"/>
    </sheetView>
  </sheetViews>
  <sheetFormatPr baseColWidth="10" defaultColWidth="11.5703125" defaultRowHeight="15"/>
  <cols>
    <col min="1" max="1" width="22.28515625" style="77" customWidth="1"/>
    <col min="2" max="2" width="20.85546875" style="77" customWidth="1"/>
    <col min="3" max="3" width="27" style="77" customWidth="1"/>
    <col min="4" max="4" width="27.5703125" style="77" customWidth="1"/>
    <col min="5" max="5" width="15.28515625" style="47" bestFit="1" customWidth="1"/>
    <col min="6" max="6" width="17.42578125" style="47" bestFit="1" customWidth="1"/>
    <col min="7" max="7" width="13.85546875" style="77" customWidth="1"/>
    <col min="8" max="8" width="18.85546875" style="77" bestFit="1" customWidth="1"/>
    <col min="9" max="9" width="13.85546875" style="77" customWidth="1"/>
    <col min="10" max="10" width="14.140625" style="77" customWidth="1"/>
    <col min="11" max="11" width="12.140625" style="77" customWidth="1"/>
    <col min="12" max="12" width="39.28515625" style="77" customWidth="1"/>
    <col min="13" max="13" width="15.42578125" style="77" bestFit="1" customWidth="1"/>
    <col min="14" max="15" width="11.5703125" style="77"/>
    <col min="16" max="16" width="17.5703125" style="77" customWidth="1"/>
    <col min="17" max="17" width="11.5703125" style="77"/>
    <col min="18" max="18" width="47.28515625" style="47" customWidth="1"/>
    <col min="19" max="20" width="14.7109375" style="47" bestFit="1" customWidth="1"/>
    <col min="21" max="21" width="13.7109375" style="47" bestFit="1" customWidth="1"/>
    <col min="22" max="92" width="11.5703125" style="47"/>
    <col min="93" max="16384" width="11.5703125" style="77"/>
  </cols>
  <sheetData>
    <row r="1" spans="1:16" ht="117.75" customHeight="1">
      <c r="A1" s="2034"/>
      <c r="B1" s="2034"/>
      <c r="C1" s="2034"/>
      <c r="D1" s="2034"/>
      <c r="E1" s="2034"/>
      <c r="F1" s="2034"/>
      <c r="G1" s="2034"/>
      <c r="H1" s="2034"/>
      <c r="I1" s="2034"/>
      <c r="J1" s="2034"/>
      <c r="K1" s="2034"/>
      <c r="L1" s="2034"/>
      <c r="M1" s="2034"/>
      <c r="N1" s="2034"/>
      <c r="O1" s="2034"/>
      <c r="P1" s="2034"/>
    </row>
    <row r="2" spans="1:16" ht="14.25" customHeight="1">
      <c r="A2" s="2035" t="s">
        <v>31</v>
      </c>
      <c r="B2" s="2035"/>
      <c r="C2" s="2035"/>
      <c r="D2" s="2035"/>
      <c r="E2" s="2035"/>
      <c r="F2" s="2035"/>
      <c r="G2" s="2035"/>
      <c r="H2" s="2035"/>
      <c r="I2" s="2035"/>
      <c r="J2" s="2035"/>
      <c r="K2" s="2035"/>
      <c r="L2" s="2035"/>
      <c r="M2" s="2035"/>
      <c r="N2" s="2035"/>
      <c r="O2" s="2035"/>
      <c r="P2" s="2035"/>
    </row>
    <row r="3" spans="1:16" ht="33" customHeight="1">
      <c r="A3" s="2036" t="s">
        <v>24</v>
      </c>
      <c r="B3" s="2036"/>
      <c r="C3" s="2036"/>
      <c r="D3" s="2036"/>
      <c r="E3" s="81"/>
      <c r="F3" s="1513"/>
      <c r="G3" s="66"/>
      <c r="I3" s="66"/>
      <c r="J3" s="66"/>
      <c r="K3" s="66"/>
      <c r="L3" s="66"/>
      <c r="M3" s="66"/>
      <c r="N3" s="66"/>
      <c r="O3" s="66"/>
    </row>
    <row r="4" spans="1:16" ht="54" customHeight="1">
      <c r="A4" s="311" t="s">
        <v>25</v>
      </c>
      <c r="B4" s="310" t="s">
        <v>33</v>
      </c>
      <c r="C4" s="310" t="s">
        <v>32</v>
      </c>
      <c r="D4" s="1916" t="s">
        <v>540</v>
      </c>
      <c r="F4" s="1513"/>
      <c r="G4" s="103"/>
      <c r="H4" s="66"/>
      <c r="I4" s="349"/>
      <c r="J4" s="66"/>
      <c r="K4" s="66"/>
      <c r="L4" s="66"/>
      <c r="M4" s="66"/>
      <c r="N4" s="66"/>
      <c r="O4" s="66"/>
    </row>
    <row r="5" spans="1:16" ht="18.75">
      <c r="A5" s="892" t="s">
        <v>26</v>
      </c>
      <c r="B5" s="352">
        <v>9020226.0000000037</v>
      </c>
      <c r="C5" s="353">
        <v>1687712</v>
      </c>
      <c r="D5" s="1528">
        <f t="shared" ref="D5:D17" si="0">+C5/B5</f>
        <v>0.18710307258376888</v>
      </c>
      <c r="F5" s="1514"/>
      <c r="G5" s="103"/>
      <c r="I5" s="349"/>
      <c r="J5" s="66"/>
      <c r="K5" s="66"/>
      <c r="L5" s="66"/>
      <c r="M5" s="66"/>
      <c r="N5" s="66"/>
      <c r="O5" s="66"/>
    </row>
    <row r="6" spans="1:16" ht="18.75">
      <c r="A6" s="892" t="s">
        <v>27</v>
      </c>
      <c r="B6" s="354">
        <v>9123786.5</v>
      </c>
      <c r="C6" s="246">
        <v>2102527</v>
      </c>
      <c r="D6" s="813">
        <f t="shared" si="0"/>
        <v>0.23044456377842687</v>
      </c>
      <c r="F6" s="1514"/>
      <c r="G6" s="103"/>
      <c r="H6" s="1512"/>
      <c r="I6" s="349"/>
      <c r="J6" s="66"/>
      <c r="K6" s="66"/>
      <c r="L6" s="66"/>
      <c r="M6" s="66"/>
      <c r="N6" s="66"/>
      <c r="O6" s="66"/>
    </row>
    <row r="7" spans="1:16" ht="18.75">
      <c r="A7" s="892" t="s">
        <v>28</v>
      </c>
      <c r="B7" s="354">
        <v>9226223</v>
      </c>
      <c r="C7" s="246">
        <v>2449608</v>
      </c>
      <c r="D7" s="813">
        <f t="shared" si="0"/>
        <v>0.26550496340701935</v>
      </c>
      <c r="G7" s="103"/>
      <c r="H7" s="1512"/>
      <c r="I7" s="349"/>
      <c r="J7" s="66"/>
      <c r="K7" s="66"/>
      <c r="L7" s="66"/>
      <c r="M7" s="66"/>
      <c r="N7" s="66"/>
      <c r="O7" s="66"/>
    </row>
    <row r="8" spans="1:16" ht="18.75">
      <c r="A8" s="892" t="s">
        <v>29</v>
      </c>
      <c r="B8" s="354">
        <v>9327818</v>
      </c>
      <c r="C8" s="246">
        <v>2934940</v>
      </c>
      <c r="D8" s="813">
        <f t="shared" si="0"/>
        <v>0.31464378914768704</v>
      </c>
      <c r="F8" s="1514"/>
      <c r="G8" s="103"/>
      <c r="H8" s="1512"/>
      <c r="I8" s="349"/>
      <c r="J8" s="66"/>
      <c r="K8" s="66"/>
      <c r="L8" s="66"/>
      <c r="M8" s="66"/>
      <c r="N8" s="66"/>
      <c r="O8" s="66"/>
    </row>
    <row r="9" spans="1:16" ht="18.75">
      <c r="A9" s="892" t="s">
        <v>30</v>
      </c>
      <c r="B9" s="354">
        <v>9428533.4999999963</v>
      </c>
      <c r="C9" s="246">
        <v>3521433</v>
      </c>
      <c r="D9" s="813">
        <f t="shared" si="0"/>
        <v>0.37348682061743765</v>
      </c>
      <c r="F9" s="1514"/>
      <c r="G9" s="103"/>
      <c r="H9" s="66"/>
      <c r="I9" s="349"/>
      <c r="J9" s="66"/>
      <c r="K9" s="66"/>
      <c r="L9" s="66"/>
      <c r="M9" s="66"/>
      <c r="N9" s="66"/>
      <c r="O9" s="66"/>
    </row>
    <row r="10" spans="1:16" ht="18.75">
      <c r="A10" s="892" t="s">
        <v>191</v>
      </c>
      <c r="B10" s="354">
        <v>9529297.5000000037</v>
      </c>
      <c r="C10" s="246">
        <v>4414548</v>
      </c>
      <c r="D10" s="813">
        <f t="shared" si="0"/>
        <v>0.46326059187468943</v>
      </c>
      <c r="F10" s="1514"/>
      <c r="G10" s="103"/>
      <c r="H10" s="66"/>
      <c r="I10" s="349"/>
      <c r="J10" s="66"/>
      <c r="K10" s="66"/>
      <c r="L10" s="66"/>
      <c r="M10" s="66"/>
      <c r="N10" s="66"/>
      <c r="O10" s="66"/>
    </row>
    <row r="11" spans="1:16" ht="18.75">
      <c r="A11" s="892" t="s">
        <v>231</v>
      </c>
      <c r="B11" s="354">
        <v>9630258.5</v>
      </c>
      <c r="C11" s="246">
        <v>4564572</v>
      </c>
      <c r="D11" s="813">
        <f t="shared" si="0"/>
        <v>0.47398229237564082</v>
      </c>
      <c r="F11" s="1515"/>
      <c r="G11" s="103"/>
      <c r="H11" s="66"/>
      <c r="I11" s="349"/>
      <c r="J11" s="67"/>
      <c r="K11" s="67"/>
      <c r="L11" s="67"/>
      <c r="M11" s="67"/>
      <c r="N11" s="67"/>
      <c r="O11" s="67"/>
    </row>
    <row r="12" spans="1:16" ht="18.75">
      <c r="A12" s="892" t="s">
        <v>34</v>
      </c>
      <c r="B12" s="354">
        <v>9730638.5</v>
      </c>
      <c r="C12" s="246">
        <v>5054406</v>
      </c>
      <c r="D12" s="813">
        <f t="shared" si="0"/>
        <v>0.51943210098700099</v>
      </c>
      <c r="F12" s="1512"/>
      <c r="G12" s="103"/>
      <c r="H12" s="66"/>
      <c r="I12" s="349"/>
      <c r="J12" s="67"/>
      <c r="K12" s="67"/>
      <c r="L12" s="67"/>
      <c r="M12" s="67"/>
      <c r="N12" s="67"/>
      <c r="O12" s="67"/>
    </row>
    <row r="13" spans="1:16" ht="18.75">
      <c r="A13" s="892" t="s">
        <v>35</v>
      </c>
      <c r="B13" s="354">
        <v>9830624</v>
      </c>
      <c r="C13" s="246">
        <v>5638332</v>
      </c>
      <c r="D13" s="813">
        <f t="shared" si="0"/>
        <v>0.57354772189435788</v>
      </c>
      <c r="F13" s="1512"/>
      <c r="G13" s="103"/>
      <c r="H13" s="66"/>
      <c r="I13" s="349"/>
      <c r="J13" s="67"/>
      <c r="K13" s="67"/>
      <c r="L13" s="67"/>
      <c r="M13" s="67"/>
      <c r="N13" s="67"/>
      <c r="O13" s="67"/>
    </row>
    <row r="14" spans="1:16" ht="18.75">
      <c r="A14" s="890" t="s">
        <v>36</v>
      </c>
      <c r="B14" s="354">
        <v>9930374</v>
      </c>
      <c r="C14" s="246">
        <v>6187615</v>
      </c>
      <c r="D14" s="813">
        <f t="shared" si="0"/>
        <v>0.62309989533123322</v>
      </c>
      <c r="G14" s="103"/>
      <c r="H14" s="66"/>
      <c r="I14" s="349"/>
      <c r="J14" s="67"/>
      <c r="K14" s="67"/>
      <c r="L14" s="67"/>
      <c r="M14" s="67"/>
      <c r="N14" s="67"/>
      <c r="O14" s="67"/>
    </row>
    <row r="15" spans="1:16" ht="18.75">
      <c r="A15" s="890" t="s">
        <v>37</v>
      </c>
      <c r="B15" s="355">
        <v>10028011.5</v>
      </c>
      <c r="C15" s="382">
        <f>+$C$33+C14</f>
        <v>6824935</v>
      </c>
      <c r="D15" s="814">
        <f t="shared" si="0"/>
        <v>0.68058707351901226</v>
      </c>
      <c r="G15" s="103"/>
      <c r="H15" s="66"/>
      <c r="I15" s="349"/>
      <c r="J15" s="67"/>
      <c r="K15" s="67"/>
      <c r="L15" s="67"/>
      <c r="M15" s="67"/>
      <c r="N15" s="67"/>
      <c r="O15" s="67"/>
    </row>
    <row r="16" spans="1:16" ht="18.75">
      <c r="A16" s="890" t="s">
        <v>38</v>
      </c>
      <c r="B16" s="355">
        <v>10123138.999999996</v>
      </c>
      <c r="C16" s="382">
        <f t="shared" ref="C16:C21" si="1">+$C$33+C15</f>
        <v>7462255</v>
      </c>
      <c r="D16" s="814">
        <f t="shared" si="0"/>
        <v>0.73714832918919737</v>
      </c>
      <c r="G16" s="67"/>
      <c r="H16" s="66"/>
      <c r="I16" s="349"/>
      <c r="J16" s="67"/>
      <c r="K16" s="67"/>
      <c r="L16" s="67"/>
      <c r="M16" s="67"/>
      <c r="N16" s="67"/>
      <c r="O16" s="67"/>
    </row>
    <row r="17" spans="1:15" ht="18.75">
      <c r="A17" s="890" t="s">
        <v>39</v>
      </c>
      <c r="B17" s="355">
        <v>10217441.000000004</v>
      </c>
      <c r="C17" s="382">
        <f t="shared" si="1"/>
        <v>8099575</v>
      </c>
      <c r="D17" s="814">
        <f t="shared" si="0"/>
        <v>0.79272050604451716</v>
      </c>
      <c r="G17" s="67"/>
      <c r="H17" s="66"/>
      <c r="I17" s="349"/>
      <c r="J17" s="67"/>
      <c r="K17" s="67"/>
      <c r="L17" s="67"/>
      <c r="M17" s="67"/>
      <c r="N17" s="67"/>
      <c r="O17" s="67"/>
    </row>
    <row r="18" spans="1:15" ht="18.75">
      <c r="A18" s="890" t="s">
        <v>40</v>
      </c>
      <c r="B18" s="355">
        <v>10310702.5</v>
      </c>
      <c r="C18" s="382">
        <f t="shared" si="1"/>
        <v>8736895</v>
      </c>
      <c r="D18" s="814">
        <f>+C18/B18</f>
        <v>0.84736175832830019</v>
      </c>
      <c r="G18" s="67"/>
      <c r="H18" s="66"/>
      <c r="I18" s="349"/>
      <c r="J18" s="67"/>
      <c r="K18" s="67"/>
      <c r="L18" s="67"/>
      <c r="M18" s="67"/>
      <c r="N18" s="67"/>
      <c r="O18" s="67"/>
    </row>
    <row r="19" spans="1:15" ht="18.75">
      <c r="A19" s="890" t="s">
        <v>232</v>
      </c>
      <c r="B19" s="355">
        <v>10402759</v>
      </c>
      <c r="C19" s="382">
        <f t="shared" si="1"/>
        <v>9374215</v>
      </c>
      <c r="D19" s="814">
        <f>+C19/B19</f>
        <v>0.90112776812382178</v>
      </c>
      <c r="G19" s="67"/>
      <c r="H19" s="67"/>
      <c r="I19" s="67"/>
      <c r="J19" s="67"/>
      <c r="K19" s="67"/>
      <c r="L19" s="94"/>
    </row>
    <row r="20" spans="1:15" ht="18.75">
      <c r="A20" s="890" t="s">
        <v>233</v>
      </c>
      <c r="B20" s="355">
        <v>10492689.000000004</v>
      </c>
      <c r="C20" s="382">
        <f t="shared" si="1"/>
        <v>10011535</v>
      </c>
      <c r="D20" s="814">
        <f>+C20/B20</f>
        <v>0.95414388056293253</v>
      </c>
      <c r="F20" s="1512"/>
      <c r="G20" s="67"/>
      <c r="H20" s="351"/>
      <c r="I20" s="350"/>
      <c r="J20" s="67"/>
      <c r="K20" s="67"/>
      <c r="L20" s="94"/>
    </row>
    <row r="21" spans="1:15" ht="17.25" customHeight="1">
      <c r="A21" s="891" t="s">
        <v>234</v>
      </c>
      <c r="B21" s="356">
        <v>10580622.5</v>
      </c>
      <c r="C21" s="383">
        <f t="shared" si="1"/>
        <v>10648855</v>
      </c>
      <c r="D21" s="1510">
        <f>+C21/B21</f>
        <v>1.0064488171655306</v>
      </c>
      <c r="E21" s="1511"/>
      <c r="F21" s="1511"/>
      <c r="G21" s="1"/>
      <c r="H21" s="1"/>
      <c r="I21" s="1"/>
      <c r="J21" s="1"/>
      <c r="K21" s="1"/>
    </row>
    <row r="22" spans="1:15" s="47" customFormat="1" ht="15.75">
      <c r="A22" s="1529" t="s">
        <v>776</v>
      </c>
      <c r="B22" s="1511"/>
      <c r="C22" s="1511"/>
      <c r="D22" s="1511"/>
      <c r="E22" s="1511"/>
      <c r="F22" s="1511"/>
      <c r="G22" s="1511"/>
      <c r="H22" s="1511"/>
      <c r="I22" s="1511"/>
      <c r="J22" s="1511"/>
      <c r="K22" s="1511"/>
    </row>
    <row r="23" spans="1:15" s="47" customFormat="1">
      <c r="B23" s="1511"/>
      <c r="C23" s="1511"/>
      <c r="D23" s="1511"/>
      <c r="E23" s="1511"/>
      <c r="F23" s="1511"/>
      <c r="G23" s="1511"/>
      <c r="H23" s="1511"/>
      <c r="I23" s="1511"/>
      <c r="J23" s="1511"/>
      <c r="K23" s="1511"/>
    </row>
    <row r="24" spans="1:15" s="47" customFormat="1">
      <c r="B24" s="1511"/>
      <c r="C24" s="1511"/>
      <c r="D24" s="1511"/>
      <c r="E24" s="1511"/>
      <c r="F24" s="1511"/>
      <c r="G24" s="1511"/>
      <c r="H24" s="1511"/>
      <c r="I24" s="1511"/>
      <c r="J24" s="1511"/>
      <c r="K24" s="1511"/>
    </row>
    <row r="25" spans="1:15" s="47" customFormat="1">
      <c r="B25" s="247"/>
      <c r="C25" s="1511"/>
      <c r="D25" s="1511"/>
      <c r="E25" s="1511"/>
      <c r="F25" s="1511"/>
      <c r="G25" s="1511"/>
      <c r="H25" s="1511"/>
      <c r="I25" s="1511"/>
      <c r="J25" s="1511"/>
      <c r="K25" s="1511"/>
    </row>
    <row r="26" spans="1:15" s="47" customFormat="1">
      <c r="B26" s="1511"/>
      <c r="C26" s="1511"/>
      <c r="D26" s="1511"/>
      <c r="E26" s="1511"/>
      <c r="F26" s="1511"/>
      <c r="G26" s="1511"/>
      <c r="H26" s="1511"/>
      <c r="I26" s="1511"/>
      <c r="J26" s="1511"/>
      <c r="K26" s="1511"/>
    </row>
    <row r="27" spans="1:15" s="47" customFormat="1">
      <c r="B27" s="1511"/>
      <c r="C27" s="1511"/>
      <c r="D27" s="1511"/>
      <c r="E27" s="1511"/>
      <c r="F27" s="1511"/>
      <c r="G27" s="1511"/>
      <c r="H27" s="1511"/>
      <c r="I27" s="1511"/>
      <c r="J27" s="1511"/>
      <c r="K27" s="1511"/>
    </row>
    <row r="28" spans="1:15" s="47" customFormat="1">
      <c r="B28" s="1511"/>
      <c r="C28" s="1511"/>
      <c r="D28" s="1511"/>
      <c r="E28" s="1511"/>
      <c r="F28" s="1511"/>
      <c r="G28" s="1511"/>
      <c r="H28" s="1511"/>
      <c r="I28" s="1511"/>
      <c r="J28" s="1511"/>
      <c r="K28" s="1511"/>
    </row>
    <row r="29" spans="1:15" s="47" customFormat="1">
      <c r="F29" s="1511"/>
      <c r="G29" s="1511"/>
      <c r="H29" s="1511"/>
      <c r="I29" s="1511"/>
      <c r="J29" s="1511"/>
      <c r="K29" s="1511"/>
    </row>
    <row r="30" spans="1:15" s="47" customFormat="1">
      <c r="F30" s="1511"/>
      <c r="G30" s="1511"/>
      <c r="H30" s="1511"/>
      <c r="I30" s="1511"/>
      <c r="J30" s="1511"/>
      <c r="K30" s="1511"/>
    </row>
    <row r="31" spans="1:15" s="47" customFormat="1">
      <c r="F31" s="1511"/>
      <c r="G31" s="1511"/>
      <c r="H31" s="1511"/>
      <c r="I31" s="1511"/>
      <c r="J31" s="1511"/>
      <c r="K31" s="1511"/>
    </row>
    <row r="32" spans="1:15" s="47" customFormat="1">
      <c r="F32" s="1511"/>
      <c r="G32" s="1511"/>
      <c r="H32" s="1511"/>
      <c r="I32" s="1511"/>
      <c r="J32" s="1511"/>
      <c r="K32" s="1511"/>
    </row>
    <row r="33" spans="2:11" s="47" customFormat="1" ht="18.75">
      <c r="C33" s="1512">
        <f>592018*E16+637320</f>
        <v>637320</v>
      </c>
      <c r="F33" s="1511"/>
      <c r="G33" s="1511"/>
      <c r="H33" s="1511"/>
      <c r="I33" s="1511"/>
      <c r="J33" s="1511"/>
      <c r="K33" s="1511"/>
    </row>
    <row r="34" spans="2:11" s="47" customFormat="1">
      <c r="F34" s="1511"/>
      <c r="G34" s="1511"/>
      <c r="H34" s="1511"/>
      <c r="I34" s="1511"/>
      <c r="J34" s="1511"/>
      <c r="K34" s="1511"/>
    </row>
    <row r="35" spans="2:11" s="47" customFormat="1">
      <c r="F35" s="1511"/>
      <c r="G35" s="1511"/>
      <c r="H35" s="1511"/>
      <c r="I35" s="1511"/>
      <c r="J35" s="1511"/>
      <c r="K35" s="1511"/>
    </row>
    <row r="36" spans="2:11" s="47" customFormat="1">
      <c r="F36" s="1511"/>
      <c r="G36" s="1511"/>
      <c r="H36" s="1511"/>
      <c r="I36" s="1511"/>
      <c r="J36" s="1511"/>
      <c r="K36" s="1511"/>
    </row>
    <row r="37" spans="2:11" s="47" customFormat="1">
      <c r="F37" s="1511"/>
      <c r="G37" s="1511"/>
      <c r="H37" s="1511"/>
      <c r="I37" s="1511"/>
      <c r="J37" s="1511"/>
      <c r="K37" s="1511"/>
    </row>
    <row r="38" spans="2:11" s="47" customFormat="1">
      <c r="F38" s="1511"/>
      <c r="G38" s="1511"/>
      <c r="H38" s="1511"/>
      <c r="I38" s="1511"/>
      <c r="J38" s="1511"/>
      <c r="K38" s="1511"/>
    </row>
    <row r="39" spans="2:11" s="47" customFormat="1">
      <c r="F39" s="1511"/>
      <c r="G39" s="1511"/>
      <c r="H39" s="1511"/>
      <c r="I39" s="1511"/>
      <c r="J39" s="1511"/>
      <c r="K39" s="1511"/>
    </row>
    <row r="40" spans="2:11" s="47" customFormat="1">
      <c r="B40" s="1511"/>
      <c r="C40" s="1511"/>
      <c r="D40" s="1511"/>
      <c r="E40" s="1511"/>
      <c r="F40" s="1511"/>
      <c r="G40" s="1511"/>
      <c r="H40" s="1511"/>
      <c r="I40" s="1511"/>
      <c r="J40" s="1511"/>
      <c r="K40" s="1511"/>
    </row>
    <row r="41" spans="2:11" s="47" customFormat="1">
      <c r="B41" s="1511"/>
      <c r="C41" s="1511"/>
      <c r="D41" s="1511"/>
      <c r="E41" s="1511"/>
      <c r="F41" s="1511"/>
      <c r="G41" s="1511"/>
      <c r="H41" s="1511"/>
      <c r="I41" s="1511"/>
      <c r="J41" s="1511"/>
      <c r="K41" s="1511"/>
    </row>
    <row r="42" spans="2:11" s="47" customFormat="1">
      <c r="B42" s="1511"/>
      <c r="C42" s="1511"/>
      <c r="D42" s="1511"/>
      <c r="E42" s="1511"/>
      <c r="F42" s="1511"/>
      <c r="G42" s="1511"/>
      <c r="H42" s="1511"/>
      <c r="I42" s="1511"/>
      <c r="J42" s="1511"/>
      <c r="K42" s="1511"/>
    </row>
    <row r="43" spans="2:11" s="47" customFormat="1">
      <c r="B43" s="1511"/>
      <c r="C43" s="1511"/>
      <c r="D43" s="1511"/>
      <c r="E43" s="1511"/>
      <c r="F43" s="1511"/>
      <c r="G43" s="1511"/>
      <c r="H43" s="1511"/>
      <c r="I43" s="1511"/>
      <c r="J43" s="1511"/>
      <c r="K43" s="1511"/>
    </row>
    <row r="44" spans="2:11" s="47" customFormat="1">
      <c r="B44" s="1511"/>
      <c r="C44" s="1511"/>
      <c r="D44" s="1511"/>
      <c r="E44" s="1511"/>
      <c r="F44" s="1511"/>
      <c r="G44" s="1511"/>
      <c r="H44" s="1511"/>
      <c r="I44" s="1511"/>
      <c r="J44" s="1511"/>
      <c r="K44" s="1511"/>
    </row>
    <row r="45" spans="2:11" s="47" customFormat="1">
      <c r="B45" s="1511"/>
      <c r="C45" s="1511"/>
      <c r="D45" s="1511"/>
      <c r="E45" s="1511"/>
      <c r="F45" s="1511"/>
      <c r="G45" s="1511"/>
      <c r="H45" s="1511"/>
      <c r="I45" s="1511"/>
      <c r="J45" s="1511"/>
      <c r="K45" s="1511"/>
    </row>
    <row r="46" spans="2:11" s="47" customFormat="1">
      <c r="B46" s="1511"/>
      <c r="C46" s="1511"/>
      <c r="D46" s="1511"/>
      <c r="E46" s="1511"/>
      <c r="F46" s="1511"/>
      <c r="G46" s="1511"/>
      <c r="H46" s="1511"/>
      <c r="I46" s="1511"/>
      <c r="J46" s="1511"/>
      <c r="K46" s="1511"/>
    </row>
    <row r="47" spans="2:11" s="47" customFormat="1">
      <c r="B47" s="1511"/>
      <c r="C47" s="1511"/>
      <c r="D47" s="1511"/>
      <c r="E47" s="1511"/>
      <c r="F47" s="1511"/>
      <c r="G47" s="1511"/>
      <c r="H47" s="1511"/>
      <c r="I47" s="1511"/>
      <c r="J47" s="1511"/>
      <c r="K47" s="1511"/>
    </row>
    <row r="48" spans="2:11" s="47" customFormat="1">
      <c r="B48" s="1511"/>
      <c r="C48" s="1511"/>
      <c r="D48" s="1511"/>
      <c r="E48" s="1511"/>
      <c r="F48" s="1511"/>
      <c r="G48" s="1511"/>
      <c r="H48" s="1511"/>
      <c r="I48" s="1511"/>
      <c r="J48" s="1511"/>
      <c r="K48" s="1511"/>
    </row>
    <row r="49" spans="2:11" s="47" customFormat="1">
      <c r="B49" s="1511"/>
      <c r="C49" s="1511"/>
      <c r="D49" s="1511"/>
      <c r="E49" s="1511"/>
      <c r="F49" s="1511"/>
      <c r="G49" s="1511"/>
      <c r="H49" s="1511"/>
      <c r="I49" s="1511"/>
      <c r="J49" s="1511"/>
      <c r="K49" s="1511"/>
    </row>
    <row r="50" spans="2:11" s="47" customFormat="1">
      <c r="B50" s="1511"/>
      <c r="C50" s="1511"/>
      <c r="D50" s="1511"/>
    </row>
    <row r="51" spans="2:11" s="47" customFormat="1"/>
    <row r="52" spans="2:11" s="47" customFormat="1"/>
    <row r="53" spans="2:11" s="47" customFormat="1"/>
    <row r="54" spans="2:11" s="47" customFormat="1"/>
    <row r="55" spans="2:11" ht="36.75" customHeight="1"/>
  </sheetData>
  <mergeCells count="3">
    <mergeCell ref="A1:P1"/>
    <mergeCell ref="A2:P2"/>
    <mergeCell ref="A3:D3"/>
  </mergeCells>
  <printOptions horizontalCentered="1" verticalCentered="1"/>
  <pageMargins left="0.39370078740157483" right="0.39370078740157483" top="0.23622047244094491" bottom="0.19" header="0.24" footer="0.18"/>
  <pageSetup scale="43" orientation="landscape"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5">
    <tabColor theme="9" tint="-0.249977111117893"/>
  </sheetPr>
  <dimension ref="A1"/>
  <sheetViews>
    <sheetView showGridLines="0" showRowColHeaders="0" view="pageBreakPreview" zoomScale="70" zoomScaleNormal="100" zoomScaleSheetLayoutView="70" workbookViewId="0">
      <selection activeCell="L51" sqref="L51"/>
    </sheetView>
  </sheetViews>
  <sheetFormatPr baseColWidth="10" defaultColWidth="11.42578125" defaultRowHeight="15"/>
  <cols>
    <col min="1" max="6" width="11.42578125" style="77"/>
    <col min="7" max="7" width="35.7109375" style="77" customWidth="1"/>
    <col min="8" max="16384" width="11.42578125" style="77"/>
  </cols>
  <sheetData/>
  <pageMargins left="0.7" right="0.7" top="0.75" bottom="0.75" header="0.3" footer="0.3"/>
  <pageSetup scale="77" orientation="landscape"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6">
    <tabColor theme="9" tint="-0.249977111117893"/>
    <pageSetUpPr fitToPage="1"/>
  </sheetPr>
  <dimension ref="D2:R59"/>
  <sheetViews>
    <sheetView showGridLines="0" view="pageBreakPreview" zoomScale="85" zoomScaleNormal="100" zoomScaleSheetLayoutView="85" workbookViewId="0"/>
  </sheetViews>
  <sheetFormatPr baseColWidth="10" defaultColWidth="11.42578125" defaultRowHeight="15"/>
  <cols>
    <col min="1" max="8" width="12.85546875" style="77" customWidth="1"/>
    <col min="9" max="9" width="18.7109375" style="77" customWidth="1"/>
    <col min="10" max="10" width="18.85546875" style="77" customWidth="1"/>
    <col min="11" max="11" width="18.5703125" style="77" customWidth="1"/>
    <col min="12" max="12" width="26.42578125" style="77" customWidth="1"/>
    <col min="13" max="13" width="20.85546875" style="77" customWidth="1"/>
    <col min="14" max="14" width="5.5703125" style="77" customWidth="1"/>
    <col min="15" max="15" width="16" style="77" customWidth="1"/>
    <col min="16" max="16" width="17.85546875" style="77" bestFit="1" customWidth="1"/>
    <col min="17" max="16384" width="11.42578125" style="77"/>
  </cols>
  <sheetData>
    <row r="2" spans="15:18">
      <c r="O2" s="173"/>
    </row>
    <row r="6" spans="15:18" ht="11.25" customHeight="1">
      <c r="O6" s="815"/>
    </row>
    <row r="15" spans="15:18">
      <c r="Q15" s="277"/>
    </row>
    <row r="16" spans="15:18">
      <c r="Q16" s="277"/>
      <c r="R16" s="500"/>
    </row>
    <row r="17" spans="13:17">
      <c r="Q17" s="277"/>
    </row>
    <row r="21" spans="13:17">
      <c r="O21" s="173"/>
    </row>
    <row r="22" spans="13:17">
      <c r="Q22" s="173"/>
    </row>
    <row r="23" spans="13:17">
      <c r="Q23" s="173"/>
    </row>
    <row r="24" spans="13:17">
      <c r="M24" s="173"/>
      <c r="Q24" s="173"/>
    </row>
    <row r="25" spans="13:17">
      <c r="Q25" s="173"/>
    </row>
    <row r="26" spans="13:17">
      <c r="M26" s="173"/>
    </row>
    <row r="27" spans="13:17">
      <c r="P27" s="501"/>
    </row>
    <row r="30" spans="13:17">
      <c r="P30" s="173"/>
    </row>
    <row r="31" spans="13:17">
      <c r="P31" s="173"/>
    </row>
    <row r="32" spans="13:17">
      <c r="P32" s="173"/>
    </row>
    <row r="34" spans="4:16">
      <c r="O34" s="815"/>
    </row>
    <row r="35" spans="4:16">
      <c r="O35" s="815"/>
    </row>
    <row r="38" spans="4:16">
      <c r="P38" s="173"/>
    </row>
    <row r="39" spans="4:16">
      <c r="P39" s="173"/>
    </row>
    <row r="40" spans="4:16">
      <c r="P40" s="173"/>
    </row>
    <row r="42" spans="4:16">
      <c r="O42" s="815"/>
    </row>
    <row r="43" spans="4:16">
      <c r="O43" s="815"/>
    </row>
    <row r="46" spans="4:16" ht="20.25" customHeight="1"/>
    <row r="47" spans="4:16">
      <c r="D47" s="173"/>
      <c r="E47" s="173"/>
      <c r="P47" s="815"/>
    </row>
    <row r="48" spans="4:16">
      <c r="D48" s="173"/>
      <c r="E48" s="173"/>
      <c r="G48" s="156"/>
      <c r="H48" s="173"/>
      <c r="P48" s="815"/>
    </row>
    <row r="49" spans="5:15">
      <c r="F49" s="500"/>
      <c r="G49" s="156"/>
      <c r="H49" s="173"/>
    </row>
    <row r="50" spans="5:15">
      <c r="G50" s="156"/>
      <c r="H50" s="173"/>
    </row>
    <row r="51" spans="5:15">
      <c r="E51" s="156"/>
      <c r="F51" s="173"/>
      <c r="G51" s="173"/>
      <c r="H51" s="173"/>
      <c r="O51" s="815"/>
    </row>
    <row r="52" spans="5:15">
      <c r="E52" s="156"/>
      <c r="F52" s="173"/>
      <c r="G52" s="173"/>
      <c r="H52" s="173"/>
    </row>
    <row r="53" spans="5:15">
      <c r="F53" s="173"/>
      <c r="G53" s="173"/>
      <c r="H53" s="173"/>
    </row>
    <row r="54" spans="5:15">
      <c r="F54" s="173"/>
      <c r="G54" s="173"/>
      <c r="H54" s="173"/>
    </row>
    <row r="55" spans="5:15">
      <c r="F55" s="173"/>
      <c r="G55" s="173"/>
      <c r="H55" s="173"/>
    </row>
    <row r="56" spans="5:15">
      <c r="F56" s="173"/>
      <c r="G56" s="173"/>
      <c r="H56" s="173"/>
    </row>
    <row r="57" spans="5:15">
      <c r="F57" s="173"/>
      <c r="G57" s="173"/>
      <c r="H57" s="173"/>
    </row>
    <row r="58" spans="5:15">
      <c r="F58" s="173"/>
      <c r="G58" s="173"/>
      <c r="H58" s="173"/>
    </row>
    <row r="59" spans="5:15">
      <c r="F59" s="173"/>
      <c r="G59" s="173"/>
      <c r="H59" s="173"/>
    </row>
  </sheetData>
  <pageMargins left="0.70866141732283472" right="0.70866141732283472" top="0.74803149606299213" bottom="0.74803149606299213" header="0.31496062992125984" footer="0.31496062992125984"/>
  <pageSetup scale="65" orientation="landscape"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7">
    <tabColor rgb="FFFFFF00"/>
  </sheetPr>
  <dimension ref="A1:AE92"/>
  <sheetViews>
    <sheetView showGridLines="0" view="pageBreakPreview" zoomScale="55" zoomScaleNormal="100" zoomScaleSheetLayoutView="55" zoomScalePageLayoutView="62" workbookViewId="0">
      <selection activeCell="A2" sqref="A2"/>
    </sheetView>
  </sheetViews>
  <sheetFormatPr baseColWidth="10" defaultColWidth="11.42578125" defaultRowHeight="21"/>
  <cols>
    <col min="1" max="1" width="19.5703125" style="77" customWidth="1"/>
    <col min="2" max="2" width="21.7109375" style="77" customWidth="1"/>
    <col min="3" max="3" width="23.5703125" style="77" customWidth="1"/>
    <col min="4" max="4" width="21.7109375" style="77" customWidth="1"/>
    <col min="5" max="5" width="24.140625" style="77" customWidth="1"/>
    <col min="6" max="6" width="26.85546875" style="77" customWidth="1"/>
    <col min="7" max="7" width="22.5703125" style="77" customWidth="1"/>
    <col min="8" max="8" width="21.85546875" style="77" customWidth="1"/>
    <col min="9" max="9" width="23" style="77" customWidth="1"/>
    <col min="10" max="10" width="23.5703125" style="77" customWidth="1"/>
    <col min="11" max="11" width="19.28515625" style="77" customWidth="1"/>
    <col min="12" max="12" width="24.85546875" style="77" customWidth="1"/>
    <col min="13" max="13" width="17.28515625" style="77" customWidth="1"/>
    <col min="14" max="14" width="17" style="77" customWidth="1"/>
    <col min="15" max="15" width="12.5703125" style="77" customWidth="1"/>
    <col min="16" max="16" width="13.28515625" style="77" customWidth="1"/>
    <col min="17" max="17" width="25.28515625" style="1056" customWidth="1"/>
    <col min="18" max="18" width="20.42578125" style="77" customWidth="1"/>
    <col min="19" max="19" width="14.7109375" style="77" customWidth="1"/>
    <col min="20" max="20" width="13" style="77" customWidth="1"/>
    <col min="21" max="24" width="11.42578125" style="77"/>
    <col min="25" max="25" width="18.7109375" style="77" bestFit="1" customWidth="1"/>
    <col min="26" max="16384" width="11.42578125" style="77"/>
  </cols>
  <sheetData>
    <row r="1" spans="1:31" ht="114.75" customHeight="1">
      <c r="A1" s="2037"/>
      <c r="B1" s="2037"/>
      <c r="C1" s="2037"/>
      <c r="D1" s="2037"/>
      <c r="E1" s="2037"/>
      <c r="F1" s="2037"/>
      <c r="G1" s="2037"/>
      <c r="H1" s="2037"/>
      <c r="I1" s="2037"/>
      <c r="J1" s="2037"/>
      <c r="K1" s="2037"/>
      <c r="L1" s="2037"/>
      <c r="M1" s="2037"/>
      <c r="N1" s="2037"/>
      <c r="O1" s="2037"/>
      <c r="P1" s="2037"/>
    </row>
    <row r="2" spans="1:31" ht="64.5" customHeight="1">
      <c r="A2" s="361" t="s">
        <v>238</v>
      </c>
      <c r="B2" s="362" t="s">
        <v>548</v>
      </c>
      <c r="C2" s="362" t="s">
        <v>573</v>
      </c>
      <c r="D2" s="362" t="s">
        <v>549</v>
      </c>
      <c r="E2" s="362" t="s">
        <v>550</v>
      </c>
      <c r="F2" s="1171" t="s">
        <v>551</v>
      </c>
      <c r="G2" s="362" t="s">
        <v>620</v>
      </c>
      <c r="H2" s="362" t="s">
        <v>782</v>
      </c>
      <c r="I2" s="364" t="s">
        <v>555</v>
      </c>
      <c r="J2" s="61"/>
      <c r="K2" s="61"/>
      <c r="L2" s="61"/>
      <c r="M2" s="61"/>
      <c r="N2" s="61"/>
      <c r="O2" s="61"/>
      <c r="P2" s="61"/>
      <c r="Q2" s="62"/>
      <c r="R2" s="24"/>
      <c r="S2" s="24"/>
      <c r="T2" s="24"/>
    </row>
    <row r="3" spans="1:31" ht="18.75" customHeight="1">
      <c r="A3" s="365" t="s">
        <v>485</v>
      </c>
      <c r="B3" s="1172">
        <v>919911</v>
      </c>
      <c r="C3" s="1173">
        <f t="shared" ref="C3:C8" si="0">D3+E3</f>
        <v>557270</v>
      </c>
      <c r="D3" s="1172">
        <v>553015</v>
      </c>
      <c r="E3" s="1172">
        <v>4255</v>
      </c>
      <c r="F3" s="1174">
        <f t="shared" ref="F3:F10" si="1">+B3+D3+E3</f>
        <v>1477181</v>
      </c>
      <c r="G3" s="1227">
        <f t="shared" ref="G3:G8" si="2">B3/F3</f>
        <v>0.62274765245423547</v>
      </c>
      <c r="H3" s="1227">
        <f t="shared" ref="H3:H8" si="3">C3/F3</f>
        <v>0.37725234754576453</v>
      </c>
      <c r="I3" s="1175">
        <f>+C3/B3</f>
        <v>0.60578686416403327</v>
      </c>
      <c r="J3" s="61"/>
      <c r="K3" s="920"/>
      <c r="L3" s="61"/>
      <c r="M3" s="61"/>
      <c r="N3" s="61"/>
      <c r="O3" s="61"/>
      <c r="P3" s="61"/>
      <c r="R3" s="24"/>
      <c r="S3" s="24"/>
      <c r="T3" s="24"/>
    </row>
    <row r="4" spans="1:31" ht="18.75" customHeight="1">
      <c r="A4" s="365" t="s">
        <v>486</v>
      </c>
      <c r="B4" s="1172">
        <v>966146</v>
      </c>
      <c r="C4" s="1173">
        <f t="shared" si="0"/>
        <v>726113</v>
      </c>
      <c r="D4" s="1172">
        <v>707328</v>
      </c>
      <c r="E4" s="1172">
        <v>18785</v>
      </c>
      <c r="F4" s="1174">
        <f t="shared" si="1"/>
        <v>1692259</v>
      </c>
      <c r="G4" s="1227">
        <f t="shared" si="2"/>
        <v>0.57092088149627218</v>
      </c>
      <c r="H4" s="1227">
        <f t="shared" si="3"/>
        <v>0.42907911850372787</v>
      </c>
      <c r="I4" s="1175">
        <f t="shared" ref="I4:I10" si="4">+C4/B4</f>
        <v>0.75155618301995764</v>
      </c>
      <c r="J4" s="61"/>
      <c r="K4" s="1228"/>
      <c r="L4" s="61"/>
      <c r="M4" s="61"/>
      <c r="N4" s="61"/>
      <c r="O4" s="61"/>
      <c r="P4" s="61"/>
      <c r="Q4" s="1093"/>
      <c r="R4" s="24"/>
      <c r="S4" s="24"/>
      <c r="T4" s="24"/>
    </row>
    <row r="5" spans="1:31" ht="18.75" customHeight="1">
      <c r="A5" s="365" t="s">
        <v>195</v>
      </c>
      <c r="B5" s="1172">
        <v>1079602</v>
      </c>
      <c r="C5" s="1173">
        <f t="shared" si="0"/>
        <v>1008697</v>
      </c>
      <c r="D5" s="1172">
        <v>962409</v>
      </c>
      <c r="E5" s="1172">
        <v>46288</v>
      </c>
      <c r="F5" s="1174">
        <f t="shared" si="1"/>
        <v>2088299</v>
      </c>
      <c r="G5" s="1227">
        <f t="shared" si="2"/>
        <v>0.51697673561113611</v>
      </c>
      <c r="H5" s="1227">
        <f t="shared" si="3"/>
        <v>0.48302326438886384</v>
      </c>
      <c r="I5" s="1175">
        <f t="shared" si="4"/>
        <v>0.93432301903849757</v>
      </c>
      <c r="J5" s="1229"/>
      <c r="K5" s="1172"/>
      <c r="L5" s="1230"/>
      <c r="M5" s="1226"/>
      <c r="N5" s="1226"/>
      <c r="O5" s="1226"/>
      <c r="P5" s="1226"/>
      <c r="Q5" s="1093"/>
      <c r="R5" s="24"/>
      <c r="S5" s="24"/>
      <c r="T5" s="24"/>
    </row>
    <row r="6" spans="1:31" ht="18.75" customHeight="1">
      <c r="A6" s="365" t="s">
        <v>196</v>
      </c>
      <c r="B6" s="1172">
        <v>1152861</v>
      </c>
      <c r="C6" s="1173">
        <f t="shared" si="0"/>
        <v>1211222</v>
      </c>
      <c r="D6" s="1172">
        <v>1140803</v>
      </c>
      <c r="E6" s="1172">
        <v>70419</v>
      </c>
      <c r="F6" s="1174">
        <f t="shared" si="1"/>
        <v>2364083</v>
      </c>
      <c r="G6" s="1227">
        <f t="shared" si="2"/>
        <v>0.487656736248262</v>
      </c>
      <c r="H6" s="1227">
        <f t="shared" si="3"/>
        <v>0.512343263751738</v>
      </c>
      <c r="I6" s="1175">
        <f t="shared" si="4"/>
        <v>1.0506227550415879</v>
      </c>
      <c r="J6" s="1235"/>
      <c r="K6" s="1679"/>
      <c r="L6" s="1231"/>
      <c r="M6" s="1232"/>
      <c r="N6" s="1226"/>
      <c r="O6" s="1233"/>
      <c r="P6" s="1226"/>
      <c r="Q6" s="1093"/>
      <c r="R6" s="24"/>
      <c r="S6" s="24"/>
      <c r="T6" s="24"/>
    </row>
    <row r="7" spans="1:31" ht="18.75" customHeight="1">
      <c r="A7" s="365" t="s">
        <v>487</v>
      </c>
      <c r="B7" s="1172">
        <v>1188345</v>
      </c>
      <c r="C7" s="1173">
        <f t="shared" si="0"/>
        <v>1329078</v>
      </c>
      <c r="D7" s="1172">
        <v>1234019</v>
      </c>
      <c r="E7" s="1172">
        <v>95059</v>
      </c>
      <c r="F7" s="1174">
        <f t="shared" si="1"/>
        <v>2517423</v>
      </c>
      <c r="G7" s="1227">
        <f t="shared" si="2"/>
        <v>0.47204820167290124</v>
      </c>
      <c r="H7" s="1227">
        <f t="shared" si="3"/>
        <v>0.52795179832709882</v>
      </c>
      <c r="I7" s="1175">
        <f t="shared" si="4"/>
        <v>1.1184277293210305</v>
      </c>
      <c r="J7" s="1229"/>
      <c r="K7" s="1233"/>
      <c r="L7" s="788"/>
      <c r="M7" s="1233"/>
      <c r="N7" s="1226"/>
      <c r="O7" s="1233"/>
      <c r="P7" s="1226"/>
      <c r="Q7" s="1093"/>
      <c r="R7" s="24"/>
      <c r="S7" s="24"/>
      <c r="T7" s="24"/>
    </row>
    <row r="8" spans="1:31" ht="18.75" customHeight="1">
      <c r="A8" s="365" t="s">
        <v>488</v>
      </c>
      <c r="B8" s="1172">
        <v>1242830</v>
      </c>
      <c r="C8" s="1173">
        <f t="shared" si="0"/>
        <v>1445581</v>
      </c>
      <c r="D8" s="1172">
        <v>1332478</v>
      </c>
      <c r="E8" s="1172">
        <v>113103</v>
      </c>
      <c r="F8" s="1174">
        <f t="shared" si="1"/>
        <v>2688411</v>
      </c>
      <c r="G8" s="1227">
        <f t="shared" si="2"/>
        <v>0.46229166596922866</v>
      </c>
      <c r="H8" s="1227">
        <f t="shared" si="3"/>
        <v>0.53770833403077134</v>
      </c>
      <c r="I8" s="1175">
        <f t="shared" si="4"/>
        <v>1.1631365512580161</v>
      </c>
      <c r="J8" s="144"/>
      <c r="K8" s="1231"/>
      <c r="L8" s="1231"/>
      <c r="M8" s="1234"/>
      <c r="N8" s="1226"/>
      <c r="O8" s="1233"/>
      <c r="P8" s="1226"/>
      <c r="Q8" s="1093"/>
      <c r="R8" s="24"/>
      <c r="S8" s="24"/>
      <c r="T8" s="24"/>
    </row>
    <row r="9" spans="1:31" ht="18.75" customHeight="1">
      <c r="A9" s="365" t="s">
        <v>552</v>
      </c>
      <c r="B9" s="1172">
        <v>1297821</v>
      </c>
      <c r="C9" s="1173">
        <f>D9+E9</f>
        <v>1561485</v>
      </c>
      <c r="D9" s="1172">
        <v>1429474</v>
      </c>
      <c r="E9" s="1172">
        <v>132011</v>
      </c>
      <c r="F9" s="1174">
        <f t="shared" si="1"/>
        <v>2859306</v>
      </c>
      <c r="G9" s="1227">
        <f>B9/F9</f>
        <v>0.45389370707437399</v>
      </c>
      <c r="H9" s="1227">
        <f>C9/F9</f>
        <v>0.54610629292562596</v>
      </c>
      <c r="I9" s="1175">
        <f t="shared" si="4"/>
        <v>1.203158987256332</v>
      </c>
      <c r="J9" s="1680"/>
      <c r="K9" s="1233"/>
      <c r="L9" s="1233"/>
      <c r="M9" s="1226"/>
      <c r="N9" s="1226"/>
      <c r="O9" s="1233"/>
      <c r="P9" s="1226"/>
      <c r="Q9" s="1094"/>
      <c r="R9" s="24"/>
      <c r="S9" s="24"/>
      <c r="T9" s="24"/>
    </row>
    <row r="10" spans="1:31" ht="18.75" customHeight="1">
      <c r="A10" s="365" t="s">
        <v>572</v>
      </c>
      <c r="B10" s="1172">
        <v>1422986</v>
      </c>
      <c r="C10" s="1173">
        <f>D10+E10</f>
        <v>1718613</v>
      </c>
      <c r="D10" s="1172">
        <v>1568541</v>
      </c>
      <c r="E10" s="1172">
        <v>150072</v>
      </c>
      <c r="F10" s="1174">
        <f t="shared" si="1"/>
        <v>3141599</v>
      </c>
      <c r="G10" s="1227">
        <f>B10/F10</f>
        <v>0.45294959668627344</v>
      </c>
      <c r="H10" s="1227">
        <f>C10/F10</f>
        <v>0.54705040331372656</v>
      </c>
      <c r="I10" s="1175">
        <f t="shared" si="4"/>
        <v>1.2077511655068989</v>
      </c>
      <c r="J10" s="1302"/>
      <c r="K10" s="1233"/>
      <c r="L10" s="1230"/>
      <c r="M10" s="47"/>
      <c r="N10" s="1226"/>
      <c r="O10" s="1226"/>
      <c r="P10" s="1226"/>
      <c r="Q10" s="1093"/>
      <c r="R10" s="24"/>
      <c r="S10" s="24"/>
      <c r="T10" s="24"/>
    </row>
    <row r="11" spans="1:31" ht="18.75" customHeight="1">
      <c r="A11" s="384" t="s">
        <v>1004</v>
      </c>
      <c r="B11" s="1554">
        <v>1516835</v>
      </c>
      <c r="C11" s="1555">
        <f>D11+E11</f>
        <v>1835864</v>
      </c>
      <c r="D11" s="1554">
        <v>1659943</v>
      </c>
      <c r="E11" s="1554">
        <v>175921</v>
      </c>
      <c r="F11" s="1556">
        <f>+B11+D11+E11</f>
        <v>3352699</v>
      </c>
      <c r="G11" s="1557">
        <f>B11/F11</f>
        <v>0.45242206353746639</v>
      </c>
      <c r="H11" s="1557">
        <f>C11/F11</f>
        <v>0.54757793646253361</v>
      </c>
      <c r="I11" s="1558">
        <f>+C11/B11</f>
        <v>1.210325447395399</v>
      </c>
      <c r="J11" s="1530"/>
      <c r="K11" s="1530"/>
      <c r="L11" s="1226"/>
      <c r="M11" s="47"/>
      <c r="N11" s="1226"/>
      <c r="O11" s="1226"/>
      <c r="P11" s="1226"/>
      <c r="Q11" s="1093"/>
      <c r="R11" s="24"/>
      <c r="S11" s="24"/>
      <c r="T11" s="24"/>
    </row>
    <row r="12" spans="1:31" s="1496" customFormat="1" ht="26.25" customHeight="1">
      <c r="A12" s="1493" t="s">
        <v>773</v>
      </c>
      <c r="B12" s="1494"/>
      <c r="C12" s="1494"/>
      <c r="D12" s="1494"/>
      <c r="E12" s="1494"/>
      <c r="F12" s="1494"/>
      <c r="G12" s="1494"/>
      <c r="H12" s="1494"/>
      <c r="I12" s="1495"/>
      <c r="J12" s="1946"/>
      <c r="K12" s="1495"/>
      <c r="L12" s="1495"/>
      <c r="N12" s="1495"/>
      <c r="O12" s="1495"/>
      <c r="P12" s="1495"/>
      <c r="Q12" s="1497"/>
      <c r="R12" s="1498"/>
      <c r="S12" s="1498"/>
      <c r="T12" s="1498"/>
    </row>
    <row r="13" spans="1:31" ht="18" customHeight="1">
      <c r="A13" s="1226"/>
      <c r="B13" s="1226"/>
      <c r="C13" s="1226"/>
      <c r="D13" s="1231"/>
      <c r="E13" s="1231"/>
      <c r="F13" s="1226"/>
      <c r="G13" s="1226"/>
      <c r="H13" s="1226"/>
      <c r="I13" s="31"/>
      <c r="J13" s="1226"/>
      <c r="K13" s="1226"/>
      <c r="L13" s="1226"/>
      <c r="M13" s="47"/>
      <c r="N13" s="1226"/>
      <c r="O13" s="1226"/>
      <c r="P13" s="1226"/>
      <c r="Q13" s="62"/>
      <c r="R13" s="24"/>
      <c r="S13" s="24"/>
      <c r="T13" s="24"/>
    </row>
    <row r="14" spans="1:31" ht="25.5" customHeight="1">
      <c r="A14" s="1226"/>
      <c r="B14" s="1226"/>
      <c r="C14" s="1226"/>
      <c r="D14" s="1234"/>
      <c r="E14" s="1234"/>
      <c r="F14" s="1226"/>
      <c r="G14" s="1226"/>
      <c r="H14" s="1226"/>
      <c r="I14" s="31"/>
      <c r="J14" s="1226"/>
      <c r="K14" s="1226"/>
      <c r="L14" s="1226"/>
      <c r="M14" s="1226"/>
      <c r="N14" s="1226"/>
      <c r="O14" s="1226"/>
      <c r="P14" s="1226"/>
      <c r="Q14" s="62"/>
      <c r="R14" s="24"/>
      <c r="S14" s="24"/>
      <c r="T14" s="24"/>
    </row>
    <row r="15" spans="1:31" ht="25.5" customHeight="1">
      <c r="A15" s="1226"/>
      <c r="B15" s="1226"/>
      <c r="C15" s="1226"/>
      <c r="D15" s="1226"/>
      <c r="E15" s="1226"/>
      <c r="F15" s="1226"/>
      <c r="G15" s="1226"/>
      <c r="H15" s="1226"/>
      <c r="I15" s="31"/>
      <c r="J15" s="31"/>
      <c r="K15" s="31"/>
      <c r="L15" s="31"/>
      <c r="M15" s="31"/>
      <c r="N15" s="31"/>
      <c r="O15" s="31"/>
      <c r="P15" s="31"/>
      <c r="Q15" s="1081"/>
      <c r="R15" s="31"/>
      <c r="S15" s="31"/>
      <c r="T15" s="31"/>
    </row>
    <row r="16" spans="1:31" ht="25.5" customHeight="1">
      <c r="A16" s="1226"/>
      <c r="B16" s="1226"/>
      <c r="C16" s="1226"/>
      <c r="D16" s="1226"/>
      <c r="E16" s="1226"/>
      <c r="F16" s="1226"/>
      <c r="G16" s="1226"/>
      <c r="H16" s="1226"/>
      <c r="I16" s="31"/>
      <c r="J16" s="31"/>
      <c r="K16" s="31"/>
      <c r="L16" s="31"/>
      <c r="M16" s="31"/>
      <c r="N16" s="31"/>
      <c r="O16" s="31"/>
      <c r="P16" s="31"/>
      <c r="Q16" s="1081"/>
      <c r="R16" s="31"/>
      <c r="S16" s="31"/>
      <c r="T16" s="31"/>
      <c r="AE16" s="77" t="s">
        <v>31</v>
      </c>
    </row>
    <row r="17" spans="1:21" ht="25.5" customHeight="1">
      <c r="A17" s="1226"/>
      <c r="B17" s="1226"/>
      <c r="C17" s="1226"/>
      <c r="D17" s="1226"/>
      <c r="E17" s="1226"/>
      <c r="F17" s="1226"/>
      <c r="G17" s="1226"/>
      <c r="H17" s="1226"/>
      <c r="I17" s="31"/>
      <c r="J17" s="31"/>
      <c r="K17" s="31"/>
      <c r="L17" s="31"/>
      <c r="M17" s="31"/>
      <c r="N17" s="31"/>
      <c r="O17" s="31"/>
      <c r="P17" s="31"/>
      <c r="Q17" s="1081"/>
      <c r="R17" s="31"/>
      <c r="S17" s="31"/>
      <c r="T17" s="31"/>
    </row>
    <row r="18" spans="1:21" ht="25.5" customHeight="1">
      <c r="A18" s="31"/>
      <c r="B18" s="31"/>
      <c r="C18" s="31"/>
      <c r="D18" s="31"/>
      <c r="E18" s="31"/>
      <c r="F18" s="31"/>
      <c r="G18" s="31"/>
      <c r="H18" s="31"/>
      <c r="I18" s="31"/>
      <c r="J18" s="31"/>
      <c r="K18" s="31"/>
      <c r="L18" s="31"/>
      <c r="M18" s="31"/>
      <c r="N18" s="31"/>
      <c r="O18" s="31"/>
      <c r="P18" s="31"/>
      <c r="Q18" s="1081"/>
      <c r="R18" s="31"/>
      <c r="S18" s="31"/>
      <c r="T18" s="31"/>
    </row>
    <row r="19" spans="1:21" ht="25.5" customHeight="1">
      <c r="A19" s="31"/>
      <c r="B19" s="31"/>
      <c r="C19" s="31"/>
      <c r="D19" s="31"/>
      <c r="E19" s="31"/>
      <c r="F19" s="31"/>
      <c r="G19" s="31"/>
      <c r="H19" s="31"/>
      <c r="I19" s="31"/>
      <c r="J19" s="31"/>
      <c r="K19" s="31"/>
      <c r="L19" s="31"/>
      <c r="M19" s="31"/>
      <c r="N19" s="31"/>
      <c r="O19" s="31"/>
      <c r="P19" s="31"/>
      <c r="Q19" s="1081"/>
      <c r="R19" s="31"/>
      <c r="S19" s="31"/>
      <c r="T19" s="31"/>
    </row>
    <row r="20" spans="1:21" ht="25.5" customHeight="1">
      <c r="A20" s="31"/>
      <c r="B20" s="31"/>
      <c r="C20" s="31"/>
      <c r="D20" s="31"/>
      <c r="E20" s="31"/>
      <c r="F20" s="31"/>
      <c r="G20" s="31"/>
      <c r="H20" s="31"/>
      <c r="I20" s="31"/>
      <c r="J20" s="31"/>
      <c r="K20" s="31"/>
      <c r="L20" s="31"/>
      <c r="M20" s="31"/>
      <c r="N20" s="31"/>
      <c r="O20" s="31"/>
      <c r="P20" s="31"/>
      <c r="Q20" s="1081"/>
      <c r="R20" s="31"/>
      <c r="S20" s="31"/>
      <c r="T20" s="31"/>
    </row>
    <row r="21" spans="1:21" ht="25.5" customHeight="1">
      <c r="A21" s="31"/>
      <c r="B21" s="31"/>
      <c r="C21" s="31"/>
      <c r="D21" s="31"/>
      <c r="E21" s="31"/>
      <c r="F21" s="31"/>
      <c r="G21" s="31"/>
      <c r="H21" s="31"/>
      <c r="I21" s="31"/>
      <c r="J21" s="31"/>
      <c r="K21" s="31"/>
      <c r="L21" s="31"/>
      <c r="M21" s="31"/>
      <c r="N21" s="31"/>
      <c r="O21" s="31"/>
      <c r="P21" s="31"/>
      <c r="Q21" s="1081"/>
      <c r="R21" s="31"/>
      <c r="S21" s="31"/>
      <c r="T21" s="31"/>
    </row>
    <row r="22" spans="1:21" ht="25.5" customHeight="1">
      <c r="A22" s="31"/>
      <c r="B22" s="31"/>
      <c r="C22" s="31"/>
      <c r="D22" s="31"/>
      <c r="E22" s="31"/>
      <c r="F22" s="31"/>
      <c r="G22" s="31"/>
      <c r="H22" s="31"/>
      <c r="I22" s="31"/>
      <c r="J22" s="31"/>
      <c r="K22" s="31"/>
      <c r="L22" s="31"/>
      <c r="M22" s="31"/>
      <c r="N22" s="31"/>
      <c r="O22" s="31"/>
      <c r="P22" s="31"/>
      <c r="Q22" s="1081"/>
      <c r="R22" s="31"/>
      <c r="S22" s="31"/>
      <c r="T22" s="31"/>
    </row>
    <row r="23" spans="1:21" ht="25.5" customHeight="1">
      <c r="A23" s="31"/>
      <c r="B23" s="31"/>
      <c r="C23" s="31"/>
      <c r="D23" s="31"/>
      <c r="E23" s="31"/>
      <c r="F23" s="31"/>
      <c r="G23" s="31"/>
      <c r="H23" s="31"/>
      <c r="I23" s="31"/>
      <c r="J23" s="31"/>
      <c r="K23" s="31"/>
      <c r="L23" s="31"/>
      <c r="M23" s="31"/>
      <c r="N23" s="31"/>
      <c r="O23" s="31"/>
      <c r="P23" s="31"/>
      <c r="Q23" s="1081"/>
      <c r="R23" s="31"/>
      <c r="S23" s="31"/>
      <c r="T23" s="31"/>
    </row>
    <row r="24" spans="1:21" ht="25.5" customHeight="1">
      <c r="A24" s="31"/>
      <c r="B24" s="31"/>
      <c r="C24" s="31"/>
      <c r="D24" s="31"/>
      <c r="E24" s="31"/>
      <c r="F24" s="31"/>
      <c r="G24" s="31"/>
      <c r="H24" s="31"/>
      <c r="I24" s="31"/>
      <c r="J24" s="31"/>
      <c r="K24" s="31"/>
      <c r="L24" s="31"/>
      <c r="M24" s="31"/>
      <c r="N24" s="31"/>
      <c r="O24" s="31"/>
      <c r="P24" s="31"/>
      <c r="Q24" s="1081"/>
      <c r="R24" s="31"/>
      <c r="S24" s="31"/>
      <c r="T24" s="31"/>
    </row>
    <row r="25" spans="1:21" ht="25.5" customHeight="1">
      <c r="A25" s="31"/>
      <c r="B25" s="31"/>
      <c r="C25" s="31"/>
      <c r="D25" s="31"/>
      <c r="E25" s="31"/>
      <c r="F25" s="31"/>
      <c r="G25" s="31"/>
      <c r="H25" s="31"/>
      <c r="I25" s="31"/>
      <c r="J25" s="31"/>
      <c r="K25" s="31"/>
      <c r="L25" s="31"/>
      <c r="M25" s="31"/>
      <c r="N25" s="31"/>
      <c r="O25" s="31"/>
      <c r="P25" s="31"/>
      <c r="Q25" s="1081"/>
      <c r="R25" s="31"/>
      <c r="S25" s="31"/>
      <c r="T25" s="31"/>
    </row>
    <row r="26" spans="1:21" ht="25.5" customHeight="1">
      <c r="A26" s="31"/>
      <c r="B26" s="31"/>
      <c r="C26" s="31"/>
      <c r="D26" s="31"/>
      <c r="E26" s="31"/>
      <c r="F26" s="31"/>
      <c r="G26" s="31"/>
      <c r="H26" s="31"/>
      <c r="I26" s="31"/>
      <c r="J26" s="31"/>
      <c r="K26" s="31"/>
      <c r="L26" s="31"/>
      <c r="M26" s="31"/>
      <c r="N26" s="31"/>
      <c r="O26" s="31"/>
      <c r="P26" s="31"/>
      <c r="Q26" s="1081"/>
      <c r="R26" s="31"/>
      <c r="S26" s="31"/>
      <c r="T26" s="31"/>
    </row>
    <row r="27" spans="1:21" ht="25.5" customHeight="1">
      <c r="A27" s="31"/>
      <c r="B27" s="31"/>
      <c r="C27" s="31"/>
      <c r="D27" s="31"/>
      <c r="E27" s="31"/>
      <c r="F27" s="31"/>
      <c r="G27" s="31"/>
      <c r="H27" s="31"/>
      <c r="Q27" s="1081"/>
      <c r="R27" s="31"/>
      <c r="S27" s="31"/>
      <c r="T27" s="31"/>
    </row>
    <row r="28" spans="1:21" ht="25.5" customHeight="1">
      <c r="A28" s="31"/>
      <c r="B28" s="31"/>
      <c r="C28" s="31"/>
      <c r="D28" s="31"/>
      <c r="E28" s="31"/>
      <c r="F28" s="31"/>
      <c r="G28" s="31"/>
      <c r="H28" s="31"/>
      <c r="Q28" s="1081"/>
      <c r="R28" s="31"/>
      <c r="S28" s="31"/>
      <c r="T28" s="31"/>
      <c r="U28" s="77" t="s">
        <v>31</v>
      </c>
    </row>
    <row r="29" spans="1:21" ht="25.5" customHeight="1">
      <c r="A29" s="31"/>
      <c r="B29" s="31"/>
      <c r="C29" s="31"/>
      <c r="D29" s="31"/>
      <c r="E29" s="31"/>
      <c r="F29" s="31"/>
      <c r="G29" s="31"/>
      <c r="H29" s="31"/>
      <c r="Q29" s="1081"/>
      <c r="R29" s="31"/>
      <c r="S29" s="31"/>
      <c r="T29" s="31"/>
    </row>
    <row r="30" spans="1:21" ht="25.5" customHeight="1">
      <c r="A30" s="31"/>
      <c r="B30" s="31"/>
      <c r="C30" s="31"/>
      <c r="D30" s="31"/>
      <c r="E30" s="31"/>
      <c r="F30" s="31"/>
      <c r="G30" s="31"/>
      <c r="H30" s="31"/>
      <c r="Q30" s="1081"/>
      <c r="R30" s="31"/>
      <c r="S30" s="31"/>
      <c r="T30" s="31"/>
    </row>
    <row r="31" spans="1:21" ht="25.5" customHeight="1">
      <c r="A31" s="31"/>
      <c r="B31" s="31"/>
      <c r="C31" s="31"/>
      <c r="D31" s="31"/>
      <c r="E31" s="31"/>
      <c r="F31" s="31"/>
      <c r="G31" s="31"/>
      <c r="H31" s="31"/>
      <c r="Q31" s="1081"/>
      <c r="R31" s="31"/>
      <c r="S31" s="31"/>
      <c r="T31" s="31"/>
    </row>
    <row r="32" spans="1:21" ht="25.5" customHeight="1">
      <c r="A32" s="31"/>
      <c r="B32" s="31"/>
      <c r="C32" s="31"/>
      <c r="D32" s="31"/>
      <c r="E32" s="31"/>
      <c r="F32" s="31"/>
      <c r="G32" s="31"/>
      <c r="H32" s="31"/>
      <c r="I32" s="772"/>
      <c r="J32" s="772"/>
      <c r="K32" s="772"/>
      <c r="L32" s="772"/>
      <c r="M32" s="772"/>
      <c r="N32" s="772"/>
      <c r="O32" s="772"/>
      <c r="P32" s="772"/>
      <c r="Q32" s="1081"/>
      <c r="R32" s="31"/>
      <c r="S32" s="31"/>
      <c r="T32" s="31"/>
    </row>
    <row r="33" spans="1:28" ht="25.5" customHeight="1">
      <c r="A33" s="31"/>
      <c r="B33" s="31"/>
      <c r="C33" s="31"/>
      <c r="D33" s="31"/>
      <c r="E33" s="31"/>
      <c r="F33" s="31"/>
      <c r="G33" s="31"/>
      <c r="H33" s="31"/>
      <c r="Q33" s="1081" t="s">
        <v>176</v>
      </c>
      <c r="R33" s="31"/>
      <c r="S33" s="31"/>
      <c r="T33" s="31"/>
    </row>
    <row r="34" spans="1:28" ht="25.5" customHeight="1">
      <c r="A34" s="31"/>
      <c r="B34" s="31"/>
      <c r="C34" s="31"/>
      <c r="D34" s="31"/>
      <c r="E34" s="31"/>
      <c r="F34" s="31"/>
      <c r="G34" s="31"/>
      <c r="H34" s="31"/>
      <c r="Q34" s="1081"/>
      <c r="R34" s="31"/>
      <c r="S34" s="31"/>
      <c r="T34" s="31"/>
    </row>
    <row r="35" spans="1:28" ht="25.5" customHeight="1">
      <c r="A35" s="31"/>
      <c r="B35" s="31"/>
      <c r="C35" s="31"/>
      <c r="D35" s="31"/>
      <c r="E35" s="31"/>
      <c r="F35" s="31"/>
      <c r="G35" s="31"/>
      <c r="H35" s="31"/>
      <c r="Q35" s="1081"/>
      <c r="R35" s="31"/>
      <c r="S35" s="31"/>
      <c r="T35" s="31"/>
    </row>
    <row r="36" spans="1:28">
      <c r="Q36" s="1095"/>
      <c r="R36" s="95"/>
      <c r="S36" s="95"/>
      <c r="T36" s="95"/>
      <c r="U36" s="96"/>
      <c r="V36" s="96"/>
      <c r="W36" s="96"/>
      <c r="X36" s="96"/>
      <c r="Y36" s="96"/>
      <c r="Z36" s="96"/>
    </row>
    <row r="37" spans="1:28">
      <c r="Q37" s="1095"/>
      <c r="R37" s="95"/>
      <c r="S37" s="95"/>
      <c r="T37" s="95"/>
      <c r="U37" s="96"/>
      <c r="V37" s="96"/>
      <c r="W37" s="96"/>
      <c r="X37" s="96"/>
      <c r="Y37" s="96"/>
      <c r="Z37" s="96"/>
    </row>
    <row r="38" spans="1:28">
      <c r="Q38" s="1095"/>
      <c r="R38" s="95"/>
      <c r="S38" s="95"/>
      <c r="T38" s="95"/>
      <c r="U38" s="96"/>
      <c r="V38" s="96"/>
      <c r="W38" s="96"/>
      <c r="X38" s="96"/>
      <c r="Y38" s="96"/>
      <c r="Z38" s="96"/>
    </row>
    <row r="39" spans="1:28">
      <c r="Q39" s="1095"/>
      <c r="R39" s="95"/>
      <c r="S39" s="95"/>
      <c r="T39" s="95"/>
      <c r="U39" s="96"/>
      <c r="V39" s="96"/>
      <c r="W39" s="96"/>
      <c r="X39" s="96"/>
      <c r="Y39" s="96"/>
      <c r="Z39" s="96"/>
    </row>
    <row r="40" spans="1:28" ht="51" customHeight="1">
      <c r="Q40" s="1095"/>
      <c r="R40" s="95"/>
      <c r="S40" s="95"/>
      <c r="T40" s="95"/>
      <c r="U40" s="96"/>
      <c r="V40" s="96"/>
      <c r="W40" s="96"/>
      <c r="X40" s="96"/>
      <c r="Y40" s="96"/>
      <c r="Z40" s="96"/>
    </row>
    <row r="41" spans="1:28" ht="78" customHeight="1">
      <c r="A41" s="772"/>
      <c r="B41" s="772"/>
      <c r="C41" s="772"/>
      <c r="D41" s="772"/>
      <c r="E41" s="772"/>
      <c r="F41" s="772"/>
      <c r="G41" s="772"/>
      <c r="H41" s="772"/>
      <c r="Q41" s="1096"/>
      <c r="R41" s="772"/>
      <c r="S41" s="772"/>
      <c r="T41" s="772"/>
      <c r="U41" s="772"/>
      <c r="V41" s="772"/>
      <c r="W41" s="772"/>
      <c r="X41" s="96"/>
      <c r="Y41" s="96"/>
      <c r="Z41" s="96"/>
    </row>
    <row r="42" spans="1:28">
      <c r="Q42" s="1097"/>
      <c r="R42" s="96"/>
      <c r="S42" s="96"/>
      <c r="T42" s="96"/>
      <c r="U42" s="96"/>
    </row>
    <row r="43" spans="1:28">
      <c r="Q43" s="1097"/>
      <c r="R43" s="96"/>
      <c r="S43" s="96"/>
      <c r="T43" s="96"/>
      <c r="U43" s="96"/>
    </row>
    <row r="44" spans="1:28">
      <c r="I44" s="96"/>
      <c r="J44" s="96"/>
      <c r="K44" s="96"/>
      <c r="L44" s="96"/>
      <c r="M44" s="96"/>
      <c r="N44" s="96"/>
      <c r="O44" s="96"/>
      <c r="P44" s="96"/>
      <c r="Q44" s="1097"/>
      <c r="R44" s="96"/>
      <c r="S44" s="96"/>
      <c r="T44" s="96"/>
      <c r="U44" s="96"/>
    </row>
    <row r="45" spans="1:28">
      <c r="Q45" s="1097"/>
      <c r="R45" s="96"/>
      <c r="S45" s="96"/>
      <c r="T45" s="96"/>
      <c r="U45" s="96"/>
    </row>
    <row r="46" spans="1:28">
      <c r="Q46" s="1097"/>
      <c r="R46" s="96"/>
      <c r="S46" s="96"/>
      <c r="T46" s="96"/>
      <c r="U46" s="96"/>
    </row>
    <row r="47" spans="1:28">
      <c r="Q47" s="1097"/>
      <c r="R47" s="96"/>
      <c r="S47" s="96"/>
      <c r="T47" s="96"/>
      <c r="U47" s="96"/>
      <c r="V47" s="96"/>
      <c r="W47" s="96"/>
      <c r="X47" s="96"/>
      <c r="Y47" s="96"/>
      <c r="Z47" s="96"/>
      <c r="AA47" s="96"/>
      <c r="AB47" s="96"/>
    </row>
    <row r="48" spans="1:28">
      <c r="Q48" s="1097"/>
      <c r="R48" s="96"/>
      <c r="S48" s="96"/>
      <c r="T48" s="96"/>
      <c r="U48" s="96"/>
      <c r="V48" s="96"/>
      <c r="W48" s="96"/>
      <c r="X48" s="96"/>
      <c r="Y48" s="96"/>
      <c r="Z48" s="96"/>
      <c r="AA48" s="96"/>
      <c r="AB48" s="96"/>
    </row>
    <row r="49" spans="2:28">
      <c r="Q49" s="1097"/>
      <c r="R49" s="96"/>
      <c r="S49" s="96"/>
      <c r="T49" s="96"/>
      <c r="U49" s="96"/>
      <c r="V49" s="96"/>
      <c r="W49" s="96"/>
      <c r="X49" s="96"/>
      <c r="Y49" s="96"/>
      <c r="Z49" s="96"/>
      <c r="AA49" s="96"/>
      <c r="AB49" s="96"/>
    </row>
    <row r="50" spans="2:28">
      <c r="Q50" s="1097"/>
      <c r="R50" s="96"/>
      <c r="S50" s="96"/>
      <c r="T50" s="96"/>
      <c r="U50" s="96"/>
      <c r="V50" s="96"/>
      <c r="W50" s="96"/>
      <c r="X50" s="96"/>
      <c r="Y50" s="96"/>
      <c r="Z50" s="96"/>
      <c r="AA50" s="96"/>
      <c r="AB50" s="96"/>
    </row>
    <row r="51" spans="2:28">
      <c r="Q51" s="1097"/>
      <c r="R51" s="96"/>
      <c r="S51" s="96"/>
      <c r="T51" s="96"/>
      <c r="U51" s="96"/>
      <c r="V51" s="96"/>
      <c r="W51" s="96"/>
      <c r="X51" s="96"/>
      <c r="Y51" s="96"/>
      <c r="Z51" s="96"/>
      <c r="AA51" s="96"/>
      <c r="AB51" s="96"/>
    </row>
    <row r="52" spans="2:28">
      <c r="Q52" s="1097"/>
      <c r="R52" s="96"/>
      <c r="S52" s="96"/>
      <c r="T52" s="96"/>
      <c r="U52" s="96"/>
      <c r="V52" s="96"/>
      <c r="W52" s="96"/>
      <c r="X52" s="96"/>
      <c r="Y52" s="96"/>
      <c r="Z52" s="96"/>
      <c r="AA52" s="96"/>
      <c r="AB52" s="96"/>
    </row>
    <row r="53" spans="2:28">
      <c r="B53" s="96"/>
      <c r="C53" s="96"/>
      <c r="D53" s="96"/>
      <c r="E53" s="96"/>
      <c r="F53" s="96"/>
      <c r="G53" s="96"/>
      <c r="H53" s="96"/>
      <c r="Q53" s="1097"/>
      <c r="R53" s="96"/>
      <c r="S53" s="96"/>
      <c r="T53" s="96"/>
      <c r="U53" s="96"/>
      <c r="V53" s="96"/>
      <c r="W53" s="96"/>
      <c r="X53" s="96"/>
      <c r="Y53" s="96"/>
      <c r="Z53" s="96"/>
      <c r="AA53" s="96"/>
      <c r="AB53" s="96"/>
    </row>
    <row r="72" spans="22:22">
      <c r="V72" s="96"/>
    </row>
    <row r="73" spans="22:22">
      <c r="V73" s="96"/>
    </row>
    <row r="74" spans="22:22">
      <c r="V74" s="96"/>
    </row>
    <row r="75" spans="22:22">
      <c r="V75" s="96"/>
    </row>
    <row r="76" spans="22:22">
      <c r="V76" s="96"/>
    </row>
    <row r="77" spans="22:22">
      <c r="V77" s="96"/>
    </row>
    <row r="78" spans="22:22">
      <c r="V78" s="96"/>
    </row>
    <row r="79" spans="22:22">
      <c r="V79" s="96"/>
    </row>
    <row r="89" spans="22:22">
      <c r="V89" s="96"/>
    </row>
    <row r="90" spans="22:22">
      <c r="V90" s="96"/>
    </row>
    <row r="91" spans="22:22">
      <c r="V91" s="96"/>
    </row>
    <row r="92" spans="22:22">
      <c r="V92" s="96"/>
    </row>
  </sheetData>
  <mergeCells count="1">
    <mergeCell ref="A1:P1"/>
  </mergeCells>
  <printOptions horizontalCentered="1" verticalCentered="1"/>
  <pageMargins left="0.39370078740157483" right="0.39370078740157483" top="0.23622047244094491" bottom="0.23622047244094491" header="0.31496062992125984" footer="0.31496062992125984"/>
  <pageSetup scale="37" orientation="landscape"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8">
    <tabColor theme="9" tint="-0.249977111117893"/>
    <pageSetUpPr fitToPage="1"/>
  </sheetPr>
  <dimension ref="A1:AB89"/>
  <sheetViews>
    <sheetView showGridLines="0" view="pageBreakPreview" zoomScale="55" zoomScaleNormal="100" zoomScaleSheetLayoutView="55" zoomScalePageLayoutView="62" workbookViewId="0">
      <pane ySplit="1" topLeftCell="A2" activePane="bottomLeft" state="frozen"/>
      <selection activeCell="M22" sqref="M22"/>
      <selection pane="bottomLeft" activeCell="Y34" sqref="Y34"/>
    </sheetView>
  </sheetViews>
  <sheetFormatPr baseColWidth="10" defaultColWidth="11.42578125" defaultRowHeight="26.25"/>
  <cols>
    <col min="1" max="1" width="14.140625" style="77" customWidth="1"/>
    <col min="2" max="2" width="21.85546875" style="77" customWidth="1"/>
    <col min="3" max="3" width="23.28515625" style="77" customWidth="1"/>
    <col min="4" max="4" width="19.28515625" style="77" customWidth="1"/>
    <col min="5" max="5" width="21.85546875" style="77" customWidth="1"/>
    <col min="6" max="6" width="20.5703125" style="77" customWidth="1"/>
    <col min="7" max="7" width="22.42578125" style="77" customWidth="1"/>
    <col min="8" max="8" width="14.5703125" style="77" customWidth="1"/>
    <col min="9" max="9" width="20" style="77" customWidth="1"/>
    <col min="10" max="10" width="21" style="77" customWidth="1"/>
    <col min="11" max="11" width="14.85546875" style="77" customWidth="1"/>
    <col min="12" max="12" width="16.140625" style="77" customWidth="1"/>
    <col min="13" max="13" width="10.5703125" style="77" customWidth="1"/>
    <col min="14" max="16" width="24.28515625" style="77" customWidth="1"/>
    <col min="17" max="17" width="11.140625" style="77" customWidth="1"/>
    <col min="18" max="18" width="13.7109375" style="77" customWidth="1"/>
    <col min="19" max="19" width="24.7109375" style="1949" customWidth="1"/>
    <col min="20" max="20" width="11.42578125" style="1607"/>
    <col min="21" max="27" width="11.42578125" style="77"/>
    <col min="28" max="28" width="18.7109375" style="77" bestFit="1" customWidth="1"/>
    <col min="29" max="16384" width="11.42578125" style="77"/>
  </cols>
  <sheetData>
    <row r="1" spans="1:20" ht="93" customHeight="1">
      <c r="A1" s="2038"/>
      <c r="B1" s="2038"/>
      <c r="C1" s="2038"/>
      <c r="D1" s="2038"/>
      <c r="E1" s="2038"/>
      <c r="F1" s="2038"/>
      <c r="G1" s="2038"/>
      <c r="H1" s="2038"/>
      <c r="I1" s="2038"/>
      <c r="J1" s="2038"/>
      <c r="K1" s="2038"/>
      <c r="L1" s="2038"/>
      <c r="M1" s="2038"/>
      <c r="N1" s="2038"/>
      <c r="O1" s="2038"/>
      <c r="P1" s="2038"/>
      <c r="Q1" s="2038"/>
      <c r="R1" s="2038"/>
    </row>
    <row r="2" spans="1:20" ht="5.25" customHeight="1">
      <c r="A2" s="899"/>
      <c r="B2" s="899"/>
      <c r="C2" s="899"/>
      <c r="D2" s="899"/>
      <c r="E2" s="899"/>
      <c r="F2" s="899"/>
      <c r="G2" s="899"/>
      <c r="H2" s="899"/>
      <c r="I2" s="899"/>
      <c r="J2" s="899"/>
      <c r="K2" s="899"/>
      <c r="L2" s="899"/>
      <c r="M2" s="899"/>
      <c r="N2" s="899"/>
      <c r="O2" s="899"/>
      <c r="P2" s="899"/>
      <c r="Q2" s="899"/>
      <c r="R2" s="899"/>
    </row>
    <row r="3" spans="1:20" s="50" customFormat="1" ht="51" customHeight="1">
      <c r="A3" s="917" t="s">
        <v>46</v>
      </c>
      <c r="B3" s="312" t="s">
        <v>548</v>
      </c>
      <c r="C3" s="312" t="s">
        <v>573</v>
      </c>
      <c r="D3" s="312" t="s">
        <v>549</v>
      </c>
      <c r="E3" s="312" t="s">
        <v>550</v>
      </c>
      <c r="F3" s="314" t="s">
        <v>551</v>
      </c>
      <c r="G3" s="313" t="s">
        <v>555</v>
      </c>
      <c r="H3" s="77"/>
      <c r="I3" s="77"/>
      <c r="J3" s="77"/>
      <c r="K3" s="77"/>
      <c r="L3" s="77"/>
      <c r="M3" s="77"/>
      <c r="N3" s="77"/>
      <c r="O3" s="77"/>
      <c r="P3" s="77"/>
      <c r="Q3" s="77"/>
      <c r="R3" s="77"/>
      <c r="S3" s="1950"/>
      <c r="T3" s="1947"/>
    </row>
    <row r="4" spans="1:20" ht="21" customHeight="1">
      <c r="A4" s="514" t="s">
        <v>576</v>
      </c>
      <c r="B4" s="1424">
        <v>1417590</v>
      </c>
      <c r="C4" s="1425">
        <f t="shared" ref="C4:C14" si="0">D4+E4</f>
        <v>1710872</v>
      </c>
      <c r="D4" s="272">
        <v>1561834</v>
      </c>
      <c r="E4" s="272">
        <v>149038</v>
      </c>
      <c r="F4" s="1382">
        <f>+B4+D4+E4</f>
        <v>3128462</v>
      </c>
      <c r="G4" s="1426">
        <f t="shared" ref="G4:G16" si="1">C4/B4</f>
        <v>1.2068877461043037</v>
      </c>
    </row>
    <row r="5" spans="1:20" ht="21" customHeight="1">
      <c r="A5" s="514" t="s">
        <v>574</v>
      </c>
      <c r="B5" s="1424">
        <v>1422986</v>
      </c>
      <c r="C5" s="1425">
        <f t="shared" si="0"/>
        <v>1718613</v>
      </c>
      <c r="D5" s="272">
        <v>1568541</v>
      </c>
      <c r="E5" s="272">
        <v>150072</v>
      </c>
      <c r="F5" s="1382">
        <f>+B5+C5</f>
        <v>3141599</v>
      </c>
      <c r="G5" s="1426">
        <f t="shared" si="1"/>
        <v>1.2077511655068989</v>
      </c>
    </row>
    <row r="6" spans="1:20" ht="21" customHeight="1">
      <c r="A6" s="514" t="s">
        <v>575</v>
      </c>
      <c r="B6" s="1424">
        <v>1426010</v>
      </c>
      <c r="C6" s="1425">
        <f t="shared" si="0"/>
        <v>1729358</v>
      </c>
      <c r="D6" s="272">
        <v>1568240</v>
      </c>
      <c r="E6" s="272">
        <v>161118</v>
      </c>
      <c r="F6" s="1382">
        <f>+B6+C6</f>
        <v>3155368</v>
      </c>
      <c r="G6" s="1426">
        <f t="shared" si="1"/>
        <v>1.2127250159536047</v>
      </c>
      <c r="S6" s="1952"/>
    </row>
    <row r="7" spans="1:20" ht="21" customHeight="1">
      <c r="A7" s="514" t="s">
        <v>711</v>
      </c>
      <c r="B7" s="1424">
        <v>1423951</v>
      </c>
      <c r="C7" s="1425">
        <f t="shared" si="0"/>
        <v>1733404</v>
      </c>
      <c r="D7" s="272">
        <v>1568776</v>
      </c>
      <c r="E7" s="272">
        <v>164628</v>
      </c>
      <c r="F7" s="1382">
        <f>+B7+C7</f>
        <v>3157355</v>
      </c>
      <c r="G7" s="1426">
        <f t="shared" si="1"/>
        <v>1.2173199780048611</v>
      </c>
    </row>
    <row r="8" spans="1:20" ht="21" customHeight="1">
      <c r="A8" s="514" t="s">
        <v>732</v>
      </c>
      <c r="B8" s="1424">
        <v>1434238</v>
      </c>
      <c r="C8" s="1425">
        <f t="shared" si="0"/>
        <v>1761412</v>
      </c>
      <c r="D8" s="272">
        <v>1594179</v>
      </c>
      <c r="E8" s="272">
        <v>167233</v>
      </c>
      <c r="F8" s="1382">
        <v>3195650</v>
      </c>
      <c r="G8" s="1426">
        <f t="shared" si="1"/>
        <v>1.2281169513009695</v>
      </c>
    </row>
    <row r="9" spans="1:20" ht="21" customHeight="1">
      <c r="A9" s="514" t="s">
        <v>738</v>
      </c>
      <c r="B9" s="1424">
        <v>1461443</v>
      </c>
      <c r="C9" s="1425">
        <f t="shared" si="0"/>
        <v>1778444</v>
      </c>
      <c r="D9" s="272">
        <v>1609914</v>
      </c>
      <c r="E9" s="272">
        <v>168530</v>
      </c>
      <c r="F9" s="1382">
        <v>3239887</v>
      </c>
      <c r="G9" s="1426">
        <f t="shared" si="1"/>
        <v>1.2169095886736603</v>
      </c>
    </row>
    <row r="10" spans="1:20" ht="21" customHeight="1">
      <c r="A10" s="514" t="s">
        <v>746</v>
      </c>
      <c r="B10" s="1424">
        <v>1477288</v>
      </c>
      <c r="C10" s="1425">
        <f t="shared" si="0"/>
        <v>1792702</v>
      </c>
      <c r="D10" s="272">
        <v>1622890</v>
      </c>
      <c r="E10" s="272">
        <v>169812</v>
      </c>
      <c r="F10" s="1382">
        <v>3269990</v>
      </c>
      <c r="G10" s="1426">
        <f t="shared" si="1"/>
        <v>1.2135088080320153</v>
      </c>
    </row>
    <row r="11" spans="1:20" ht="21" customHeight="1">
      <c r="A11" s="514" t="s">
        <v>760</v>
      </c>
      <c r="B11" s="1424">
        <v>1485480</v>
      </c>
      <c r="C11" s="1425">
        <f t="shared" si="0"/>
        <v>1799501</v>
      </c>
      <c r="D11" s="272">
        <v>1628761</v>
      </c>
      <c r="E11" s="272">
        <v>170740</v>
      </c>
      <c r="F11" s="1382">
        <v>3284981</v>
      </c>
      <c r="G11" s="1426">
        <f t="shared" si="1"/>
        <v>1.211393623609877</v>
      </c>
    </row>
    <row r="12" spans="1:20" ht="21" customHeight="1">
      <c r="A12" s="514" t="s">
        <v>769</v>
      </c>
      <c r="B12" s="1424">
        <v>1488733</v>
      </c>
      <c r="C12" s="1425">
        <f t="shared" si="0"/>
        <v>1799441</v>
      </c>
      <c r="D12" s="272">
        <v>1627883</v>
      </c>
      <c r="E12" s="272">
        <v>171558</v>
      </c>
      <c r="F12" s="1382">
        <v>3288174</v>
      </c>
      <c r="G12" s="1426">
        <f t="shared" si="1"/>
        <v>1.2087063294761384</v>
      </c>
    </row>
    <row r="13" spans="1:20" ht="21" customHeight="1">
      <c r="A13" s="514" t="s">
        <v>779</v>
      </c>
      <c r="B13" s="1424">
        <v>1494881</v>
      </c>
      <c r="C13" s="1425">
        <f t="shared" si="0"/>
        <v>1809200</v>
      </c>
      <c r="D13" s="272">
        <v>1637216</v>
      </c>
      <c r="E13" s="272">
        <v>171984</v>
      </c>
      <c r="F13" s="1382">
        <v>3304081</v>
      </c>
      <c r="G13" s="1426">
        <f t="shared" si="1"/>
        <v>1.2102635594405173</v>
      </c>
    </row>
    <row r="14" spans="1:20" ht="21" customHeight="1">
      <c r="A14" s="514" t="s">
        <v>783</v>
      </c>
      <c r="B14" s="1424">
        <v>1486725</v>
      </c>
      <c r="C14" s="1425">
        <f t="shared" si="0"/>
        <v>1811197</v>
      </c>
      <c r="D14" s="272">
        <v>1638150</v>
      </c>
      <c r="E14" s="272">
        <v>173047</v>
      </c>
      <c r="F14" s="1382">
        <v>3297922</v>
      </c>
      <c r="G14" s="1426">
        <f t="shared" si="1"/>
        <v>1.2182461450503623</v>
      </c>
    </row>
    <row r="15" spans="1:20" s="1777" customFormat="1" ht="21" customHeight="1">
      <c r="A15" s="1757" t="s">
        <v>970</v>
      </c>
      <c r="B15" s="1424">
        <v>1507727</v>
      </c>
      <c r="C15" s="1425">
        <v>1828003</v>
      </c>
      <c r="D15" s="272">
        <v>1653134</v>
      </c>
      <c r="E15" s="272">
        <v>174869</v>
      </c>
      <c r="F15" s="1382">
        <v>3335730</v>
      </c>
      <c r="G15" s="1426">
        <v>1.2124230712854516</v>
      </c>
      <c r="S15" s="1949"/>
      <c r="T15" s="1607"/>
    </row>
    <row r="16" spans="1:20" ht="21" customHeight="1">
      <c r="A16" s="1411" t="s">
        <v>1002</v>
      </c>
      <c r="B16" s="1559">
        <v>1516835</v>
      </c>
      <c r="C16" s="1560">
        <f>+D16+E16</f>
        <v>1835864</v>
      </c>
      <c r="D16" s="1561">
        <v>1659943</v>
      </c>
      <c r="E16" s="1561">
        <v>175921</v>
      </c>
      <c r="F16" s="1562">
        <f>+B16+C16</f>
        <v>3352699</v>
      </c>
      <c r="G16" s="1563">
        <f t="shared" si="1"/>
        <v>1.210325447395399</v>
      </c>
      <c r="H16" s="156"/>
      <c r="I16" s="156"/>
    </row>
    <row r="17" spans="1:18" ht="19.5" customHeight="1">
      <c r="A17" s="2039" t="s">
        <v>556</v>
      </c>
      <c r="B17" s="2039"/>
      <c r="C17" s="2039"/>
      <c r="D17" s="2039"/>
      <c r="E17" s="2039"/>
      <c r="F17" s="2039"/>
      <c r="G17" s="2039"/>
      <c r="H17" s="1736"/>
      <c r="I17" s="31"/>
      <c r="J17" s="31"/>
      <c r="K17" s="31"/>
      <c r="L17" s="31"/>
      <c r="M17" s="31"/>
      <c r="N17" s="31"/>
      <c r="O17" s="31"/>
      <c r="P17" s="31"/>
      <c r="Q17" s="31"/>
      <c r="R17" s="31"/>
    </row>
    <row r="18" spans="1:18" ht="25.5" customHeight="1">
      <c r="A18" s="31"/>
      <c r="B18" s="31"/>
      <c r="C18" s="31"/>
      <c r="D18" s="31"/>
      <c r="E18" s="31"/>
      <c r="F18" s="31"/>
      <c r="G18" s="31"/>
      <c r="H18" s="31"/>
      <c r="I18" s="31"/>
      <c r="J18" s="31"/>
      <c r="K18" s="31"/>
      <c r="L18" s="31"/>
      <c r="M18" s="31"/>
      <c r="N18" s="31"/>
      <c r="O18" s="31"/>
      <c r="P18" s="31"/>
      <c r="Q18" s="31"/>
      <c r="R18" s="31"/>
    </row>
    <row r="19" spans="1:18" ht="25.5" customHeight="1">
      <c r="A19" s="31"/>
      <c r="B19" s="31"/>
      <c r="C19" s="31"/>
      <c r="D19" s="31"/>
      <c r="E19" s="31"/>
      <c r="F19" s="31"/>
      <c r="G19" s="31"/>
      <c r="H19" s="31"/>
      <c r="I19" s="31"/>
      <c r="J19" s="31"/>
      <c r="K19" s="31"/>
      <c r="L19" s="31"/>
      <c r="M19" s="31"/>
      <c r="N19" s="31"/>
      <c r="O19" s="31"/>
      <c r="P19" s="31"/>
      <c r="Q19" s="31"/>
      <c r="R19" s="31"/>
    </row>
    <row r="20" spans="1:18" ht="25.5" customHeight="1">
      <c r="A20" s="31"/>
      <c r="B20" s="31"/>
      <c r="C20" s="31"/>
      <c r="D20" s="31"/>
      <c r="E20" s="31"/>
      <c r="F20" s="31"/>
      <c r="G20" s="31"/>
      <c r="H20" s="31"/>
      <c r="I20" s="31"/>
      <c r="J20" s="31"/>
      <c r="K20" s="31"/>
      <c r="L20" s="31"/>
      <c r="M20" s="31"/>
      <c r="N20" s="31"/>
      <c r="O20" s="31"/>
      <c r="P20" s="31"/>
      <c r="Q20" s="31"/>
      <c r="R20" s="31"/>
    </row>
    <row r="21" spans="1:18" ht="25.5" customHeight="1">
      <c r="A21" s="31"/>
      <c r="B21" s="31"/>
      <c r="C21" s="31"/>
      <c r="D21" s="31"/>
      <c r="E21" s="31"/>
      <c r="F21" s="31"/>
      <c r="G21" s="31"/>
      <c r="H21" s="31"/>
      <c r="I21" s="31"/>
      <c r="J21" s="31"/>
      <c r="K21" s="31"/>
      <c r="L21" s="31"/>
      <c r="M21" s="31"/>
      <c r="N21" s="31"/>
      <c r="O21" s="31"/>
      <c r="P21" s="31"/>
      <c r="Q21" s="31"/>
      <c r="R21" s="31"/>
    </row>
    <row r="22" spans="1:18" ht="25.5" customHeight="1">
      <c r="A22" s="31"/>
      <c r="B22" s="31"/>
      <c r="C22" s="31"/>
      <c r="D22" s="31"/>
      <c r="E22" s="31"/>
      <c r="F22" s="31"/>
      <c r="G22" s="31"/>
      <c r="H22" s="31"/>
      <c r="I22" s="31"/>
      <c r="J22" s="31"/>
      <c r="K22" s="31"/>
      <c r="L22" s="31"/>
      <c r="M22" s="31"/>
      <c r="N22" s="31"/>
      <c r="O22" s="31"/>
      <c r="P22" s="31"/>
      <c r="Q22" s="31"/>
      <c r="R22" s="31"/>
    </row>
    <row r="23" spans="1:18" ht="25.5" customHeight="1">
      <c r="A23" s="31"/>
      <c r="B23" s="31"/>
      <c r="C23" s="31"/>
      <c r="D23" s="31"/>
      <c r="E23" s="31"/>
      <c r="F23" s="31"/>
      <c r="G23" s="31"/>
      <c r="H23" s="31"/>
      <c r="I23" s="31"/>
      <c r="J23" s="31"/>
      <c r="K23" s="31"/>
      <c r="L23" s="31"/>
      <c r="M23" s="31"/>
      <c r="N23" s="31"/>
      <c r="O23" s="31"/>
      <c r="P23" s="31"/>
      <c r="Q23" s="31"/>
      <c r="R23" s="31"/>
    </row>
    <row r="24" spans="1:18" ht="25.5" customHeight="1">
      <c r="A24" s="31"/>
      <c r="B24" s="31"/>
      <c r="C24" s="31"/>
      <c r="D24" s="31"/>
      <c r="E24" s="31"/>
      <c r="F24" s="31"/>
      <c r="G24" s="31"/>
      <c r="H24" s="31"/>
      <c r="I24" s="31"/>
      <c r="J24" s="31"/>
      <c r="K24" s="31"/>
      <c r="L24" s="31"/>
      <c r="M24" s="31"/>
      <c r="N24" s="31"/>
      <c r="O24" s="31"/>
      <c r="P24" s="31"/>
      <c r="Q24" s="31"/>
      <c r="R24" s="31"/>
    </row>
    <row r="25" spans="1:18" ht="25.5" customHeight="1">
      <c r="A25" s="31"/>
      <c r="B25" s="31"/>
      <c r="C25" s="31"/>
      <c r="D25" s="31"/>
      <c r="E25" s="31"/>
      <c r="F25" s="31"/>
      <c r="G25" s="31"/>
      <c r="H25" s="31"/>
      <c r="I25" s="31"/>
      <c r="J25" s="31"/>
      <c r="K25" s="31"/>
      <c r="L25" s="31"/>
      <c r="M25" s="31"/>
      <c r="N25" s="31"/>
      <c r="O25" s="31"/>
      <c r="P25" s="31"/>
      <c r="Q25" s="31"/>
      <c r="R25" s="31"/>
    </row>
    <row r="26" spans="1:18" ht="25.5" customHeight="1">
      <c r="A26" s="31"/>
      <c r="B26" s="31"/>
      <c r="C26" s="31"/>
      <c r="D26" s="31"/>
      <c r="E26" s="31"/>
      <c r="F26" s="31"/>
      <c r="G26" s="31"/>
      <c r="H26" s="31"/>
      <c r="I26" s="31"/>
      <c r="J26" s="31"/>
      <c r="K26" s="31"/>
      <c r="L26" s="31"/>
      <c r="M26" s="31"/>
      <c r="N26" s="31"/>
      <c r="O26" s="31"/>
      <c r="P26" s="31"/>
      <c r="Q26" s="31"/>
      <c r="R26" s="31"/>
    </row>
    <row r="27" spans="1:18" ht="25.5" customHeight="1">
      <c r="A27" s="31"/>
      <c r="B27" s="31"/>
      <c r="C27" s="31"/>
      <c r="D27" s="31"/>
      <c r="E27" s="31"/>
      <c r="F27" s="31"/>
      <c r="G27" s="31"/>
      <c r="H27" s="31"/>
      <c r="I27" s="31"/>
      <c r="J27" s="31"/>
      <c r="K27" s="31"/>
      <c r="L27" s="31"/>
      <c r="M27" s="31"/>
      <c r="N27" s="31"/>
      <c r="O27" s="31"/>
      <c r="P27" s="31"/>
      <c r="Q27" s="31"/>
      <c r="R27" s="31"/>
    </row>
    <row r="28" spans="1:18" ht="25.5" customHeight="1">
      <c r="A28" s="31"/>
      <c r="B28" s="31"/>
      <c r="C28" s="31"/>
      <c r="D28" s="31"/>
      <c r="E28" s="31"/>
      <c r="F28" s="31"/>
      <c r="G28" s="31"/>
      <c r="H28" s="31"/>
      <c r="I28" s="31"/>
      <c r="J28" s="31"/>
      <c r="K28" s="31"/>
      <c r="L28" s="31"/>
      <c r="M28" s="31"/>
      <c r="N28" s="31"/>
      <c r="O28" s="31"/>
      <c r="P28" s="31"/>
      <c r="Q28" s="31"/>
      <c r="R28" s="31"/>
    </row>
    <row r="29" spans="1:18" ht="25.5" customHeight="1">
      <c r="A29" s="31"/>
      <c r="B29" s="31"/>
      <c r="C29" s="31"/>
      <c r="D29" s="31"/>
      <c r="E29" s="31"/>
      <c r="F29" s="31"/>
      <c r="G29" s="31"/>
      <c r="H29" s="31"/>
      <c r="I29" s="31"/>
      <c r="J29" s="31"/>
      <c r="K29" s="31"/>
      <c r="L29" s="31"/>
      <c r="M29" s="31"/>
      <c r="N29" s="31"/>
      <c r="O29" s="31"/>
      <c r="P29" s="31"/>
      <c r="Q29" s="31"/>
      <c r="R29" s="31"/>
    </row>
    <row r="30" spans="1:18" ht="25.5" customHeight="1">
      <c r="A30" s="31"/>
      <c r="B30" s="31"/>
      <c r="C30" s="31"/>
      <c r="D30" s="31"/>
      <c r="E30" s="31"/>
      <c r="F30" s="31"/>
      <c r="G30" s="31"/>
      <c r="H30" s="31"/>
      <c r="I30" s="31"/>
      <c r="J30" s="31"/>
      <c r="K30" s="31"/>
      <c r="L30" s="31"/>
      <c r="M30" s="31"/>
      <c r="N30" s="31"/>
      <c r="O30" s="31"/>
      <c r="P30" s="31"/>
      <c r="Q30" s="31"/>
      <c r="R30" s="31"/>
    </row>
    <row r="31" spans="1:18" ht="25.5" customHeight="1">
      <c r="A31" s="31"/>
      <c r="B31" s="31"/>
      <c r="C31" s="31"/>
      <c r="D31" s="31"/>
      <c r="E31" s="31"/>
      <c r="F31" s="31"/>
      <c r="G31" s="31"/>
      <c r="H31" s="31"/>
      <c r="I31" s="31"/>
      <c r="J31" s="31"/>
      <c r="K31" s="31"/>
      <c r="L31" s="31"/>
      <c r="M31" s="31"/>
      <c r="N31" s="31"/>
      <c r="O31" s="31"/>
      <c r="P31" s="31"/>
      <c r="Q31" s="31"/>
      <c r="R31" s="31"/>
    </row>
    <row r="32" spans="1:18" ht="25.5" customHeight="1">
      <c r="A32" s="31"/>
      <c r="B32" s="31"/>
      <c r="C32" s="31"/>
      <c r="D32" s="31"/>
      <c r="E32" s="31"/>
      <c r="F32" s="31"/>
      <c r="G32" s="31"/>
      <c r="H32" s="31"/>
      <c r="I32" s="31"/>
      <c r="J32" s="31"/>
      <c r="K32" s="31"/>
      <c r="L32" s="31"/>
      <c r="M32" s="31"/>
      <c r="N32" s="31"/>
      <c r="O32" s="31"/>
      <c r="P32" s="31"/>
      <c r="Q32" s="31"/>
      <c r="R32" s="31"/>
    </row>
    <row r="33" spans="1:28">
      <c r="O33" s="95"/>
      <c r="P33" s="95"/>
      <c r="Q33" s="95"/>
      <c r="R33" s="95"/>
      <c r="S33" s="1951"/>
      <c r="T33" s="1948"/>
      <c r="U33" s="96"/>
      <c r="V33" s="96"/>
      <c r="W33" s="96"/>
      <c r="X33" s="96"/>
      <c r="Y33" s="96"/>
      <c r="Z33" s="96"/>
      <c r="AA33" s="96"/>
      <c r="AB33" s="96"/>
    </row>
    <row r="34" spans="1:28">
      <c r="O34" s="95"/>
      <c r="P34" s="95"/>
      <c r="Q34" s="95"/>
      <c r="R34" s="95"/>
      <c r="S34" s="1951"/>
      <c r="T34" s="1948"/>
      <c r="U34" s="96"/>
      <c r="V34" s="96"/>
      <c r="W34" s="96"/>
      <c r="X34" s="96"/>
      <c r="Y34" s="96"/>
      <c r="Z34" s="96"/>
      <c r="AA34" s="96"/>
      <c r="AB34" s="96"/>
    </row>
    <row r="35" spans="1:28">
      <c r="O35" s="95"/>
      <c r="P35" s="95"/>
      <c r="Q35" s="95"/>
      <c r="R35" s="95"/>
      <c r="S35" s="1951"/>
      <c r="T35" s="1948"/>
      <c r="U35" s="96"/>
      <c r="V35" s="96"/>
      <c r="W35" s="96"/>
      <c r="X35" s="96"/>
      <c r="Y35" s="96"/>
      <c r="Z35" s="96"/>
      <c r="AA35" s="96"/>
      <c r="AB35" s="96"/>
    </row>
    <row r="36" spans="1:28">
      <c r="O36" s="95"/>
      <c r="P36" s="95"/>
      <c r="Q36" s="95"/>
      <c r="R36" s="95"/>
      <c r="S36" s="1951"/>
      <c r="T36" s="1948"/>
      <c r="U36" s="96"/>
      <c r="V36" s="96"/>
      <c r="W36" s="96"/>
      <c r="X36" s="96"/>
      <c r="Y36" s="96"/>
      <c r="Z36" s="96"/>
      <c r="AA36" s="96"/>
      <c r="AB36" s="96"/>
    </row>
    <row r="37" spans="1:28" ht="51" customHeight="1">
      <c r="O37" s="95"/>
      <c r="P37" s="95"/>
      <c r="Q37" s="95"/>
      <c r="R37" s="95"/>
      <c r="S37" s="1951"/>
      <c r="T37" s="1948"/>
      <c r="U37" s="96"/>
      <c r="V37" s="96"/>
      <c r="W37" s="96"/>
      <c r="X37" s="96"/>
      <c r="Y37" s="96"/>
      <c r="Z37" s="96"/>
      <c r="AA37" s="96"/>
      <c r="AB37" s="96"/>
    </row>
    <row r="38" spans="1:28" ht="78" customHeight="1">
      <c r="A38" s="2023"/>
      <c r="B38" s="2023"/>
      <c r="C38" s="2023"/>
      <c r="D38" s="2023"/>
      <c r="E38" s="2023"/>
      <c r="F38" s="2023"/>
      <c r="G38" s="2023"/>
      <c r="H38" s="2023"/>
      <c r="I38" s="2023"/>
      <c r="J38" s="2023"/>
      <c r="K38" s="2023"/>
      <c r="L38" s="2023"/>
      <c r="M38" s="2023"/>
      <c r="N38" s="2023"/>
      <c r="O38" s="2023"/>
      <c r="P38" s="2023"/>
      <c r="Q38" s="2023"/>
      <c r="R38" s="2023"/>
      <c r="S38" s="2023"/>
      <c r="T38" s="2023"/>
      <c r="U38" s="2023"/>
      <c r="V38" s="2023"/>
      <c r="W38" s="2023"/>
      <c r="X38" s="2023"/>
      <c r="Y38" s="2023"/>
      <c r="Z38" s="2023"/>
      <c r="AA38" s="96"/>
      <c r="AB38" s="96"/>
    </row>
    <row r="39" spans="1:28">
      <c r="O39" s="96"/>
      <c r="P39" s="96"/>
      <c r="Q39" s="96"/>
      <c r="R39" s="96"/>
      <c r="S39" s="1951"/>
    </row>
    <row r="40" spans="1:28">
      <c r="O40" s="96"/>
      <c r="P40" s="96"/>
      <c r="Q40" s="96"/>
      <c r="R40" s="96"/>
      <c r="S40" s="1951"/>
    </row>
    <row r="41" spans="1:28">
      <c r="O41" s="96"/>
      <c r="P41" s="96"/>
      <c r="Q41" s="96"/>
      <c r="R41" s="96"/>
      <c r="S41" s="1951"/>
    </row>
    <row r="42" spans="1:28">
      <c r="O42" s="96"/>
      <c r="P42" s="96"/>
      <c r="Q42" s="96"/>
      <c r="R42" s="96"/>
      <c r="S42" s="1951"/>
    </row>
    <row r="43" spans="1:28">
      <c r="O43" s="96"/>
      <c r="P43" s="96"/>
      <c r="Q43" s="96"/>
      <c r="R43" s="96"/>
      <c r="S43" s="1951"/>
    </row>
    <row r="44" spans="1:28">
      <c r="O44" s="96"/>
      <c r="P44" s="96"/>
      <c r="Q44" s="96"/>
      <c r="R44" s="96"/>
      <c r="S44" s="1951"/>
      <c r="T44" s="1948"/>
      <c r="U44" s="96"/>
      <c r="V44" s="96"/>
      <c r="W44" s="96"/>
      <c r="X44" s="96"/>
      <c r="Y44" s="96"/>
      <c r="Z44" s="96"/>
      <c r="AA44" s="96"/>
      <c r="AB44" s="96"/>
    </row>
    <row r="45" spans="1:28">
      <c r="O45" s="96"/>
      <c r="P45" s="96"/>
      <c r="Q45" s="96"/>
      <c r="R45" s="96"/>
      <c r="S45" s="1951"/>
      <c r="T45" s="1948"/>
      <c r="U45" s="96"/>
      <c r="V45" s="96"/>
      <c r="W45" s="96"/>
      <c r="X45" s="96"/>
      <c r="Y45" s="96"/>
      <c r="Z45" s="96"/>
      <c r="AA45" s="96"/>
      <c r="AB45" s="96"/>
    </row>
    <row r="46" spans="1:28">
      <c r="O46" s="96"/>
      <c r="P46" s="96"/>
      <c r="Q46" s="96"/>
      <c r="R46" s="96"/>
      <c r="S46" s="1951"/>
      <c r="T46" s="1948"/>
      <c r="U46" s="96"/>
      <c r="V46" s="96"/>
      <c r="W46" s="96"/>
      <c r="X46" s="96"/>
      <c r="Y46" s="96"/>
      <c r="Z46" s="96"/>
      <c r="AA46" s="96"/>
      <c r="AB46" s="96"/>
    </row>
    <row r="47" spans="1:28">
      <c r="O47" s="96"/>
      <c r="P47" s="96"/>
      <c r="Q47" s="96"/>
      <c r="R47" s="96"/>
      <c r="S47" s="1951"/>
      <c r="T47" s="1948"/>
      <c r="U47" s="96"/>
      <c r="V47" s="96"/>
      <c r="W47" s="96"/>
      <c r="X47" s="96"/>
      <c r="Y47" s="96"/>
      <c r="Z47" s="96"/>
      <c r="AA47" s="96"/>
      <c r="AB47" s="96"/>
    </row>
    <row r="48" spans="1:28">
      <c r="O48" s="96"/>
      <c r="P48" s="96"/>
      <c r="Q48" s="96"/>
      <c r="R48" s="96"/>
      <c r="S48" s="1951"/>
      <c r="T48" s="1948"/>
      <c r="U48" s="96"/>
      <c r="V48" s="96"/>
      <c r="W48" s="96"/>
      <c r="X48" s="96"/>
      <c r="Y48" s="96"/>
      <c r="Z48" s="96"/>
      <c r="AA48" s="96"/>
      <c r="AB48" s="96"/>
    </row>
    <row r="49" spans="2:28">
      <c r="O49" s="96"/>
      <c r="P49" s="96"/>
      <c r="Q49" s="96"/>
      <c r="R49" s="96"/>
      <c r="S49" s="1951"/>
      <c r="T49" s="1948"/>
      <c r="U49" s="96"/>
      <c r="V49" s="96"/>
      <c r="W49" s="96"/>
      <c r="X49" s="96"/>
      <c r="Y49" s="96"/>
      <c r="Z49" s="96"/>
      <c r="AA49" s="96"/>
      <c r="AB49" s="96"/>
    </row>
    <row r="50" spans="2:28">
      <c r="B50" s="96"/>
      <c r="C50" s="96"/>
      <c r="D50" s="96"/>
      <c r="E50" s="96"/>
      <c r="F50" s="96"/>
      <c r="G50" s="96"/>
      <c r="H50" s="96"/>
      <c r="I50" s="96"/>
      <c r="J50" s="96"/>
      <c r="K50" s="96"/>
      <c r="L50" s="96"/>
      <c r="M50" s="96"/>
      <c r="N50" s="96"/>
      <c r="O50" s="96"/>
      <c r="P50" s="96"/>
      <c r="Q50" s="96"/>
      <c r="R50" s="96"/>
      <c r="S50" s="1951"/>
      <c r="T50" s="1948"/>
      <c r="U50" s="96"/>
      <c r="V50" s="96"/>
      <c r="W50" s="96"/>
      <c r="X50" s="96"/>
      <c r="Y50" s="96"/>
      <c r="Z50" s="96"/>
      <c r="AA50" s="96"/>
      <c r="AB50" s="96"/>
    </row>
    <row r="69" spans="20:25">
      <c r="T69" s="1948"/>
      <c r="U69" s="96"/>
      <c r="V69" s="96"/>
      <c r="W69" s="96"/>
      <c r="X69" s="96"/>
      <c r="Y69" s="96"/>
    </row>
    <row r="70" spans="20:25">
      <c r="T70" s="1948"/>
      <c r="U70" s="96"/>
      <c r="V70" s="96"/>
      <c r="W70" s="96"/>
      <c r="X70" s="96"/>
      <c r="Y70" s="96"/>
    </row>
    <row r="71" spans="20:25">
      <c r="T71" s="1948"/>
      <c r="U71" s="96"/>
      <c r="V71" s="96"/>
      <c r="W71" s="96"/>
      <c r="X71" s="96"/>
      <c r="Y71" s="96"/>
    </row>
    <row r="72" spans="20:25">
      <c r="T72" s="1948"/>
      <c r="U72" s="96"/>
      <c r="V72" s="96"/>
      <c r="W72" s="96"/>
      <c r="X72" s="96"/>
      <c r="Y72" s="96"/>
    </row>
    <row r="73" spans="20:25">
      <c r="T73" s="1948"/>
      <c r="U73" s="96"/>
      <c r="V73" s="96"/>
      <c r="W73" s="96"/>
      <c r="X73" s="96"/>
      <c r="Y73" s="96"/>
    </row>
    <row r="74" spans="20:25">
      <c r="T74" s="1948"/>
      <c r="U74" s="96"/>
      <c r="V74" s="96"/>
      <c r="W74" s="96"/>
      <c r="X74" s="96"/>
      <c r="Y74" s="96"/>
    </row>
    <row r="75" spans="20:25">
      <c r="T75" s="1948"/>
      <c r="U75" s="96"/>
      <c r="V75" s="96"/>
      <c r="W75" s="96"/>
      <c r="X75" s="96"/>
      <c r="Y75" s="96"/>
    </row>
    <row r="76" spans="20:25">
      <c r="T76" s="1948"/>
      <c r="U76" s="96"/>
      <c r="V76" s="96"/>
      <c r="W76" s="96"/>
      <c r="X76" s="96"/>
      <c r="Y76" s="96"/>
    </row>
    <row r="86" spans="20:25">
      <c r="T86" s="1948"/>
      <c r="U86" s="96"/>
      <c r="V86" s="96"/>
      <c r="W86" s="96"/>
      <c r="X86" s="96"/>
      <c r="Y86" s="96"/>
    </row>
    <row r="87" spans="20:25">
      <c r="T87" s="1948"/>
      <c r="U87" s="96"/>
      <c r="V87" s="96"/>
      <c r="W87" s="96"/>
      <c r="X87" s="96"/>
      <c r="Y87" s="96"/>
    </row>
    <row r="88" spans="20:25">
      <c r="T88" s="1948"/>
      <c r="U88" s="96"/>
      <c r="V88" s="96"/>
      <c r="W88" s="96"/>
      <c r="X88" s="96"/>
      <c r="Y88" s="96"/>
    </row>
    <row r="89" spans="20:25">
      <c r="T89" s="1948"/>
      <c r="U89" s="96"/>
      <c r="V89" s="96"/>
      <c r="W89" s="96"/>
      <c r="X89" s="96"/>
      <c r="Y89" s="96"/>
    </row>
  </sheetData>
  <mergeCells count="3">
    <mergeCell ref="A1:R1"/>
    <mergeCell ref="A17:G17"/>
    <mergeCell ref="A38:Z38"/>
  </mergeCells>
  <printOptions horizontalCentered="1" verticalCentered="1"/>
  <pageMargins left="0.39370078740157483" right="0.39370078740157483" top="0.23622047244094491" bottom="0.23622047244094491" header="0.31496062992125984" footer="0.31496062992125984"/>
  <pageSetup paperSize="10023" scale="38" orientation="landscape"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9">
    <tabColor theme="9" tint="-0.249977111117893"/>
  </sheetPr>
  <dimension ref="A1:AG90"/>
  <sheetViews>
    <sheetView showGridLines="0" view="pageBreakPreview" zoomScale="55" zoomScaleNormal="100" zoomScaleSheetLayoutView="55" zoomScalePageLayoutView="62" workbookViewId="0">
      <pane xSplit="1" ySplit="3" topLeftCell="B4" activePane="bottomRight" state="frozen"/>
      <selection pane="topRight" activeCell="B1" sqref="B1"/>
      <selection pane="bottomLeft" activeCell="A4" sqref="A4"/>
      <selection pane="bottomRight" activeCell="I7" sqref="I7"/>
    </sheetView>
  </sheetViews>
  <sheetFormatPr baseColWidth="10" defaultColWidth="11.42578125" defaultRowHeight="15"/>
  <cols>
    <col min="1" max="1" width="16.7109375" style="198" customWidth="1"/>
    <col min="2" max="2" width="32.140625" style="1807" customWidth="1"/>
    <col min="3" max="3" width="32.42578125" style="1807" customWidth="1"/>
    <col min="4" max="4" width="30.5703125" style="1807" customWidth="1"/>
    <col min="5" max="5" width="33.140625" style="1807" customWidth="1"/>
    <col min="6" max="6" width="26.28515625" style="77" customWidth="1"/>
    <col min="7" max="7" width="23.85546875" style="77" customWidth="1"/>
    <col min="8" max="8" width="17.7109375" style="77" customWidth="1"/>
    <col min="9" max="9" width="20.7109375" style="77" customWidth="1"/>
    <col min="10" max="10" width="16.85546875" style="77" customWidth="1"/>
    <col min="11" max="11" width="14.5703125" style="77" customWidth="1"/>
    <col min="12" max="12" width="15" style="77" customWidth="1"/>
    <col min="13" max="13" width="17.28515625" style="77" customWidth="1"/>
    <col min="14" max="15" width="12.5703125" style="77" customWidth="1"/>
    <col min="16" max="16" width="13.28515625" style="77" customWidth="1"/>
    <col min="17" max="17" width="20" style="77" customWidth="1"/>
    <col min="18" max="18" width="14.42578125" style="77" customWidth="1"/>
    <col min="19" max="19" width="25.28515625" style="77" customWidth="1"/>
    <col min="20" max="20" width="20.42578125" style="77" customWidth="1"/>
    <col min="21" max="21" width="14.7109375" style="77" customWidth="1"/>
    <col min="22" max="22" width="13" style="77" customWidth="1"/>
    <col min="23" max="26" width="11.42578125" style="77"/>
    <col min="27" max="27" width="18.7109375" style="77" bestFit="1" customWidth="1"/>
    <col min="28" max="16384" width="11.42578125" style="77"/>
  </cols>
  <sheetData>
    <row r="1" spans="1:33" ht="104.25" customHeight="1">
      <c r="A1" s="2021"/>
      <c r="B1" s="2021"/>
      <c r="C1" s="2021"/>
      <c r="D1" s="2021"/>
      <c r="E1" s="2021"/>
      <c r="F1" s="2021"/>
      <c r="G1" s="2021"/>
      <c r="H1" s="2021"/>
      <c r="I1" s="2021"/>
      <c r="J1" s="2021"/>
      <c r="K1" s="2021"/>
      <c r="L1" s="2021"/>
      <c r="M1" s="2021"/>
      <c r="N1" s="2021"/>
      <c r="O1" s="2021"/>
      <c r="P1" s="2021"/>
      <c r="Q1" s="2021"/>
      <c r="R1" s="2021"/>
    </row>
    <row r="2" spans="1:33" s="39" customFormat="1" ht="8.25" customHeight="1">
      <c r="A2" s="1960"/>
      <c r="B2" s="1479"/>
      <c r="C2" s="1479"/>
      <c r="D2" s="1479"/>
      <c r="E2" s="1479"/>
      <c r="F2" s="791"/>
      <c r="G2" s="791"/>
      <c r="H2" s="180"/>
      <c r="I2" s="180"/>
      <c r="J2" s="180"/>
      <c r="K2" s="180"/>
      <c r="L2" s="180"/>
      <c r="M2" s="180"/>
      <c r="N2" s="180"/>
      <c r="O2" s="180"/>
      <c r="P2" s="180"/>
      <c r="Q2" s="180"/>
      <c r="R2" s="180"/>
    </row>
    <row r="3" spans="1:33" ht="80.25" customHeight="1">
      <c r="A3" s="1937" t="s">
        <v>238</v>
      </c>
      <c r="B3" s="363" t="s">
        <v>757</v>
      </c>
      <c r="C3" s="362" t="s">
        <v>665</v>
      </c>
      <c r="D3" s="362" t="s">
        <v>666</v>
      </c>
      <c r="E3" s="362" t="s">
        <v>667</v>
      </c>
      <c r="F3" s="363" t="s">
        <v>668</v>
      </c>
      <c r="G3" s="364" t="s">
        <v>555</v>
      </c>
      <c r="H3"/>
      <c r="I3"/>
      <c r="J3"/>
      <c r="K3"/>
      <c r="L3"/>
      <c r="M3"/>
      <c r="N3"/>
      <c r="O3"/>
      <c r="P3"/>
      <c r="Q3"/>
      <c r="R3"/>
      <c r="S3" s="24"/>
      <c r="T3" s="24"/>
      <c r="U3" s="24"/>
      <c r="V3" s="24"/>
    </row>
    <row r="4" spans="1:33" s="1428" customFormat="1" ht="18.75">
      <c r="A4" s="1961" t="s">
        <v>485</v>
      </c>
      <c r="B4" s="1808">
        <v>1005990</v>
      </c>
      <c r="C4" s="1173">
        <f t="shared" ref="C4:C9" si="0">D4+E4</f>
        <v>593477</v>
      </c>
      <c r="D4" s="1172">
        <v>586713</v>
      </c>
      <c r="E4" s="1172">
        <v>6764</v>
      </c>
      <c r="F4" s="1953">
        <f t="shared" ref="F4:F11" si="1">+B4+D4+E4</f>
        <v>1599467</v>
      </c>
      <c r="G4" s="1954">
        <f t="shared" ref="G4:G11" si="2">C4/B4</f>
        <v>0.58994323999244525</v>
      </c>
      <c r="T4" s="279"/>
      <c r="U4" s="279"/>
      <c r="V4" s="279"/>
    </row>
    <row r="5" spans="1:33" s="1428" customFormat="1" ht="18.75">
      <c r="A5" s="1961" t="s">
        <v>486</v>
      </c>
      <c r="B5" s="1808">
        <v>992746</v>
      </c>
      <c r="C5" s="1173">
        <f t="shared" si="0"/>
        <v>736925</v>
      </c>
      <c r="D5" s="1172">
        <v>718099</v>
      </c>
      <c r="E5" s="1172">
        <v>18826</v>
      </c>
      <c r="F5" s="1953">
        <f t="shared" si="1"/>
        <v>1729671</v>
      </c>
      <c r="G5" s="1954">
        <f t="shared" si="2"/>
        <v>0.74230971467021778</v>
      </c>
      <c r="S5" s="1955"/>
      <c r="T5" s="279"/>
      <c r="U5" s="279"/>
      <c r="V5" s="279"/>
    </row>
    <row r="6" spans="1:33" s="1428" customFormat="1" ht="18.75">
      <c r="A6" s="1961" t="s">
        <v>195</v>
      </c>
      <c r="B6" s="1808">
        <v>1084705</v>
      </c>
      <c r="C6" s="1173">
        <f t="shared" si="0"/>
        <v>1011527</v>
      </c>
      <c r="D6" s="1172">
        <v>965195</v>
      </c>
      <c r="E6" s="1172">
        <v>46332</v>
      </c>
      <c r="F6" s="1953">
        <f t="shared" si="1"/>
        <v>2096232</v>
      </c>
      <c r="G6" s="1954">
        <f t="shared" si="2"/>
        <v>0.93253649609801748</v>
      </c>
      <c r="S6" s="1955"/>
      <c r="T6" s="279"/>
      <c r="U6" s="279"/>
      <c r="V6" s="279"/>
    </row>
    <row r="7" spans="1:33" s="1428" customFormat="1" ht="18.75">
      <c r="A7" s="1961" t="s">
        <v>196</v>
      </c>
      <c r="B7" s="1808">
        <v>1183463</v>
      </c>
      <c r="C7" s="1173">
        <f t="shared" si="0"/>
        <v>1234529</v>
      </c>
      <c r="D7" s="1172">
        <v>1163938</v>
      </c>
      <c r="E7" s="1172">
        <v>70591</v>
      </c>
      <c r="F7" s="1953">
        <f t="shared" si="1"/>
        <v>2417992</v>
      </c>
      <c r="G7" s="1954">
        <f t="shared" si="2"/>
        <v>1.043149637969248</v>
      </c>
      <c r="S7" s="1955"/>
      <c r="T7" s="279"/>
      <c r="U7" s="279"/>
      <c r="V7" s="279"/>
    </row>
    <row r="8" spans="1:33" s="1428" customFormat="1" ht="18.75">
      <c r="A8" s="1961" t="s">
        <v>487</v>
      </c>
      <c r="B8" s="1808">
        <v>1224959</v>
      </c>
      <c r="C8" s="1173">
        <f t="shared" si="0"/>
        <v>1361984</v>
      </c>
      <c r="D8" s="1172">
        <v>1266038</v>
      </c>
      <c r="E8" s="1172">
        <v>95946</v>
      </c>
      <c r="F8" s="1953">
        <f t="shared" si="1"/>
        <v>2586943</v>
      </c>
      <c r="G8" s="1954">
        <f t="shared" si="2"/>
        <v>1.1118608867725368</v>
      </c>
      <c r="S8" s="1955"/>
      <c r="T8" s="279"/>
      <c r="U8" s="279"/>
      <c r="V8" s="279"/>
    </row>
    <row r="9" spans="1:33" s="1428" customFormat="1" ht="18.75">
      <c r="A9" s="1961" t="s">
        <v>488</v>
      </c>
      <c r="B9" s="1808">
        <v>1270865</v>
      </c>
      <c r="C9" s="1173">
        <f t="shared" si="0"/>
        <v>1476870</v>
      </c>
      <c r="D9" s="1172">
        <v>1362366</v>
      </c>
      <c r="E9" s="1172">
        <v>114504</v>
      </c>
      <c r="F9" s="1953">
        <f t="shared" si="1"/>
        <v>2747735</v>
      </c>
      <c r="G9" s="1954">
        <f t="shared" si="2"/>
        <v>1.1620982559123116</v>
      </c>
      <c r="S9" s="1955"/>
      <c r="T9" s="279"/>
      <c r="U9" s="279"/>
      <c r="V9" s="279"/>
    </row>
    <row r="10" spans="1:33" s="1428" customFormat="1" ht="18.75">
      <c r="A10" s="1961" t="s">
        <v>552</v>
      </c>
      <c r="B10" s="1808">
        <v>1353109</v>
      </c>
      <c r="C10" s="1173">
        <f>D10+E10</f>
        <v>1612217</v>
      </c>
      <c r="D10" s="1172">
        <v>1478208</v>
      </c>
      <c r="E10" s="1172">
        <v>134009</v>
      </c>
      <c r="F10" s="1953">
        <f t="shared" si="1"/>
        <v>2965326</v>
      </c>
      <c r="G10" s="1954">
        <f t="shared" si="2"/>
        <v>1.1914908555038803</v>
      </c>
      <c r="S10" s="1955"/>
      <c r="T10" s="279"/>
      <c r="U10" s="279"/>
      <c r="V10" s="279"/>
    </row>
    <row r="11" spans="1:33" s="1428" customFormat="1" ht="18" customHeight="1">
      <c r="A11" s="1961" t="s">
        <v>572</v>
      </c>
      <c r="B11" s="1808">
        <v>1451773</v>
      </c>
      <c r="C11" s="1173">
        <f>D11+E11</f>
        <v>1773174</v>
      </c>
      <c r="D11" s="1172">
        <v>1621827</v>
      </c>
      <c r="E11" s="1172">
        <v>151347</v>
      </c>
      <c r="F11" s="1953">
        <f t="shared" si="1"/>
        <v>3224947</v>
      </c>
      <c r="G11" s="1954">
        <f t="shared" si="2"/>
        <v>1.2213851614543045</v>
      </c>
      <c r="K11" s="1956"/>
      <c r="L11" s="1956"/>
      <c r="M11" s="1956"/>
      <c r="N11" s="1956"/>
      <c r="O11" s="1956"/>
      <c r="P11" s="1956"/>
      <c r="Q11" s="1957"/>
      <c r="R11" s="1957"/>
      <c r="S11" s="1955"/>
      <c r="T11" s="279"/>
      <c r="U11" s="279"/>
      <c r="V11" s="279"/>
    </row>
    <row r="12" spans="1:33" s="1428" customFormat="1" ht="18" customHeight="1">
      <c r="A12" s="1962" t="s">
        <v>1004</v>
      </c>
      <c r="B12" s="1809">
        <v>1548000</v>
      </c>
      <c r="C12" s="1555">
        <f>D12+E12</f>
        <v>1887291</v>
      </c>
      <c r="D12" s="1554">
        <v>1709978</v>
      </c>
      <c r="E12" s="1554">
        <v>177313</v>
      </c>
      <c r="F12" s="1958">
        <f>+B12+D12+E12</f>
        <v>3435291</v>
      </c>
      <c r="G12" s="1959">
        <f>C12/B12</f>
        <v>1.2191802325581396</v>
      </c>
      <c r="J12" s="1956"/>
      <c r="K12" s="1956"/>
      <c r="L12" s="1956"/>
      <c r="M12" s="1956"/>
      <c r="N12" s="1956"/>
      <c r="O12" s="1956"/>
      <c r="P12" s="1956"/>
      <c r="Q12" s="1957"/>
      <c r="R12" s="1957"/>
      <c r="S12" s="279"/>
      <c r="T12" s="279"/>
      <c r="U12" s="279"/>
      <c r="V12" s="279"/>
    </row>
    <row r="13" spans="1:33" ht="25.5" customHeight="1">
      <c r="A13" s="31"/>
      <c r="B13" s="1810"/>
      <c r="C13" s="1810"/>
      <c r="D13" s="1810"/>
      <c r="E13" s="1810"/>
      <c r="F13" s="31"/>
      <c r="G13" s="31"/>
      <c r="H13" s="31"/>
      <c r="I13" s="31"/>
      <c r="J13" s="31"/>
      <c r="K13" s="31"/>
      <c r="L13" s="31"/>
      <c r="M13" s="31"/>
      <c r="N13" s="31"/>
      <c r="O13" s="31"/>
      <c r="P13" s="31"/>
      <c r="Q13" s="31"/>
      <c r="R13" s="31"/>
      <c r="S13" s="31"/>
      <c r="T13" s="31"/>
      <c r="U13" s="31"/>
      <c r="V13" s="31"/>
    </row>
    <row r="14" spans="1:33" ht="25.5" customHeight="1">
      <c r="A14" s="31"/>
      <c r="B14" s="1810"/>
      <c r="C14" s="1810"/>
      <c r="D14" s="1810"/>
      <c r="E14" s="1810"/>
      <c r="F14" s="31"/>
      <c r="G14" s="31"/>
      <c r="H14" s="31"/>
      <c r="I14" s="31"/>
      <c r="J14" s="31"/>
      <c r="K14" s="31"/>
      <c r="L14" s="31"/>
      <c r="M14" s="31"/>
      <c r="N14" s="31"/>
      <c r="O14" s="31"/>
      <c r="P14" s="31"/>
      <c r="Q14" s="31"/>
      <c r="R14" s="31"/>
      <c r="S14" s="31"/>
      <c r="T14" s="31"/>
      <c r="U14" s="31"/>
      <c r="V14" s="31"/>
      <c r="AG14" s="77" t="s">
        <v>31</v>
      </c>
    </row>
    <row r="15" spans="1:33" ht="25.5" customHeight="1">
      <c r="A15" s="31"/>
      <c r="B15" s="1810"/>
      <c r="C15" s="1810"/>
      <c r="D15" s="1810"/>
      <c r="E15" s="1810"/>
      <c r="F15" s="31"/>
      <c r="G15" s="31"/>
      <c r="H15" s="31"/>
      <c r="I15" s="31"/>
      <c r="J15" s="31"/>
      <c r="K15" s="31"/>
      <c r="L15" s="31"/>
      <c r="M15" s="31"/>
      <c r="N15" s="31"/>
      <c r="O15" s="31"/>
      <c r="P15" s="31"/>
      <c r="Q15" s="31"/>
      <c r="R15" s="31"/>
      <c r="S15" s="31"/>
      <c r="T15" s="31"/>
      <c r="U15" s="31"/>
      <c r="V15" s="31"/>
    </row>
    <row r="16" spans="1:33" ht="25.5" customHeight="1">
      <c r="A16" s="31"/>
      <c r="B16" s="1810"/>
      <c r="C16" s="1810"/>
      <c r="D16" s="1810"/>
      <c r="E16" s="1810"/>
      <c r="F16" s="31"/>
      <c r="G16" s="31"/>
      <c r="H16" s="31"/>
      <c r="I16" s="31"/>
      <c r="J16" s="31"/>
      <c r="K16" s="31"/>
      <c r="L16" s="31"/>
      <c r="M16" s="31"/>
      <c r="N16" s="31"/>
      <c r="O16" s="31"/>
      <c r="P16" s="31"/>
      <c r="Q16" s="31"/>
      <c r="R16" s="31"/>
      <c r="S16" s="31"/>
      <c r="T16" s="31"/>
      <c r="U16" s="31"/>
      <c r="V16" s="31"/>
    </row>
    <row r="17" spans="1:23" ht="25.5" customHeight="1">
      <c r="A17" s="31"/>
      <c r="B17" s="1810"/>
      <c r="C17" s="1810"/>
      <c r="D17" s="1810"/>
      <c r="E17" s="1810"/>
      <c r="F17" s="31"/>
      <c r="G17" s="31"/>
      <c r="H17" s="31"/>
      <c r="I17" s="31"/>
      <c r="J17" s="31"/>
      <c r="K17" s="31"/>
      <c r="L17" s="31"/>
      <c r="M17" s="31"/>
      <c r="N17" s="31"/>
      <c r="O17" s="31"/>
      <c r="P17" s="31"/>
      <c r="Q17" s="31"/>
      <c r="R17" s="31"/>
      <c r="S17" s="31"/>
      <c r="T17" s="31"/>
      <c r="U17" s="31"/>
      <c r="V17" s="31"/>
    </row>
    <row r="18" spans="1:23" ht="25.5" customHeight="1">
      <c r="A18" s="31"/>
      <c r="B18" s="1810"/>
      <c r="C18" s="1810"/>
      <c r="D18" s="1810"/>
      <c r="E18" s="1810"/>
      <c r="F18" s="31"/>
      <c r="G18" s="31"/>
      <c r="H18" s="31"/>
      <c r="I18" s="31"/>
      <c r="J18" s="31"/>
      <c r="K18" s="31"/>
      <c r="L18" s="31"/>
      <c r="M18" s="31"/>
      <c r="N18" s="31"/>
      <c r="O18" s="31"/>
      <c r="P18" s="31"/>
      <c r="Q18" s="31"/>
      <c r="R18" s="31"/>
      <c r="S18" s="31"/>
      <c r="T18" s="31"/>
      <c r="U18" s="31"/>
      <c r="V18" s="31"/>
    </row>
    <row r="19" spans="1:23" ht="25.5" customHeight="1">
      <c r="A19" s="31"/>
      <c r="B19" s="1810"/>
      <c r="C19" s="1810"/>
      <c r="D19" s="1810"/>
      <c r="E19" s="1810"/>
      <c r="F19" s="31"/>
      <c r="G19" s="31"/>
      <c r="H19" s="31"/>
      <c r="I19" s="31"/>
      <c r="J19" s="31"/>
      <c r="K19" s="31"/>
      <c r="L19" s="31"/>
      <c r="M19" s="31"/>
      <c r="N19" s="31"/>
      <c r="O19" s="31"/>
      <c r="P19" s="31"/>
      <c r="Q19" s="31"/>
      <c r="R19" s="31"/>
      <c r="S19" s="31"/>
      <c r="T19" s="31"/>
      <c r="U19" s="31"/>
      <c r="V19" s="31"/>
    </row>
    <row r="20" spans="1:23" ht="25.5" customHeight="1">
      <c r="A20" s="31"/>
      <c r="B20" s="1810"/>
      <c r="C20" s="1810"/>
      <c r="D20" s="1810"/>
      <c r="E20" s="1810"/>
      <c r="F20" s="31"/>
      <c r="G20" s="31"/>
      <c r="H20" s="31"/>
      <c r="I20" s="31"/>
      <c r="J20" s="31"/>
      <c r="K20" s="31"/>
      <c r="L20" s="31"/>
      <c r="M20" s="31"/>
      <c r="N20" s="31"/>
      <c r="O20" s="31"/>
      <c r="P20" s="31"/>
      <c r="Q20" s="31"/>
      <c r="R20" s="31"/>
      <c r="S20" s="31"/>
      <c r="T20" s="31"/>
      <c r="U20" s="31"/>
      <c r="V20" s="31"/>
    </row>
    <row r="21" spans="1:23" ht="25.5" customHeight="1">
      <c r="A21" s="31"/>
      <c r="B21" s="1810"/>
      <c r="C21" s="1810"/>
      <c r="D21" s="1810"/>
      <c r="E21" s="1810"/>
      <c r="F21" s="31"/>
      <c r="G21" s="31"/>
      <c r="H21" s="31"/>
      <c r="I21" s="31"/>
      <c r="J21" s="31"/>
      <c r="K21" s="31"/>
      <c r="L21" s="31"/>
      <c r="M21" s="31"/>
      <c r="N21" s="31"/>
      <c r="O21" s="31"/>
      <c r="P21" s="31"/>
      <c r="Q21" s="31"/>
      <c r="R21" s="31"/>
      <c r="S21" s="31"/>
      <c r="T21" s="31"/>
      <c r="U21" s="31"/>
      <c r="V21" s="31"/>
    </row>
    <row r="22" spans="1:23" ht="25.5" customHeight="1">
      <c r="A22" s="31"/>
      <c r="B22" s="1810"/>
      <c r="C22" s="1810"/>
      <c r="D22" s="1810"/>
      <c r="E22" s="1810"/>
      <c r="F22" s="31"/>
      <c r="G22" s="31"/>
      <c r="H22" s="31"/>
      <c r="I22" s="31"/>
      <c r="J22" s="31"/>
      <c r="K22" s="31"/>
      <c r="L22" s="31"/>
      <c r="M22" s="31"/>
      <c r="N22" s="31"/>
      <c r="O22" s="31"/>
      <c r="P22" s="31"/>
      <c r="Q22" s="31"/>
      <c r="R22" s="31"/>
      <c r="S22" s="31"/>
      <c r="T22" s="31"/>
      <c r="U22" s="31"/>
      <c r="V22" s="31"/>
    </row>
    <row r="23" spans="1:23" ht="25.5" customHeight="1">
      <c r="A23" s="31"/>
      <c r="B23" s="1810"/>
      <c r="C23" s="1810"/>
      <c r="D23" s="1810"/>
      <c r="E23" s="1810"/>
      <c r="F23" s="31"/>
      <c r="G23" s="31"/>
      <c r="H23" s="31"/>
      <c r="I23" s="31"/>
      <c r="J23" s="31"/>
      <c r="K23" s="31"/>
      <c r="L23" s="31"/>
      <c r="M23" s="31"/>
      <c r="N23" s="31"/>
      <c r="O23" s="31"/>
      <c r="P23" s="31"/>
      <c r="Q23" s="31"/>
      <c r="R23" s="31"/>
      <c r="S23" s="31"/>
      <c r="T23" s="31"/>
      <c r="U23" s="31"/>
      <c r="V23" s="31"/>
    </row>
    <row r="24" spans="1:23" ht="25.5" customHeight="1">
      <c r="A24" s="31"/>
      <c r="B24" s="1810"/>
      <c r="C24" s="1810"/>
      <c r="D24" s="1810"/>
      <c r="E24" s="1810"/>
      <c r="F24" s="31"/>
      <c r="G24" s="31"/>
      <c r="H24" s="31"/>
      <c r="I24" s="31"/>
      <c r="J24" s="31"/>
      <c r="K24" s="31"/>
      <c r="L24" s="31"/>
      <c r="M24" s="31"/>
      <c r="N24" s="31"/>
      <c r="O24" s="31"/>
      <c r="P24" s="31"/>
      <c r="Q24" s="31"/>
      <c r="R24" s="31"/>
      <c r="S24" s="31"/>
      <c r="T24" s="31"/>
      <c r="U24" s="31"/>
      <c r="V24" s="31"/>
    </row>
    <row r="25" spans="1:23" ht="25.5" customHeight="1">
      <c r="A25" s="31"/>
      <c r="B25" s="1810"/>
      <c r="C25" s="1810"/>
      <c r="D25" s="1810"/>
      <c r="E25" s="1810"/>
      <c r="F25" s="31"/>
      <c r="G25" s="31"/>
      <c r="H25" s="31"/>
      <c r="I25" s="31"/>
      <c r="J25" s="31"/>
      <c r="K25" s="31"/>
      <c r="L25" s="31"/>
      <c r="M25" s="31"/>
      <c r="N25" s="31"/>
      <c r="O25" s="31"/>
      <c r="P25" s="31"/>
      <c r="Q25" s="31"/>
      <c r="R25" s="31"/>
      <c r="S25" s="31"/>
      <c r="T25" s="31"/>
      <c r="U25" s="31"/>
      <c r="V25" s="31"/>
    </row>
    <row r="26" spans="1:23" ht="25.5" customHeight="1">
      <c r="A26" s="31"/>
      <c r="B26" s="1810"/>
      <c r="C26" s="1810"/>
      <c r="D26" s="1810"/>
      <c r="E26" s="1810"/>
      <c r="F26" s="31"/>
      <c r="G26" s="31"/>
      <c r="H26" s="31"/>
      <c r="I26" s="31"/>
      <c r="J26" s="31"/>
      <c r="K26" s="31"/>
      <c r="L26" s="31"/>
      <c r="M26" s="31"/>
      <c r="N26" s="31"/>
      <c r="O26" s="31"/>
      <c r="P26" s="31"/>
      <c r="Q26" s="31"/>
      <c r="R26" s="31"/>
      <c r="S26" s="31"/>
      <c r="T26" s="31"/>
      <c r="U26" s="31"/>
      <c r="V26" s="31"/>
      <c r="W26" s="77" t="s">
        <v>31</v>
      </c>
    </row>
    <row r="27" spans="1:23" ht="25.5" customHeight="1">
      <c r="A27" s="31"/>
      <c r="B27" s="1810"/>
      <c r="C27" s="1810"/>
      <c r="D27" s="1810"/>
      <c r="E27" s="1810"/>
      <c r="F27" s="31"/>
      <c r="G27" s="31"/>
      <c r="H27" s="31"/>
      <c r="I27" s="31"/>
      <c r="J27" s="31"/>
      <c r="K27" s="31"/>
      <c r="L27" s="31"/>
      <c r="M27" s="31"/>
      <c r="N27" s="31"/>
      <c r="O27" s="31"/>
      <c r="P27" s="31"/>
      <c r="Q27" s="31"/>
      <c r="R27" s="31"/>
      <c r="S27" s="31"/>
      <c r="T27" s="31"/>
      <c r="U27" s="31"/>
      <c r="V27" s="31"/>
    </row>
    <row r="28" spans="1:23" ht="25.5" customHeight="1">
      <c r="A28" s="31"/>
      <c r="B28" s="1810"/>
      <c r="C28" s="1810"/>
      <c r="D28" s="1810"/>
      <c r="E28" s="1810"/>
      <c r="F28" s="31"/>
      <c r="G28" s="31"/>
      <c r="H28" s="31"/>
      <c r="I28" s="31"/>
      <c r="J28" s="31"/>
      <c r="K28" s="31"/>
      <c r="L28" s="31"/>
      <c r="M28" s="31"/>
      <c r="N28" s="31"/>
      <c r="O28" s="31"/>
      <c r="P28" s="31"/>
      <c r="Q28" s="31"/>
      <c r="R28" s="31"/>
      <c r="S28" s="31"/>
      <c r="T28" s="31"/>
      <c r="U28" s="31"/>
      <c r="V28" s="31"/>
    </row>
    <row r="29" spans="1:23" ht="25.5" customHeight="1">
      <c r="A29" s="31"/>
      <c r="B29" s="1810"/>
      <c r="C29" s="1810"/>
      <c r="D29" s="1810"/>
      <c r="E29" s="1810"/>
      <c r="F29" s="31"/>
      <c r="G29" s="31"/>
      <c r="H29" s="31"/>
      <c r="I29" s="31"/>
      <c r="J29" s="31"/>
      <c r="K29" s="31"/>
      <c r="L29" s="31"/>
      <c r="M29" s="31"/>
      <c r="N29" s="31"/>
      <c r="O29" s="31"/>
      <c r="P29" s="31"/>
      <c r="Q29" s="31"/>
      <c r="R29" s="31"/>
      <c r="S29" s="31"/>
      <c r="T29" s="31"/>
      <c r="U29" s="31"/>
      <c r="V29" s="31"/>
    </row>
    <row r="30" spans="1:23" ht="25.5" customHeight="1">
      <c r="A30" s="31"/>
      <c r="B30" s="1810"/>
      <c r="C30" s="1810"/>
      <c r="D30" s="1810"/>
      <c r="E30" s="1810"/>
      <c r="F30" s="31"/>
      <c r="G30" s="31"/>
      <c r="H30" s="31"/>
      <c r="I30" s="31"/>
      <c r="J30" s="31"/>
      <c r="K30" s="31"/>
      <c r="L30" s="31"/>
      <c r="M30" s="31"/>
      <c r="N30" s="31"/>
      <c r="O30" s="31"/>
      <c r="P30" s="31"/>
      <c r="Q30" s="31"/>
      <c r="R30" s="31"/>
      <c r="S30" s="31"/>
      <c r="T30" s="31"/>
      <c r="U30" s="31"/>
      <c r="V30" s="31"/>
    </row>
    <row r="31" spans="1:23" ht="25.5" customHeight="1">
      <c r="A31" s="31"/>
      <c r="B31" s="1810"/>
      <c r="C31" s="1810"/>
      <c r="D31" s="1810"/>
      <c r="E31" s="1810"/>
      <c r="F31" s="31"/>
      <c r="G31" s="31"/>
      <c r="H31" s="31"/>
      <c r="I31" s="31"/>
      <c r="J31" s="31"/>
      <c r="K31" s="31"/>
      <c r="L31" s="31"/>
      <c r="M31" s="31"/>
      <c r="N31" s="31"/>
      <c r="O31" s="31"/>
      <c r="P31" s="31"/>
      <c r="Q31" s="31"/>
      <c r="R31" s="31"/>
      <c r="S31" s="31" t="s">
        <v>176</v>
      </c>
      <c r="T31" s="31"/>
      <c r="U31" s="31"/>
      <c r="V31" s="31"/>
    </row>
    <row r="32" spans="1:23" ht="25.5" customHeight="1">
      <c r="A32" s="31"/>
      <c r="B32" s="1810"/>
      <c r="C32" s="1810"/>
      <c r="D32" s="1810"/>
      <c r="E32" s="1810"/>
      <c r="F32" s="31"/>
      <c r="G32" s="31"/>
      <c r="H32" s="31"/>
      <c r="I32" s="31"/>
      <c r="J32" s="31"/>
      <c r="K32" s="31"/>
      <c r="L32" s="31"/>
      <c r="M32" s="31"/>
      <c r="N32" s="31"/>
      <c r="O32" s="31"/>
      <c r="P32" s="31"/>
      <c r="Q32" s="31"/>
      <c r="R32" s="31"/>
      <c r="S32" s="31"/>
      <c r="T32" s="31"/>
      <c r="U32" s="31"/>
      <c r="V32" s="31"/>
    </row>
    <row r="33" spans="1:30" ht="25.5" customHeight="1">
      <c r="A33" s="31"/>
      <c r="B33" s="1810"/>
      <c r="C33" s="1810"/>
      <c r="D33" s="1810"/>
      <c r="E33" s="1810"/>
      <c r="F33" s="31"/>
      <c r="G33" s="31"/>
      <c r="H33" s="31"/>
      <c r="I33" s="31"/>
      <c r="J33" s="31"/>
      <c r="K33" s="31"/>
      <c r="L33" s="31"/>
      <c r="M33" s="31"/>
      <c r="N33" s="31"/>
      <c r="O33" s="31"/>
      <c r="P33" s="31"/>
      <c r="Q33" s="31"/>
      <c r="R33" s="31"/>
      <c r="S33" s="31"/>
      <c r="T33" s="31"/>
      <c r="U33" s="31"/>
      <c r="V33" s="31"/>
    </row>
    <row r="34" spans="1:30">
      <c r="S34" s="95"/>
      <c r="T34" s="95"/>
      <c r="U34" s="95"/>
      <c r="V34" s="95"/>
      <c r="W34" s="96"/>
      <c r="X34" s="96"/>
      <c r="Y34" s="96"/>
      <c r="Z34" s="96"/>
      <c r="AA34" s="96"/>
      <c r="AB34" s="96"/>
    </row>
    <row r="35" spans="1:30">
      <c r="S35" s="95"/>
      <c r="T35" s="95"/>
      <c r="U35" s="95"/>
      <c r="V35" s="95"/>
      <c r="W35" s="96"/>
      <c r="X35" s="96"/>
      <c r="Y35" s="96"/>
      <c r="Z35" s="96"/>
      <c r="AA35" s="96"/>
      <c r="AB35" s="96"/>
    </row>
    <row r="36" spans="1:30">
      <c r="S36" s="95"/>
      <c r="T36" s="95"/>
      <c r="U36" s="95"/>
      <c r="V36" s="95"/>
      <c r="W36" s="96"/>
      <c r="X36" s="96"/>
      <c r="Y36" s="96"/>
      <c r="Z36" s="96"/>
      <c r="AA36" s="96"/>
      <c r="AB36" s="96"/>
    </row>
    <row r="37" spans="1:30">
      <c r="S37" s="95"/>
      <c r="T37" s="95"/>
      <c r="U37" s="95"/>
      <c r="V37" s="95"/>
      <c r="W37" s="96"/>
      <c r="X37" s="96"/>
      <c r="Y37" s="96"/>
      <c r="Z37" s="96"/>
      <c r="AA37" s="96"/>
      <c r="AB37" s="96"/>
    </row>
    <row r="38" spans="1:30" ht="51" customHeight="1">
      <c r="S38" s="95"/>
      <c r="T38" s="95"/>
      <c r="U38" s="95"/>
      <c r="V38" s="95"/>
      <c r="W38" s="96"/>
      <c r="X38" s="96"/>
      <c r="Y38" s="96"/>
      <c r="Z38" s="96"/>
      <c r="AA38" s="96"/>
      <c r="AB38" s="96"/>
    </row>
    <row r="39" spans="1:30" ht="78" customHeight="1">
      <c r="A39" s="2023"/>
      <c r="B39" s="2023"/>
      <c r="C39" s="2023"/>
      <c r="D39" s="2023"/>
      <c r="E39" s="2023"/>
      <c r="F39" s="2023"/>
      <c r="G39" s="2023"/>
      <c r="H39" s="2023"/>
      <c r="I39" s="2023"/>
      <c r="J39" s="2023"/>
      <c r="K39" s="2023"/>
      <c r="L39" s="2023"/>
      <c r="M39" s="2023"/>
      <c r="N39" s="2023"/>
      <c r="O39" s="2023"/>
      <c r="P39" s="2023"/>
      <c r="Q39" s="2023"/>
      <c r="R39" s="2023"/>
      <c r="S39" s="2023"/>
      <c r="T39" s="2023"/>
      <c r="U39" s="2023"/>
      <c r="V39" s="2023"/>
      <c r="W39" s="2023"/>
      <c r="X39" s="2023"/>
      <c r="Y39" s="2023"/>
      <c r="Z39" s="96"/>
      <c r="AA39" s="96"/>
      <c r="AB39" s="96"/>
    </row>
    <row r="40" spans="1:30">
      <c r="S40" s="96"/>
      <c r="T40" s="96"/>
      <c r="U40" s="96"/>
      <c r="V40" s="96"/>
      <c r="W40" s="96"/>
    </row>
    <row r="41" spans="1:30">
      <c r="S41" s="96"/>
      <c r="T41" s="96"/>
      <c r="U41" s="96"/>
      <c r="V41" s="96"/>
      <c r="W41" s="96"/>
    </row>
    <row r="42" spans="1:30">
      <c r="S42" s="96"/>
      <c r="T42" s="96"/>
      <c r="U42" s="96"/>
      <c r="V42" s="96"/>
      <c r="W42" s="96"/>
    </row>
    <row r="43" spans="1:30">
      <c r="S43" s="96"/>
      <c r="T43" s="96"/>
      <c r="U43" s="96"/>
      <c r="V43" s="96"/>
      <c r="W43" s="96"/>
    </row>
    <row r="44" spans="1:30">
      <c r="S44" s="96"/>
      <c r="T44" s="96"/>
      <c r="U44" s="96"/>
      <c r="V44" s="96"/>
      <c r="W44" s="96"/>
    </row>
    <row r="45" spans="1:30">
      <c r="S45" s="96"/>
      <c r="T45" s="96"/>
      <c r="U45" s="96"/>
      <c r="V45" s="96"/>
      <c r="W45" s="96"/>
      <c r="X45" s="96"/>
      <c r="Y45" s="96"/>
      <c r="Z45" s="96"/>
      <c r="AA45" s="96"/>
      <c r="AB45" s="96"/>
      <c r="AC45" s="96"/>
      <c r="AD45" s="96"/>
    </row>
    <row r="46" spans="1:30">
      <c r="S46" s="96"/>
      <c r="T46" s="96"/>
      <c r="U46" s="96"/>
      <c r="V46" s="96"/>
      <c r="W46" s="96"/>
      <c r="X46" s="96"/>
      <c r="Y46" s="96"/>
      <c r="Z46" s="96"/>
      <c r="AA46" s="96"/>
      <c r="AB46" s="96"/>
      <c r="AC46" s="96"/>
      <c r="AD46" s="96"/>
    </row>
    <row r="47" spans="1:30">
      <c r="S47" s="96"/>
      <c r="T47" s="96"/>
      <c r="U47" s="96"/>
      <c r="V47" s="96"/>
      <c r="W47" s="96"/>
      <c r="X47" s="96"/>
      <c r="Y47" s="96"/>
      <c r="Z47" s="96"/>
      <c r="AA47" s="96"/>
      <c r="AB47" s="96"/>
      <c r="AC47" s="96"/>
      <c r="AD47" s="96"/>
    </row>
    <row r="48" spans="1:30">
      <c r="S48" s="96"/>
      <c r="T48" s="96"/>
      <c r="U48" s="96"/>
      <c r="V48" s="96"/>
      <c r="W48" s="96"/>
      <c r="X48" s="96"/>
      <c r="Y48" s="96"/>
      <c r="Z48" s="96"/>
      <c r="AA48" s="96"/>
      <c r="AB48" s="96"/>
      <c r="AC48" s="96"/>
      <c r="AD48" s="96"/>
    </row>
    <row r="49" spans="2:30">
      <c r="S49" s="96"/>
      <c r="T49" s="96"/>
      <c r="U49" s="96"/>
      <c r="V49" s="96"/>
      <c r="W49" s="96"/>
      <c r="X49" s="96"/>
      <c r="Y49" s="96"/>
      <c r="Z49" s="96"/>
      <c r="AA49" s="96"/>
      <c r="AB49" s="96"/>
      <c r="AC49" s="96"/>
      <c r="AD49" s="96"/>
    </row>
    <row r="50" spans="2:30">
      <c r="S50" s="96"/>
      <c r="T50" s="96"/>
      <c r="U50" s="96"/>
      <c r="V50" s="96"/>
      <c r="W50" s="96"/>
      <c r="X50" s="96"/>
      <c r="Y50" s="96"/>
      <c r="Z50" s="96"/>
      <c r="AA50" s="96"/>
      <c r="AB50" s="96"/>
      <c r="AC50" s="96"/>
      <c r="AD50" s="96"/>
    </row>
    <row r="51" spans="2:30">
      <c r="B51" s="1811"/>
      <c r="C51" s="1811"/>
      <c r="D51" s="1811"/>
      <c r="E51" s="1811"/>
      <c r="F51" s="96"/>
      <c r="G51" s="96"/>
      <c r="H51" s="96"/>
      <c r="I51" s="96"/>
      <c r="J51" s="96"/>
      <c r="K51" s="96"/>
      <c r="L51" s="96"/>
      <c r="M51" s="96"/>
      <c r="N51" s="96"/>
      <c r="O51" s="96"/>
      <c r="P51" s="96"/>
      <c r="Q51" s="96"/>
      <c r="R51" s="96"/>
      <c r="S51" s="96"/>
      <c r="T51" s="96"/>
      <c r="U51" s="96"/>
      <c r="V51" s="96"/>
      <c r="W51" s="96"/>
      <c r="X51" s="96"/>
      <c r="Y51" s="96"/>
      <c r="Z51" s="96"/>
      <c r="AA51" s="96"/>
      <c r="AB51" s="96"/>
      <c r="AC51" s="96"/>
      <c r="AD51" s="96"/>
    </row>
    <row r="70" spans="24:24">
      <c r="X70" s="96"/>
    </row>
    <row r="71" spans="24:24">
      <c r="X71" s="96"/>
    </row>
    <row r="72" spans="24:24">
      <c r="X72" s="96"/>
    </row>
    <row r="73" spans="24:24">
      <c r="X73" s="96"/>
    </row>
    <row r="74" spans="24:24">
      <c r="X74" s="96"/>
    </row>
    <row r="75" spans="24:24">
      <c r="X75" s="96"/>
    </row>
    <row r="76" spans="24:24">
      <c r="X76" s="96"/>
    </row>
    <row r="77" spans="24:24">
      <c r="X77" s="96"/>
    </row>
    <row r="87" spans="24:24">
      <c r="X87" s="96"/>
    </row>
    <row r="88" spans="24:24">
      <c r="X88" s="96"/>
    </row>
    <row r="89" spans="24:24">
      <c r="X89" s="96"/>
    </row>
    <row r="90" spans="24:24">
      <c r="X90" s="96"/>
    </row>
  </sheetData>
  <mergeCells count="2">
    <mergeCell ref="A1:R1"/>
    <mergeCell ref="A39:Y39"/>
  </mergeCells>
  <printOptions horizontalCentered="1" verticalCentered="1"/>
  <pageMargins left="0.39370078740157483" right="0.39370078740157483" top="0.23622047244094491" bottom="0.23622047244094491" header="0.31496062992125984" footer="0.31496062992125984"/>
  <pageSetup scale="35" orientation="landscape"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0">
    <tabColor theme="9" tint="-0.249977111117893"/>
    <pageSetUpPr fitToPage="1"/>
  </sheetPr>
  <dimension ref="A1:AB75"/>
  <sheetViews>
    <sheetView showGridLines="0" view="pageBreakPreview" zoomScale="55" zoomScaleNormal="100" zoomScaleSheetLayoutView="55" zoomScalePageLayoutView="62" workbookViewId="0">
      <selection activeCell="I11" sqref="I11"/>
    </sheetView>
  </sheetViews>
  <sheetFormatPr baseColWidth="10" defaultColWidth="11.42578125" defaultRowHeight="15"/>
  <cols>
    <col min="1" max="1" width="14.140625" style="77" customWidth="1"/>
    <col min="2" max="2" width="28" style="77" customWidth="1"/>
    <col min="3" max="3" width="31.85546875" style="77" customWidth="1"/>
    <col min="4" max="4" width="26.140625" style="77" customWidth="1"/>
    <col min="5" max="5" width="28.85546875" style="77" customWidth="1"/>
    <col min="6" max="6" width="26.42578125" style="77" customWidth="1"/>
    <col min="7" max="7" width="22.7109375" style="77" customWidth="1"/>
    <col min="8" max="8" width="25.42578125" style="77" customWidth="1"/>
    <col min="9" max="9" width="20" style="77" customWidth="1"/>
    <col min="10" max="10" width="21" style="77" customWidth="1"/>
    <col min="11" max="11" width="14.85546875" style="77" customWidth="1"/>
    <col min="12" max="12" width="16.140625" style="77" customWidth="1"/>
    <col min="13" max="13" width="10.5703125" style="77" customWidth="1"/>
    <col min="14" max="14" width="10.28515625" style="77" customWidth="1"/>
    <col min="15" max="15" width="13.140625" style="77" customWidth="1"/>
    <col min="16" max="17" width="11.140625" style="77" customWidth="1"/>
    <col min="18" max="18" width="13.7109375" style="77" customWidth="1"/>
    <col min="19" max="19" width="36.85546875" style="77" customWidth="1"/>
    <col min="20" max="27" width="11.42578125" style="77"/>
    <col min="28" max="28" width="18.7109375" style="77" bestFit="1" customWidth="1"/>
    <col min="29" max="16384" width="11.42578125" style="77"/>
  </cols>
  <sheetData>
    <row r="1" spans="1:19" ht="104.25" customHeight="1">
      <c r="A1" s="2037"/>
      <c r="B1" s="2037"/>
      <c r="C1" s="2037"/>
      <c r="D1" s="2037"/>
      <c r="E1" s="2037"/>
      <c r="F1" s="2037"/>
      <c r="G1" s="2037"/>
      <c r="H1" s="2037"/>
      <c r="I1" s="2037"/>
      <c r="J1" s="2037"/>
      <c r="K1" s="2037"/>
      <c r="L1" s="2037"/>
      <c r="M1" s="2037"/>
      <c r="N1" s="2037"/>
      <c r="O1" s="2037"/>
      <c r="P1" s="2037"/>
      <c r="Q1" s="2037"/>
      <c r="R1" s="2037"/>
    </row>
    <row r="2" spans="1:19" ht="5.25" customHeight="1">
      <c r="A2" s="180"/>
      <c r="B2" s="180"/>
      <c r="C2" s="180"/>
      <c r="D2" s="180"/>
      <c r="E2" s="180"/>
      <c r="F2" s="180"/>
      <c r="G2" s="180"/>
      <c r="H2" s="180"/>
      <c r="I2" s="180"/>
      <c r="J2" s="180"/>
      <c r="K2" s="180"/>
      <c r="L2" s="180"/>
      <c r="M2" s="180"/>
      <c r="N2" s="180"/>
      <c r="O2" s="180"/>
      <c r="P2" s="180"/>
      <c r="Q2" s="180"/>
      <c r="R2" s="180"/>
    </row>
    <row r="3" spans="1:19" s="50" customFormat="1" ht="73.5" customHeight="1">
      <c r="A3" s="775" t="s">
        <v>46</v>
      </c>
      <c r="B3" s="314" t="s">
        <v>757</v>
      </c>
      <c r="C3" s="312" t="s">
        <v>665</v>
      </c>
      <c r="D3" s="312" t="s">
        <v>774</v>
      </c>
      <c r="E3" s="312" t="s">
        <v>667</v>
      </c>
      <c r="F3" s="314" t="s">
        <v>668</v>
      </c>
      <c r="G3" s="313" t="s">
        <v>761</v>
      </c>
      <c r="H3"/>
      <c r="I3"/>
      <c r="J3"/>
      <c r="K3"/>
      <c r="L3"/>
      <c r="M3"/>
      <c r="N3"/>
      <c r="O3"/>
      <c r="P3"/>
      <c r="Q3"/>
      <c r="R3"/>
      <c r="S3" s="219"/>
    </row>
    <row r="4" spans="1:19" ht="18.75">
      <c r="A4" s="918" t="s">
        <v>576</v>
      </c>
      <c r="B4" s="1501">
        <v>1448467</v>
      </c>
      <c r="C4" s="1502">
        <f t="shared" ref="C4:C16" si="0">D4+E4</f>
        <v>1752260</v>
      </c>
      <c r="D4" s="1503">
        <v>1601669</v>
      </c>
      <c r="E4" s="1715">
        <v>150591</v>
      </c>
      <c r="F4" s="1474">
        <f t="shared" ref="F4:F16" si="1">+B4+D4+E4</f>
        <v>3200727</v>
      </c>
      <c r="G4" s="1504">
        <f t="shared" ref="G4:G16" si="2">C4/B4</f>
        <v>1.2097341534187525</v>
      </c>
      <c r="J4" s="31"/>
      <c r="K4" s="31"/>
      <c r="L4" s="31"/>
      <c r="M4" s="31"/>
      <c r="N4" s="31"/>
      <c r="O4" s="31"/>
      <c r="P4" s="31"/>
      <c r="Q4" s="31"/>
      <c r="R4" s="31"/>
    </row>
    <row r="5" spans="1:19" ht="18.75">
      <c r="A5" s="918" t="s">
        <v>574</v>
      </c>
      <c r="B5" s="1501">
        <v>1451773</v>
      </c>
      <c r="C5" s="1502">
        <f t="shared" si="0"/>
        <v>1773174</v>
      </c>
      <c r="D5" s="1503">
        <v>1621827</v>
      </c>
      <c r="E5" s="1715">
        <v>151347</v>
      </c>
      <c r="F5" s="1474">
        <f t="shared" si="1"/>
        <v>3224947</v>
      </c>
      <c r="G5" s="1504">
        <f t="shared" si="2"/>
        <v>1.2213851614543045</v>
      </c>
      <c r="J5" s="31"/>
      <c r="K5" s="31"/>
      <c r="L5" s="31"/>
      <c r="M5" s="31"/>
      <c r="N5" s="31"/>
      <c r="O5" s="31"/>
      <c r="P5" s="31"/>
      <c r="Q5" s="31"/>
      <c r="R5" s="31"/>
    </row>
    <row r="6" spans="1:19" ht="18.75">
      <c r="A6" s="918" t="s">
        <v>575</v>
      </c>
      <c r="B6" s="1501">
        <v>1459038</v>
      </c>
      <c r="C6" s="1502">
        <f t="shared" si="0"/>
        <v>1778842</v>
      </c>
      <c r="D6" s="1503">
        <v>1615933</v>
      </c>
      <c r="E6" s="1715">
        <v>162909</v>
      </c>
      <c r="F6" s="1474">
        <f t="shared" si="1"/>
        <v>3237880</v>
      </c>
      <c r="G6" s="1504">
        <f t="shared" si="2"/>
        <v>1.2191882596615029</v>
      </c>
      <c r="I6" s="31"/>
      <c r="J6" s="31"/>
      <c r="K6" s="31"/>
      <c r="L6" s="31"/>
      <c r="M6" s="31"/>
      <c r="N6" s="31"/>
      <c r="O6" s="31"/>
      <c r="P6" s="31"/>
      <c r="Q6" s="31"/>
      <c r="R6" s="31"/>
    </row>
    <row r="7" spans="1:19" ht="18.75">
      <c r="A7" s="918" t="s">
        <v>711</v>
      </c>
      <c r="B7" s="1501">
        <v>1460791</v>
      </c>
      <c r="C7" s="1502">
        <f t="shared" si="0"/>
        <v>1787686</v>
      </c>
      <c r="D7" s="1503">
        <v>1617473</v>
      </c>
      <c r="E7" s="1715">
        <v>170213</v>
      </c>
      <c r="F7" s="1474">
        <f t="shared" si="1"/>
        <v>3248477</v>
      </c>
      <c r="G7" s="1504">
        <f t="shared" si="2"/>
        <v>1.223779445519585</v>
      </c>
      <c r="I7" s="31"/>
      <c r="J7" s="31"/>
      <c r="K7" s="31"/>
      <c r="L7" s="31"/>
      <c r="M7" s="31"/>
      <c r="N7" s="31"/>
      <c r="O7" s="31"/>
      <c r="P7" s="31"/>
      <c r="Q7" s="31"/>
      <c r="R7" s="31"/>
    </row>
    <row r="8" spans="1:19" ht="18.75">
      <c r="A8" s="918" t="s">
        <v>732</v>
      </c>
      <c r="B8" s="1501">
        <v>1482487</v>
      </c>
      <c r="C8" s="1502">
        <f t="shared" si="0"/>
        <v>1831900</v>
      </c>
      <c r="D8" s="1503">
        <v>1661507</v>
      </c>
      <c r="E8" s="1715">
        <v>170393</v>
      </c>
      <c r="F8" s="1474">
        <f t="shared" si="1"/>
        <v>3314387</v>
      </c>
      <c r="G8" s="1504">
        <f t="shared" si="2"/>
        <v>1.235693803723068</v>
      </c>
      <c r="I8" s="31"/>
      <c r="J8" s="31"/>
      <c r="K8" s="31"/>
      <c r="L8" s="31"/>
      <c r="M8" s="31"/>
      <c r="N8" s="31"/>
      <c r="O8" s="31"/>
      <c r="P8" s="31"/>
      <c r="Q8" s="31"/>
      <c r="R8" s="31"/>
    </row>
    <row r="9" spans="1:19" ht="18.75">
      <c r="A9" s="918" t="s">
        <v>738</v>
      </c>
      <c r="B9" s="1501">
        <v>1507945</v>
      </c>
      <c r="C9" s="1502">
        <f t="shared" si="0"/>
        <v>1822106</v>
      </c>
      <c r="D9" s="1503">
        <v>1651231</v>
      </c>
      <c r="E9" s="1715">
        <v>170875</v>
      </c>
      <c r="F9" s="1474">
        <f t="shared" si="1"/>
        <v>3330051</v>
      </c>
      <c r="G9" s="1504">
        <f t="shared" si="2"/>
        <v>1.2083371741011775</v>
      </c>
      <c r="I9" s="31"/>
      <c r="J9" s="31"/>
      <c r="K9" s="31"/>
      <c r="L9" s="31"/>
      <c r="M9" s="31"/>
      <c r="N9" s="31"/>
      <c r="O9" s="31"/>
      <c r="P9" s="31"/>
      <c r="Q9" s="31"/>
      <c r="R9" s="31"/>
    </row>
    <row r="10" spans="1:19" ht="18.75">
      <c r="A10" s="918" t="s">
        <v>746</v>
      </c>
      <c r="B10" s="1501">
        <v>1511271</v>
      </c>
      <c r="C10" s="1502">
        <f t="shared" si="0"/>
        <v>1837354</v>
      </c>
      <c r="D10" s="1503">
        <v>1665803</v>
      </c>
      <c r="E10" s="1715">
        <v>171551</v>
      </c>
      <c r="F10" s="1474">
        <f t="shared" si="1"/>
        <v>3348625</v>
      </c>
      <c r="G10" s="1504">
        <f t="shared" si="2"/>
        <v>1.215767390494491</v>
      </c>
      <c r="I10" s="31"/>
      <c r="J10" s="31"/>
      <c r="K10" s="31"/>
      <c r="L10" s="31"/>
      <c r="M10" s="31"/>
      <c r="N10" s="31"/>
      <c r="O10" s="31"/>
      <c r="P10" s="31"/>
      <c r="Q10" s="31"/>
      <c r="R10" s="31"/>
    </row>
    <row r="11" spans="1:19" ht="18.75">
      <c r="A11" s="918" t="s">
        <v>760</v>
      </c>
      <c r="B11" s="1501">
        <v>1516017</v>
      </c>
      <c r="C11" s="1502">
        <f t="shared" si="0"/>
        <v>1843989</v>
      </c>
      <c r="D11" s="1503">
        <v>1671780</v>
      </c>
      <c r="E11" s="1715">
        <v>172209</v>
      </c>
      <c r="F11" s="1474">
        <f t="shared" si="1"/>
        <v>3360006</v>
      </c>
      <c r="G11" s="1504">
        <f t="shared" si="2"/>
        <v>1.2163379434399482</v>
      </c>
      <c r="I11" s="31"/>
      <c r="J11" s="31"/>
      <c r="K11" s="31"/>
      <c r="L11" s="31"/>
      <c r="M11" s="31"/>
      <c r="N11" s="31"/>
      <c r="O11" s="31"/>
      <c r="P11" s="31"/>
      <c r="Q11" s="31"/>
      <c r="R11" s="31"/>
    </row>
    <row r="12" spans="1:19" ht="18.75">
      <c r="A12" s="918" t="s">
        <v>769</v>
      </c>
      <c r="B12" s="1501">
        <v>1521859</v>
      </c>
      <c r="C12" s="1502">
        <f t="shared" si="0"/>
        <v>1843786</v>
      </c>
      <c r="D12" s="1503">
        <v>1670515</v>
      </c>
      <c r="E12" s="1715">
        <v>173271</v>
      </c>
      <c r="F12" s="1474">
        <v>3365645</v>
      </c>
      <c r="G12" s="1504">
        <f t="shared" si="2"/>
        <v>1.2115353656284846</v>
      </c>
      <c r="I12" s="31"/>
      <c r="J12" s="31"/>
      <c r="K12" s="31"/>
      <c r="L12" s="31"/>
      <c r="M12" s="31"/>
      <c r="N12" s="31"/>
      <c r="O12" s="31"/>
      <c r="P12" s="31"/>
      <c r="Q12" s="31"/>
      <c r="R12" s="31"/>
    </row>
    <row r="13" spans="1:19" ht="18.75">
      <c r="A13" s="918" t="s">
        <v>779</v>
      </c>
      <c r="B13" s="1501">
        <v>1529646</v>
      </c>
      <c r="C13" s="1502">
        <f t="shared" si="0"/>
        <v>1856437</v>
      </c>
      <c r="D13" s="1503">
        <v>1682678</v>
      </c>
      <c r="E13" s="1715">
        <v>173759</v>
      </c>
      <c r="F13" s="1474">
        <v>3386083</v>
      </c>
      <c r="G13" s="1504">
        <f t="shared" si="2"/>
        <v>1.2136383189313082</v>
      </c>
      <c r="I13" s="31"/>
      <c r="J13" s="31"/>
      <c r="K13" s="31"/>
      <c r="L13" s="31"/>
      <c r="M13" s="31"/>
      <c r="N13" s="31"/>
      <c r="O13" s="31"/>
      <c r="P13" s="31"/>
      <c r="Q13" s="31"/>
      <c r="R13" s="31"/>
    </row>
    <row r="14" spans="1:19" ht="18.75">
      <c r="A14" s="918" t="s">
        <v>783</v>
      </c>
      <c r="B14" s="1501">
        <v>1520902</v>
      </c>
      <c r="C14" s="1502">
        <f t="shared" si="0"/>
        <v>1853985</v>
      </c>
      <c r="D14" s="1503">
        <v>1679001</v>
      </c>
      <c r="E14" s="1715">
        <v>174984</v>
      </c>
      <c r="F14" s="1474">
        <v>3374887</v>
      </c>
      <c r="G14" s="1504">
        <f t="shared" si="2"/>
        <v>1.2190035912899055</v>
      </c>
      <c r="I14" s="31"/>
      <c r="J14" s="31"/>
      <c r="K14" s="31"/>
      <c r="L14" s="31"/>
      <c r="M14" s="31"/>
      <c r="N14" s="31"/>
      <c r="O14" s="31"/>
      <c r="P14" s="31"/>
      <c r="Q14" s="31"/>
      <c r="R14" s="31"/>
    </row>
    <row r="15" spans="1:19" s="1777" customFormat="1" ht="18.75">
      <c r="A15" s="918" t="s">
        <v>970</v>
      </c>
      <c r="B15" s="1501">
        <v>1551732</v>
      </c>
      <c r="C15" s="1502">
        <v>1877660</v>
      </c>
      <c r="D15" s="1503">
        <v>1700666</v>
      </c>
      <c r="E15" s="1715">
        <v>176994</v>
      </c>
      <c r="F15" s="1474">
        <v>3429392</v>
      </c>
      <c r="G15" s="1504">
        <v>1.2100414246790039</v>
      </c>
      <c r="I15" s="31"/>
      <c r="J15" s="31"/>
      <c r="K15" s="31"/>
      <c r="L15" s="31"/>
      <c r="M15" s="31"/>
      <c r="N15" s="31"/>
      <c r="O15" s="31"/>
      <c r="P15" s="31"/>
      <c r="Q15" s="31"/>
      <c r="R15" s="31"/>
    </row>
    <row r="16" spans="1:19" ht="18.75">
      <c r="A16" s="919" t="s">
        <v>1002</v>
      </c>
      <c r="B16" s="1505">
        <v>1548000</v>
      </c>
      <c r="C16" s="1506">
        <f t="shared" si="0"/>
        <v>1887291</v>
      </c>
      <c r="D16" s="1507">
        <v>1709978</v>
      </c>
      <c r="E16" s="1716">
        <v>177313</v>
      </c>
      <c r="F16" s="1663">
        <f t="shared" si="1"/>
        <v>3435291</v>
      </c>
      <c r="G16" s="1508">
        <f t="shared" si="2"/>
        <v>1.2191802325581396</v>
      </c>
      <c r="H16" s="31"/>
      <c r="I16" s="31"/>
      <c r="J16" s="31"/>
      <c r="K16" s="31"/>
      <c r="L16" s="31"/>
      <c r="M16" s="31"/>
      <c r="N16" s="31"/>
      <c r="O16" s="31"/>
      <c r="P16" s="31"/>
      <c r="Q16" s="31"/>
      <c r="R16" s="31"/>
    </row>
    <row r="17" spans="1:28" ht="22.5" customHeight="1">
      <c r="A17" s="2040" t="s">
        <v>1023</v>
      </c>
      <c r="B17" s="2040"/>
      <c r="C17" s="2040"/>
      <c r="D17" s="2040"/>
      <c r="E17" s="2040"/>
      <c r="F17" s="2040"/>
      <c r="G17" s="2040"/>
      <c r="H17" s="31"/>
      <c r="I17" s="31"/>
      <c r="J17" s="31"/>
      <c r="K17" s="31"/>
      <c r="L17" s="31"/>
      <c r="M17" s="31"/>
      <c r="N17" s="31"/>
      <c r="O17" s="31"/>
      <c r="P17" s="31"/>
      <c r="Q17" s="31"/>
      <c r="R17" s="31"/>
    </row>
    <row r="18" spans="1:28" ht="25.5" customHeight="1">
      <c r="A18" s="31"/>
      <c r="B18" s="31"/>
      <c r="C18" s="31"/>
      <c r="D18" s="31"/>
      <c r="E18" s="31"/>
      <c r="F18" s="31"/>
      <c r="G18" s="31"/>
      <c r="H18" s="31"/>
      <c r="I18" s="31"/>
      <c r="J18" s="31"/>
      <c r="K18" s="31"/>
      <c r="L18" s="31"/>
      <c r="M18" s="31"/>
      <c r="N18" s="31"/>
      <c r="O18" s="31"/>
      <c r="P18" s="31"/>
      <c r="Q18" s="31"/>
      <c r="R18" s="31"/>
    </row>
    <row r="19" spans="1:28" ht="25.5" customHeight="1">
      <c r="H19" s="31"/>
      <c r="I19" s="31"/>
      <c r="J19" s="31"/>
      <c r="K19" s="31"/>
      <c r="L19" s="31"/>
      <c r="M19" s="31"/>
      <c r="N19" s="31"/>
      <c r="O19" s="31"/>
      <c r="P19" s="31"/>
      <c r="Q19" s="31"/>
      <c r="R19" s="31"/>
    </row>
    <row r="20" spans="1:28" ht="25.5" customHeight="1">
      <c r="A20" s="31"/>
      <c r="B20" s="31"/>
      <c r="C20" s="31"/>
      <c r="D20" s="31"/>
      <c r="E20" s="31"/>
      <c r="F20" s="31"/>
      <c r="G20" s="31"/>
      <c r="H20" s="31"/>
      <c r="I20" s="31"/>
      <c r="J20" s="31"/>
      <c r="K20" s="31"/>
      <c r="L20" s="31"/>
      <c r="M20" s="31"/>
      <c r="N20" s="31"/>
      <c r="O20" s="31"/>
      <c r="P20" s="31"/>
      <c r="Q20" s="31"/>
      <c r="R20" s="31"/>
    </row>
    <row r="21" spans="1:28" ht="25.5" customHeight="1">
      <c r="A21" s="31"/>
      <c r="B21" s="31"/>
      <c r="C21" s="31"/>
      <c r="D21" s="31"/>
      <c r="E21" s="31"/>
      <c r="F21" s="31"/>
      <c r="G21" s="31"/>
      <c r="H21" s="31"/>
      <c r="I21" s="31"/>
      <c r="J21" s="31"/>
      <c r="K21" s="31"/>
      <c r="L21" s="31"/>
      <c r="M21" s="31"/>
      <c r="N21" s="31"/>
      <c r="O21" s="31"/>
      <c r="P21" s="31"/>
      <c r="Q21" s="31"/>
      <c r="R21" s="31"/>
    </row>
    <row r="22" spans="1:28" ht="25.5" customHeight="1">
      <c r="A22" s="31"/>
      <c r="B22" s="31"/>
      <c r="C22" s="31"/>
      <c r="D22" s="31"/>
      <c r="E22" s="31"/>
      <c r="F22" s="31"/>
      <c r="G22" s="31"/>
      <c r="H22" s="31"/>
      <c r="I22" s="31"/>
      <c r="J22" s="31"/>
      <c r="K22" s="31"/>
      <c r="L22" s="31"/>
      <c r="M22" s="31"/>
      <c r="N22" s="31"/>
      <c r="O22" s="31"/>
      <c r="P22" s="31"/>
      <c r="Q22" s="31"/>
      <c r="R22" s="31"/>
    </row>
    <row r="23" spans="1:28" ht="25.5" customHeight="1">
      <c r="A23" s="31"/>
      <c r="B23" s="31"/>
      <c r="C23" s="31"/>
      <c r="D23" s="31"/>
      <c r="E23" s="31"/>
      <c r="F23" s="31"/>
      <c r="G23" s="31"/>
      <c r="H23" s="31"/>
      <c r="I23" s="31"/>
      <c r="J23" s="31"/>
      <c r="K23" s="31"/>
      <c r="L23" s="31"/>
      <c r="M23" s="31"/>
      <c r="N23" s="31"/>
      <c r="O23" s="31"/>
      <c r="P23" s="31"/>
      <c r="Q23" s="31"/>
      <c r="R23" s="31"/>
    </row>
    <row r="24" spans="1:28" ht="25.5" customHeight="1">
      <c r="A24" s="31"/>
      <c r="B24" s="31"/>
      <c r="C24" s="31"/>
      <c r="D24" s="31"/>
      <c r="E24" s="31"/>
      <c r="F24" s="31"/>
      <c r="G24" s="31"/>
      <c r="H24" s="31"/>
      <c r="I24" s="31"/>
      <c r="J24" s="31"/>
      <c r="K24" s="31"/>
      <c r="L24" s="31"/>
      <c r="M24" s="31"/>
      <c r="N24" s="31"/>
      <c r="O24" s="31"/>
      <c r="P24" s="31"/>
      <c r="Q24" s="31"/>
      <c r="R24" s="31"/>
    </row>
    <row r="25" spans="1:28" ht="25.5" customHeight="1">
      <c r="A25" s="31"/>
      <c r="B25" s="31"/>
      <c r="C25" s="31"/>
      <c r="D25" s="31"/>
      <c r="E25" s="31"/>
      <c r="F25" s="31"/>
      <c r="G25" s="31"/>
      <c r="H25" s="31"/>
      <c r="I25" s="31"/>
      <c r="J25" s="31"/>
      <c r="K25" s="31"/>
      <c r="L25" s="31"/>
      <c r="M25" s="31"/>
      <c r="N25" s="31"/>
      <c r="O25" s="31"/>
      <c r="P25" s="31"/>
      <c r="Q25" s="31"/>
      <c r="R25" s="31"/>
    </row>
    <row r="26" spans="1:28" ht="25.5" customHeight="1">
      <c r="A26" s="31"/>
      <c r="B26" s="31"/>
      <c r="C26" s="31"/>
      <c r="D26" s="31"/>
      <c r="E26" s="31"/>
      <c r="F26" s="31"/>
      <c r="G26" s="31"/>
      <c r="H26" s="31"/>
      <c r="I26" s="31"/>
      <c r="J26" s="31"/>
      <c r="K26" s="31"/>
      <c r="L26" s="31"/>
      <c r="M26" s="31"/>
      <c r="N26" s="31"/>
      <c r="O26" s="31"/>
      <c r="P26" s="31"/>
      <c r="Q26" s="31"/>
      <c r="R26" s="31"/>
    </row>
    <row r="27" spans="1:28" ht="25.5" customHeight="1">
      <c r="A27" s="31"/>
      <c r="B27" s="31"/>
      <c r="C27" s="31"/>
      <c r="D27" s="31"/>
      <c r="E27" s="31"/>
      <c r="F27" s="31"/>
      <c r="G27" s="31"/>
      <c r="H27" s="31"/>
      <c r="I27" s="31"/>
      <c r="J27" s="31"/>
      <c r="K27" s="31"/>
      <c r="L27" s="31"/>
      <c r="M27" s="31"/>
      <c r="N27" s="31"/>
      <c r="O27" s="31"/>
      <c r="P27" s="31"/>
      <c r="Q27" s="31"/>
      <c r="R27" s="31"/>
    </row>
    <row r="28" spans="1:28" ht="25.5" customHeight="1">
      <c r="A28" s="31"/>
      <c r="B28" s="31"/>
      <c r="C28" s="31"/>
      <c r="D28" s="31"/>
      <c r="E28" s="31"/>
      <c r="F28" s="31"/>
      <c r="G28" s="31"/>
      <c r="H28" s="31"/>
      <c r="I28" s="31"/>
      <c r="J28" s="31"/>
      <c r="K28" s="31"/>
      <c r="L28" s="31"/>
      <c r="M28" s="31"/>
      <c r="N28" s="31"/>
      <c r="O28" s="31"/>
      <c r="P28" s="31"/>
      <c r="Q28" s="31"/>
      <c r="R28" s="31"/>
    </row>
    <row r="29" spans="1:28">
      <c r="O29" s="95"/>
      <c r="P29" s="95"/>
      <c r="Q29" s="95"/>
      <c r="R29" s="95"/>
      <c r="S29" s="96"/>
      <c r="T29" s="96"/>
      <c r="U29" s="96"/>
      <c r="V29" s="96"/>
      <c r="W29" s="96"/>
      <c r="X29" s="96"/>
      <c r="Y29" s="96"/>
      <c r="Z29" s="96"/>
      <c r="AA29" s="96"/>
      <c r="AB29" s="96"/>
    </row>
    <row r="30" spans="1:28">
      <c r="O30" s="95"/>
      <c r="P30" s="95"/>
      <c r="Q30" s="95"/>
      <c r="R30" s="95"/>
      <c r="S30" s="96"/>
      <c r="T30" s="96"/>
      <c r="U30" s="96"/>
      <c r="V30" s="96"/>
      <c r="W30" s="96"/>
      <c r="X30" s="96"/>
      <c r="Y30" s="96"/>
      <c r="Z30" s="96"/>
      <c r="AA30" s="96"/>
      <c r="AB30" s="96"/>
    </row>
    <row r="31" spans="1:28">
      <c r="O31" s="95"/>
      <c r="P31" s="95"/>
      <c r="Q31" s="95"/>
      <c r="R31" s="95"/>
      <c r="S31" s="96"/>
      <c r="T31" s="96"/>
      <c r="U31" s="96"/>
      <c r="V31" s="96"/>
      <c r="W31" s="96"/>
      <c r="X31" s="96"/>
      <c r="Y31" s="96"/>
      <c r="Z31" s="96"/>
      <c r="AA31" s="96"/>
      <c r="AB31" s="96"/>
    </row>
    <row r="32" spans="1:28">
      <c r="O32" s="95"/>
      <c r="P32" s="95"/>
      <c r="Q32" s="95"/>
      <c r="R32" s="95"/>
      <c r="S32" s="96"/>
      <c r="T32" s="96"/>
      <c r="U32" s="96"/>
      <c r="V32" s="96"/>
      <c r="W32" s="96"/>
      <c r="X32" s="96"/>
      <c r="Y32" s="96"/>
      <c r="Z32" s="96"/>
      <c r="AA32" s="96"/>
      <c r="AB32" s="96"/>
    </row>
    <row r="33" spans="1:28" ht="51" customHeight="1">
      <c r="O33" s="95"/>
      <c r="P33" s="95"/>
      <c r="Q33" s="95"/>
      <c r="R33" s="95"/>
      <c r="S33" s="96"/>
      <c r="T33" s="96"/>
      <c r="U33" s="96"/>
      <c r="V33" s="96"/>
      <c r="W33" s="96"/>
      <c r="X33" s="96"/>
      <c r="Y33" s="96"/>
      <c r="Z33" s="96"/>
      <c r="AA33" s="96"/>
      <c r="AB33" s="96"/>
    </row>
    <row r="34" spans="1:28" ht="78" customHeight="1">
      <c r="A34" s="2023"/>
      <c r="B34" s="2023"/>
      <c r="C34" s="2023"/>
      <c r="D34" s="2023"/>
      <c r="E34" s="2023"/>
      <c r="F34" s="2023"/>
      <c r="G34" s="2023"/>
      <c r="H34" s="2023"/>
      <c r="I34" s="2023"/>
      <c r="J34" s="2023"/>
      <c r="K34" s="2023"/>
      <c r="L34" s="2023"/>
      <c r="M34" s="2023"/>
      <c r="N34" s="2023"/>
      <c r="O34" s="2023"/>
      <c r="P34" s="2023"/>
      <c r="Q34" s="2023"/>
      <c r="R34" s="2023"/>
      <c r="S34" s="2023"/>
      <c r="T34" s="2023"/>
      <c r="U34" s="2023"/>
      <c r="V34" s="2023"/>
      <c r="W34" s="2023"/>
      <c r="X34" s="2023"/>
      <c r="Y34" s="2023"/>
      <c r="Z34" s="2023"/>
      <c r="AA34" s="96"/>
      <c r="AB34" s="96"/>
    </row>
    <row r="35" spans="1:28">
      <c r="O35" s="96"/>
      <c r="P35" s="96"/>
      <c r="Q35" s="96"/>
      <c r="R35" s="96"/>
      <c r="S35" s="96"/>
    </row>
    <row r="36" spans="1:28">
      <c r="O36" s="96"/>
      <c r="P36" s="96"/>
      <c r="Q36" s="96"/>
      <c r="R36" s="96"/>
      <c r="S36" s="96"/>
    </row>
    <row r="37" spans="1:28">
      <c r="O37" s="96"/>
      <c r="P37" s="96"/>
      <c r="Q37" s="96"/>
      <c r="R37" s="96"/>
      <c r="S37" s="96"/>
    </row>
    <row r="38" spans="1:28">
      <c r="O38" s="96"/>
      <c r="P38" s="96"/>
      <c r="Q38" s="96"/>
      <c r="R38" s="96"/>
      <c r="S38" s="96"/>
    </row>
    <row r="39" spans="1:28">
      <c r="O39" s="96"/>
      <c r="P39" s="96"/>
      <c r="Q39" s="96"/>
      <c r="R39" s="96"/>
      <c r="S39" s="96"/>
    </row>
    <row r="40" spans="1:28">
      <c r="O40" s="96"/>
      <c r="P40" s="96"/>
      <c r="Q40" s="96"/>
      <c r="R40" s="96"/>
      <c r="S40" s="96"/>
      <c r="T40" s="96"/>
      <c r="U40" s="96"/>
      <c r="V40" s="96"/>
      <c r="W40" s="96"/>
      <c r="X40" s="96"/>
      <c r="Y40" s="96"/>
      <c r="Z40" s="96"/>
      <c r="AA40" s="96"/>
      <c r="AB40" s="96"/>
    </row>
    <row r="41" spans="1:28">
      <c r="O41" s="96"/>
      <c r="P41" s="96"/>
      <c r="Q41" s="96"/>
      <c r="R41" s="96"/>
      <c r="S41" s="96"/>
      <c r="T41" s="96"/>
      <c r="U41" s="96"/>
      <c r="V41" s="96"/>
      <c r="W41" s="96"/>
      <c r="X41" s="96"/>
      <c r="Y41" s="96"/>
      <c r="Z41" s="96"/>
      <c r="AA41" s="96"/>
      <c r="AB41" s="96"/>
    </row>
    <row r="42" spans="1:28">
      <c r="O42" s="96"/>
      <c r="P42" s="96"/>
      <c r="Q42" s="96"/>
      <c r="R42" s="96"/>
      <c r="S42" s="96"/>
      <c r="T42" s="96"/>
      <c r="U42" s="96"/>
      <c r="V42" s="96"/>
      <c r="W42" s="96"/>
      <c r="X42" s="96"/>
      <c r="Y42" s="96"/>
      <c r="Z42" s="96"/>
      <c r="AA42" s="96"/>
      <c r="AB42" s="96"/>
    </row>
    <row r="55" spans="20:25">
      <c r="T55" s="96"/>
      <c r="U55" s="96"/>
      <c r="V55" s="96"/>
      <c r="W55" s="96"/>
      <c r="X55" s="96"/>
      <c r="Y55" s="96"/>
    </row>
    <row r="56" spans="20:25">
      <c r="T56" s="96"/>
      <c r="U56" s="96"/>
      <c r="V56" s="96"/>
      <c r="W56" s="96"/>
      <c r="X56" s="96"/>
      <c r="Y56" s="96"/>
    </row>
    <row r="57" spans="20:25">
      <c r="T57" s="96"/>
      <c r="U57" s="96"/>
      <c r="V57" s="96"/>
      <c r="W57" s="96"/>
      <c r="X57" s="96"/>
      <c r="Y57" s="96"/>
    </row>
    <row r="58" spans="20:25">
      <c r="T58" s="96"/>
      <c r="U58" s="96"/>
      <c r="V58" s="96"/>
      <c r="W58" s="96"/>
      <c r="X58" s="96"/>
      <c r="Y58" s="96"/>
    </row>
    <row r="59" spans="20:25">
      <c r="T59" s="96"/>
      <c r="U59" s="96"/>
      <c r="V59" s="96"/>
      <c r="W59" s="96"/>
      <c r="X59" s="96"/>
      <c r="Y59" s="96"/>
    </row>
    <row r="60" spans="20:25">
      <c r="T60" s="96"/>
      <c r="U60" s="96"/>
      <c r="V60" s="96"/>
      <c r="W60" s="96"/>
      <c r="X60" s="96"/>
      <c r="Y60" s="96"/>
    </row>
    <row r="61" spans="20:25">
      <c r="T61" s="96"/>
      <c r="U61" s="96"/>
      <c r="V61" s="96"/>
      <c r="W61" s="96"/>
      <c r="X61" s="96"/>
      <c r="Y61" s="96"/>
    </row>
    <row r="62" spans="20:25">
      <c r="T62" s="96"/>
      <c r="U62" s="96"/>
      <c r="V62" s="96"/>
      <c r="W62" s="96"/>
      <c r="X62" s="96"/>
      <c r="Y62" s="96"/>
    </row>
    <row r="72" spans="20:25">
      <c r="T72" s="96"/>
      <c r="U72" s="96"/>
      <c r="V72" s="96"/>
      <c r="W72" s="96"/>
      <c r="X72" s="96"/>
      <c r="Y72" s="96"/>
    </row>
    <row r="73" spans="20:25">
      <c r="T73" s="96"/>
      <c r="U73" s="96"/>
      <c r="V73" s="96"/>
      <c r="W73" s="96"/>
      <c r="X73" s="96"/>
      <c r="Y73" s="96"/>
    </row>
    <row r="74" spans="20:25">
      <c r="T74" s="96"/>
      <c r="U74" s="96"/>
      <c r="V74" s="96"/>
      <c r="W74" s="96"/>
      <c r="X74" s="96"/>
      <c r="Y74" s="96"/>
    </row>
    <row r="75" spans="20:25">
      <c r="T75" s="96"/>
      <c r="U75" s="96"/>
      <c r="V75" s="96"/>
      <c r="W75" s="96"/>
      <c r="X75" s="96"/>
      <c r="Y75" s="96"/>
    </row>
  </sheetData>
  <mergeCells count="3">
    <mergeCell ref="A1:R1"/>
    <mergeCell ref="A17:G17"/>
    <mergeCell ref="A34:Z34"/>
  </mergeCells>
  <printOptions horizontalCentered="1" verticalCentered="1"/>
  <pageMargins left="0.39370078740157483" right="0.39370078740157483" top="0.23622047244094491" bottom="0.23622047244094491" header="0.31496062992125984" footer="0.31496062992125984"/>
  <pageSetup paperSize="10023" scale="37" orientation="landscape"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2">
    <tabColor theme="9" tint="-0.249977111117893"/>
    <pageSetUpPr fitToPage="1"/>
  </sheetPr>
  <dimension ref="A1:AA95"/>
  <sheetViews>
    <sheetView showGridLines="0" view="pageBreakPreview" zoomScale="55" zoomScaleNormal="100" zoomScaleSheetLayoutView="55" zoomScalePageLayoutView="62" workbookViewId="0">
      <selection activeCell="L3" sqref="L3"/>
    </sheetView>
  </sheetViews>
  <sheetFormatPr baseColWidth="10" defaultColWidth="11.42578125" defaultRowHeight="21"/>
  <cols>
    <col min="1" max="1" width="14.140625" style="77" customWidth="1"/>
    <col min="2" max="2" width="13.7109375" style="77" customWidth="1"/>
    <col min="3" max="3" width="19.5703125" style="77" customWidth="1"/>
    <col min="4" max="4" width="20.42578125" style="77" customWidth="1"/>
    <col min="5" max="5" width="21" style="77" customWidth="1"/>
    <col min="6" max="6" width="19.140625" style="77" bestFit="1" customWidth="1"/>
    <col min="7" max="7" width="20.85546875" style="77" customWidth="1"/>
    <col min="8" max="8" width="21.5703125" style="77" customWidth="1"/>
    <col min="9" max="9" width="22.42578125" style="77" customWidth="1"/>
    <col min="10" max="10" width="24.85546875" style="77" customWidth="1"/>
    <col min="11" max="11" width="14.85546875" style="77" customWidth="1"/>
    <col min="12" max="12" width="16.140625" style="77" customWidth="1"/>
    <col min="13" max="13" width="10.5703125" style="77" customWidth="1"/>
    <col min="14" max="14" width="10.28515625" style="77" customWidth="1"/>
    <col min="15" max="15" width="13.140625" style="77" customWidth="1"/>
    <col min="16" max="17" width="11.140625" style="77" customWidth="1"/>
    <col min="18" max="18" width="19.7109375" style="1056" customWidth="1"/>
    <col min="19" max="19" width="28.140625" style="77" customWidth="1"/>
    <col min="20" max="20" width="22.85546875" style="77" customWidth="1"/>
    <col min="21" max="26" width="11.42578125" style="77"/>
    <col min="27" max="27" width="18.7109375" style="77" bestFit="1" customWidth="1"/>
    <col min="28" max="16384" width="11.42578125" style="77"/>
  </cols>
  <sheetData>
    <row r="1" spans="1:19" ht="109.5" customHeight="1">
      <c r="A1" s="2037"/>
      <c r="B1" s="2037"/>
      <c r="C1" s="2037"/>
      <c r="D1" s="2037"/>
      <c r="E1" s="2037"/>
      <c r="F1" s="2037"/>
      <c r="G1" s="2037"/>
      <c r="H1" s="2037"/>
      <c r="I1" s="2037"/>
      <c r="J1" s="2037"/>
      <c r="K1" s="2037"/>
      <c r="L1" s="2037"/>
      <c r="M1" s="2037"/>
      <c r="N1" s="2037"/>
      <c r="O1" s="2037"/>
      <c r="P1" s="2037"/>
      <c r="Q1" s="1480"/>
    </row>
    <row r="2" spans="1:19" ht="9" customHeight="1">
      <c r="A2" s="905"/>
      <c r="B2" s="905"/>
      <c r="C2" s="905"/>
      <c r="D2" s="905"/>
      <c r="E2" s="905"/>
      <c r="F2" s="905"/>
      <c r="G2" s="905"/>
      <c r="H2" s="905"/>
      <c r="I2" s="905"/>
      <c r="J2" s="905"/>
      <c r="K2" s="905"/>
      <c r="L2" s="905"/>
      <c r="M2" s="905"/>
      <c r="N2" s="905"/>
      <c r="O2" s="905"/>
      <c r="P2" s="905"/>
      <c r="Q2" s="1479"/>
    </row>
    <row r="3" spans="1:19" ht="28.5" customHeight="1">
      <c r="A3" s="2048" t="s">
        <v>45</v>
      </c>
      <c r="B3" s="2044" t="s">
        <v>48</v>
      </c>
      <c r="C3" s="2045"/>
      <c r="D3" s="2045"/>
      <c r="E3" s="2046" t="s">
        <v>764</v>
      </c>
      <c r="F3" s="2044" t="s">
        <v>49</v>
      </c>
      <c r="G3" s="2045"/>
      <c r="H3" s="2045"/>
      <c r="I3" s="2046" t="s">
        <v>676</v>
      </c>
      <c r="J3" s="2042" t="s">
        <v>675</v>
      </c>
      <c r="K3" s="921"/>
      <c r="L3" s="921"/>
      <c r="M3" s="921"/>
      <c r="N3" s="921"/>
      <c r="O3" s="921"/>
      <c r="P3" s="921"/>
      <c r="Q3" s="1479"/>
      <c r="R3" s="1611"/>
      <c r="S3" s="18"/>
    </row>
    <row r="4" spans="1:19" s="50" customFormat="1" ht="41.25" customHeight="1">
      <c r="A4" s="2049"/>
      <c r="B4" s="456" t="s">
        <v>672</v>
      </c>
      <c r="C4" s="456" t="s">
        <v>673</v>
      </c>
      <c r="D4" s="456" t="s">
        <v>674</v>
      </c>
      <c r="E4" s="2047"/>
      <c r="F4" s="314" t="s">
        <v>672</v>
      </c>
      <c r="G4" s="312" t="s">
        <v>673</v>
      </c>
      <c r="H4" s="312" t="s">
        <v>674</v>
      </c>
      <c r="I4" s="2047"/>
      <c r="J4" s="2043"/>
      <c r="K4" s="77"/>
      <c r="L4" s="77"/>
      <c r="M4" s="77"/>
      <c r="N4" s="77"/>
      <c r="O4" s="77"/>
      <c r="P4" s="77"/>
      <c r="Q4" s="77"/>
      <c r="R4" s="1612"/>
    </row>
    <row r="5" spans="1:19" hidden="1">
      <c r="A5" s="789">
        <v>40940</v>
      </c>
      <c r="B5" s="790">
        <v>1190787</v>
      </c>
      <c r="C5" s="260">
        <f t="shared" ref="C5:C20" si="0">D5+E5</f>
        <v>1346002</v>
      </c>
      <c r="D5" s="261">
        <v>1247260</v>
      </c>
      <c r="E5" s="1092">
        <v>98742</v>
      </c>
      <c r="F5" s="930">
        <f t="shared" ref="F5:F13" si="1">B5+C5</f>
        <v>2536789</v>
      </c>
      <c r="G5" s="922">
        <f t="shared" ref="G5:G23" si="2">B5/F5</f>
        <v>0.46940719153228749</v>
      </c>
      <c r="H5" s="94"/>
      <c r="I5" s="1091"/>
      <c r="J5" s="925"/>
    </row>
    <row r="6" spans="1:19" hidden="1">
      <c r="A6" s="789">
        <v>40969</v>
      </c>
      <c r="B6" s="790">
        <v>1205800</v>
      </c>
      <c r="C6" s="260">
        <f t="shared" si="0"/>
        <v>1368424</v>
      </c>
      <c r="D6" s="261">
        <v>1266851</v>
      </c>
      <c r="E6" s="1092">
        <v>101573</v>
      </c>
      <c r="F6" s="930">
        <f t="shared" si="1"/>
        <v>2574224</v>
      </c>
      <c r="G6" s="923">
        <f t="shared" si="2"/>
        <v>0.46841300523963725</v>
      </c>
      <c r="H6" s="94"/>
      <c r="I6" s="1091"/>
      <c r="J6" s="925"/>
    </row>
    <row r="7" spans="1:19" hidden="1">
      <c r="A7" s="789">
        <v>41000</v>
      </c>
      <c r="B7" s="790">
        <v>1211245</v>
      </c>
      <c r="C7" s="260">
        <f t="shared" si="0"/>
        <v>1377586</v>
      </c>
      <c r="D7" s="261">
        <v>1274320</v>
      </c>
      <c r="E7" s="1092">
        <v>103266</v>
      </c>
      <c r="F7" s="930">
        <f t="shared" si="1"/>
        <v>2588831</v>
      </c>
      <c r="G7" s="923">
        <f t="shared" si="2"/>
        <v>0.46787333742527032</v>
      </c>
      <c r="H7" s="94"/>
      <c r="I7" s="1091"/>
      <c r="J7" s="925"/>
    </row>
    <row r="8" spans="1:19" hidden="1">
      <c r="A8" s="789">
        <v>41030</v>
      </c>
      <c r="B8" s="790">
        <v>1214917</v>
      </c>
      <c r="C8" s="260">
        <f t="shared" si="0"/>
        <v>1389402</v>
      </c>
      <c r="D8" s="261">
        <v>1284028</v>
      </c>
      <c r="E8" s="1092">
        <v>105374</v>
      </c>
      <c r="F8" s="930">
        <f t="shared" si="1"/>
        <v>2604319</v>
      </c>
      <c r="G8" s="923">
        <f t="shared" si="2"/>
        <v>0.4665008395668887</v>
      </c>
      <c r="H8" s="94"/>
      <c r="I8" s="1091"/>
      <c r="J8" s="925"/>
    </row>
    <row r="9" spans="1:19" hidden="1">
      <c r="A9" s="789">
        <v>41061</v>
      </c>
      <c r="B9" s="790">
        <v>1223012</v>
      </c>
      <c r="C9" s="260">
        <f t="shared" si="0"/>
        <v>1403503</v>
      </c>
      <c r="D9" s="261">
        <v>1296177</v>
      </c>
      <c r="E9" s="1092">
        <v>107326</v>
      </c>
      <c r="F9" s="930">
        <f t="shared" si="1"/>
        <v>2626515</v>
      </c>
      <c r="G9" s="923">
        <f t="shared" si="2"/>
        <v>0.46564059219155418</v>
      </c>
      <c r="H9" s="94"/>
      <c r="I9" s="1091"/>
      <c r="J9" s="925"/>
    </row>
    <row r="10" spans="1:19" hidden="1">
      <c r="A10" s="789">
        <v>41122</v>
      </c>
      <c r="B10" s="790">
        <v>1221877</v>
      </c>
      <c r="C10" s="260">
        <f t="shared" si="0"/>
        <v>1413832</v>
      </c>
      <c r="D10" s="261">
        <v>1305287</v>
      </c>
      <c r="E10" s="1092">
        <v>108545</v>
      </c>
      <c r="F10" s="930">
        <f t="shared" si="1"/>
        <v>2635709</v>
      </c>
      <c r="G10" s="923">
        <f t="shared" si="2"/>
        <v>0.46358569933175475</v>
      </c>
      <c r="H10" s="94"/>
      <c r="I10" s="1091"/>
      <c r="J10" s="925"/>
    </row>
    <row r="11" spans="1:19" hidden="1">
      <c r="A11" s="789">
        <v>41153</v>
      </c>
      <c r="B11" s="790">
        <f>+'[2]IV.1.1.1 Afil. SFS RC Anual '!B9</f>
        <v>1242830</v>
      </c>
      <c r="C11" s="260">
        <f t="shared" si="0"/>
        <v>1432322</v>
      </c>
      <c r="D11" s="261">
        <v>1320947</v>
      </c>
      <c r="E11" s="1092">
        <v>111375</v>
      </c>
      <c r="F11" s="930">
        <f t="shared" si="1"/>
        <v>2675152</v>
      </c>
      <c r="G11" s="923">
        <f t="shared" si="2"/>
        <v>0.46458294706244729</v>
      </c>
      <c r="H11" s="94"/>
      <c r="I11" s="1091"/>
      <c r="J11" s="925"/>
    </row>
    <row r="12" spans="1:19" hidden="1">
      <c r="A12" s="789">
        <v>41183</v>
      </c>
      <c r="B12" s="357">
        <v>1229165</v>
      </c>
      <c r="C12" s="260">
        <f t="shared" si="0"/>
        <v>1430194</v>
      </c>
      <c r="D12" s="261">
        <v>1319116</v>
      </c>
      <c r="E12" s="1092">
        <v>111078</v>
      </c>
      <c r="F12" s="930">
        <f t="shared" si="1"/>
        <v>2659359</v>
      </c>
      <c r="G12" s="923">
        <f t="shared" si="2"/>
        <v>0.46220348587761184</v>
      </c>
      <c r="H12" s="94"/>
      <c r="I12" s="1091"/>
      <c r="J12" s="925"/>
    </row>
    <row r="13" spans="1:19" s="134" customFormat="1" hidden="1">
      <c r="A13" s="789">
        <v>41214</v>
      </c>
      <c r="B13" s="357">
        <v>1237619</v>
      </c>
      <c r="C13" s="260">
        <f t="shared" si="0"/>
        <v>1437672</v>
      </c>
      <c r="D13" s="261">
        <v>1325484</v>
      </c>
      <c r="E13" s="1092">
        <v>112188</v>
      </c>
      <c r="F13" s="930">
        <f t="shared" si="1"/>
        <v>2675291</v>
      </c>
      <c r="G13" s="923">
        <f t="shared" si="2"/>
        <v>0.46261098325378436</v>
      </c>
      <c r="H13" s="94"/>
      <c r="I13" s="1091"/>
      <c r="J13" s="925"/>
      <c r="K13" s="77"/>
      <c r="L13" s="77"/>
      <c r="M13" s="77"/>
      <c r="N13" s="77"/>
      <c r="O13" s="77"/>
      <c r="P13" s="77"/>
      <c r="Q13" s="77"/>
      <c r="R13" s="1613"/>
    </row>
    <row r="14" spans="1:19" hidden="1">
      <c r="A14" s="789">
        <v>41244</v>
      </c>
      <c r="B14" s="357">
        <v>1242830</v>
      </c>
      <c r="C14" s="260">
        <f t="shared" si="0"/>
        <v>1445581</v>
      </c>
      <c r="D14" s="261">
        <v>1332478</v>
      </c>
      <c r="E14" s="1092">
        <v>113103</v>
      </c>
      <c r="F14" s="930">
        <f>B14+C14</f>
        <v>2688411</v>
      </c>
      <c r="G14" s="923">
        <f t="shared" si="2"/>
        <v>0.46229166596922866</v>
      </c>
      <c r="H14" s="94"/>
      <c r="I14" s="1091"/>
      <c r="J14" s="925"/>
    </row>
    <row r="15" spans="1:19" hidden="1">
      <c r="A15" s="789">
        <v>41275</v>
      </c>
      <c r="B15" s="357">
        <v>1240536</v>
      </c>
      <c r="C15" s="260">
        <f t="shared" si="0"/>
        <v>1450145</v>
      </c>
      <c r="D15" s="261">
        <v>1336222</v>
      </c>
      <c r="E15" s="1092">
        <v>113923</v>
      </c>
      <c r="F15" s="930">
        <f>B15+C15</f>
        <v>2690681</v>
      </c>
      <c r="G15" s="923">
        <f t="shared" si="2"/>
        <v>0.46104908013993484</v>
      </c>
      <c r="H15" s="94"/>
      <c r="I15" s="1091"/>
      <c r="J15" s="925"/>
    </row>
    <row r="16" spans="1:19" hidden="1">
      <c r="A16" s="789">
        <v>41306</v>
      </c>
      <c r="B16" s="357">
        <v>1249039</v>
      </c>
      <c r="C16" s="260">
        <f t="shared" si="0"/>
        <v>1459376</v>
      </c>
      <c r="D16" s="261">
        <v>1343926</v>
      </c>
      <c r="E16" s="1092">
        <v>115450</v>
      </c>
      <c r="F16" s="930">
        <f t="shared" ref="F16:F26" si="3">+B16+D16+E16</f>
        <v>2708415</v>
      </c>
      <c r="G16" s="923">
        <f t="shared" si="2"/>
        <v>0.46116972472830048</v>
      </c>
      <c r="H16" s="94"/>
      <c r="I16" s="1091"/>
      <c r="J16" s="925"/>
    </row>
    <row r="17" spans="1:21" hidden="1">
      <c r="A17" s="789">
        <v>41334</v>
      </c>
      <c r="B17" s="357">
        <v>1260455</v>
      </c>
      <c r="C17" s="260">
        <f t="shared" si="0"/>
        <v>1474743</v>
      </c>
      <c r="D17" s="261">
        <v>1356641</v>
      </c>
      <c r="E17" s="1092">
        <v>118102</v>
      </c>
      <c r="F17" s="930">
        <f t="shared" si="3"/>
        <v>2735198</v>
      </c>
      <c r="G17" s="923">
        <f t="shared" si="2"/>
        <v>0.4608276987625759</v>
      </c>
      <c r="H17" s="94"/>
      <c r="I17" s="1091"/>
      <c r="J17" s="925"/>
    </row>
    <row r="18" spans="1:21" ht="18.75" hidden="1" customHeight="1">
      <c r="A18" s="789">
        <v>41365</v>
      </c>
      <c r="B18" s="357">
        <v>1264822</v>
      </c>
      <c r="C18" s="260">
        <f t="shared" si="0"/>
        <v>1483253</v>
      </c>
      <c r="D18" s="261">
        <v>1363526</v>
      </c>
      <c r="E18" s="1092">
        <v>119727</v>
      </c>
      <c r="F18" s="930">
        <f t="shared" si="3"/>
        <v>2748075</v>
      </c>
      <c r="G18" s="923">
        <f t="shared" si="2"/>
        <v>0.46025745294433373</v>
      </c>
      <c r="H18" s="94"/>
      <c r="I18" s="1091"/>
      <c r="J18" s="925"/>
    </row>
    <row r="19" spans="1:21" hidden="1">
      <c r="A19" s="789">
        <v>41395</v>
      </c>
      <c r="B19" s="357">
        <v>1277798</v>
      </c>
      <c r="C19" s="260">
        <f t="shared" si="0"/>
        <v>1502509</v>
      </c>
      <c r="D19" s="261">
        <v>1380238</v>
      </c>
      <c r="E19" s="1092">
        <v>122271</v>
      </c>
      <c r="F19" s="930">
        <f t="shared" si="3"/>
        <v>2780307</v>
      </c>
      <c r="G19" s="923">
        <f t="shared" si="2"/>
        <v>0.45958881519199141</v>
      </c>
      <c r="H19" s="94"/>
      <c r="I19" s="1091"/>
      <c r="J19" s="925"/>
    </row>
    <row r="20" spans="1:21" hidden="1">
      <c r="A20" s="789">
        <v>41426</v>
      </c>
      <c r="B20" s="357">
        <v>1287291</v>
      </c>
      <c r="C20" s="260">
        <f t="shared" si="0"/>
        <v>1520489</v>
      </c>
      <c r="D20" s="261">
        <v>1396021</v>
      </c>
      <c r="E20" s="1092">
        <v>124468</v>
      </c>
      <c r="F20" s="930">
        <f t="shared" si="3"/>
        <v>2807780</v>
      </c>
      <c r="G20" s="923">
        <f t="shared" si="2"/>
        <v>0.45847288605232606</v>
      </c>
      <c r="H20" s="94"/>
      <c r="I20" s="1091"/>
      <c r="J20" s="925"/>
    </row>
    <row r="21" spans="1:21" hidden="1">
      <c r="A21" s="789">
        <v>41456</v>
      </c>
      <c r="B21" s="357">
        <v>1291631</v>
      </c>
      <c r="C21" s="260">
        <f t="shared" ref="C21:C26" si="4">D21+E21</f>
        <v>1520712</v>
      </c>
      <c r="D21" s="261">
        <v>1394607</v>
      </c>
      <c r="E21" s="1092">
        <v>126105</v>
      </c>
      <c r="F21" s="930">
        <f t="shared" si="3"/>
        <v>2812343</v>
      </c>
      <c r="G21" s="923">
        <f t="shared" si="2"/>
        <v>0.45927221537344487</v>
      </c>
      <c r="H21" s="94"/>
      <c r="I21" s="1091"/>
      <c r="J21" s="925"/>
    </row>
    <row r="22" spans="1:21" hidden="1">
      <c r="A22" s="789">
        <v>41487</v>
      </c>
      <c r="B22" s="357">
        <v>1300657</v>
      </c>
      <c r="C22" s="260">
        <f t="shared" si="4"/>
        <v>1541386</v>
      </c>
      <c r="D22" s="261">
        <v>1413807</v>
      </c>
      <c r="E22" s="1092">
        <v>127579</v>
      </c>
      <c r="F22" s="930">
        <f t="shared" si="3"/>
        <v>2842043</v>
      </c>
      <c r="G22" s="923">
        <f t="shared" si="2"/>
        <v>0.45764859996840301</v>
      </c>
      <c r="H22" s="94"/>
      <c r="I22" s="1091"/>
      <c r="J22" s="925"/>
    </row>
    <row r="23" spans="1:21" hidden="1">
      <c r="A23" s="789">
        <v>41518</v>
      </c>
      <c r="B23" s="357">
        <v>1303324</v>
      </c>
      <c r="C23" s="260">
        <f t="shared" si="4"/>
        <v>1548470</v>
      </c>
      <c r="D23" s="261">
        <v>1419509</v>
      </c>
      <c r="E23" s="1092">
        <v>128961</v>
      </c>
      <c r="F23" s="930">
        <f t="shared" si="3"/>
        <v>2851794</v>
      </c>
      <c r="G23" s="923">
        <f t="shared" si="2"/>
        <v>0.45701898524227208</v>
      </c>
      <c r="H23" s="94"/>
      <c r="I23" s="1091"/>
      <c r="J23" s="925"/>
    </row>
    <row r="24" spans="1:21" hidden="1">
      <c r="A24" s="789">
        <v>41548</v>
      </c>
      <c r="B24" s="357">
        <v>1299098</v>
      </c>
      <c r="C24" s="260">
        <f t="shared" si="4"/>
        <v>1551844</v>
      </c>
      <c r="D24" s="261">
        <v>1421755</v>
      </c>
      <c r="E24" s="1092">
        <v>130089</v>
      </c>
      <c r="F24" s="930">
        <f t="shared" si="3"/>
        <v>2850942</v>
      </c>
      <c r="G24" s="924">
        <f>C24/B24</f>
        <v>1.1945549912323781</v>
      </c>
      <c r="H24" s="94"/>
      <c r="I24" s="1091"/>
      <c r="J24" s="925"/>
    </row>
    <row r="25" spans="1:21" hidden="1">
      <c r="A25" s="789">
        <v>41579</v>
      </c>
      <c r="B25" s="357">
        <v>1312472</v>
      </c>
      <c r="C25" s="260">
        <f t="shared" si="4"/>
        <v>1573940</v>
      </c>
      <c r="D25" s="261">
        <v>1442084</v>
      </c>
      <c r="E25" s="1092">
        <v>131856</v>
      </c>
      <c r="F25" s="930">
        <f t="shared" si="3"/>
        <v>2886412</v>
      </c>
      <c r="G25" s="924">
        <f>C25/B25</f>
        <v>1.199217964268952</v>
      </c>
      <c r="H25" s="94"/>
      <c r="I25" s="1091"/>
      <c r="J25" s="925"/>
    </row>
    <row r="26" spans="1:21" hidden="1">
      <c r="A26" s="789">
        <v>41609</v>
      </c>
      <c r="B26" s="357">
        <v>1297821</v>
      </c>
      <c r="C26" s="260">
        <f t="shared" si="4"/>
        <v>1561485</v>
      </c>
      <c r="D26" s="261">
        <v>1429474</v>
      </c>
      <c r="E26" s="1092">
        <v>132011</v>
      </c>
      <c r="F26" s="930">
        <f t="shared" si="3"/>
        <v>2859306</v>
      </c>
      <c r="G26" s="924">
        <f>C26/B26</f>
        <v>1.203158987256332</v>
      </c>
      <c r="H26" s="94"/>
      <c r="I26" s="1091"/>
      <c r="J26" s="925"/>
    </row>
    <row r="27" spans="1:21">
      <c r="A27" s="926" t="s">
        <v>508</v>
      </c>
      <c r="B27" s="1236">
        <v>531330</v>
      </c>
      <c r="C27" s="916">
        <v>259903</v>
      </c>
      <c r="D27" s="916">
        <v>1282</v>
      </c>
      <c r="E27" s="1237">
        <f>B27+C27+D27</f>
        <v>792515</v>
      </c>
      <c r="F27" s="1236">
        <v>388581</v>
      </c>
      <c r="G27" s="916">
        <v>293112</v>
      </c>
      <c r="H27" s="916">
        <v>2973</v>
      </c>
      <c r="I27" s="1237">
        <f>F27+G27+H27</f>
        <v>684666</v>
      </c>
      <c r="J27" s="1238">
        <f>E27+I27</f>
        <v>1477181</v>
      </c>
      <c r="R27" s="1614"/>
      <c r="S27" s="119"/>
      <c r="U27" s="277"/>
    </row>
    <row r="28" spans="1:21">
      <c r="A28" s="918" t="s">
        <v>483</v>
      </c>
      <c r="B28" s="790">
        <v>554588</v>
      </c>
      <c r="C28" s="261">
        <v>330370</v>
      </c>
      <c r="D28" s="261">
        <v>5444</v>
      </c>
      <c r="E28" s="1092">
        <f t="shared" ref="E28:E34" si="5">B28+C28+D28</f>
        <v>890402</v>
      </c>
      <c r="F28" s="790">
        <v>411558</v>
      </c>
      <c r="G28" s="261">
        <v>376958</v>
      </c>
      <c r="H28" s="261">
        <v>13341</v>
      </c>
      <c r="I28" s="1092">
        <f t="shared" ref="I28:I35" si="6">F28+G28+H28</f>
        <v>801857</v>
      </c>
      <c r="J28" s="1239">
        <f t="shared" ref="J28:J34" si="7">E28+I28</f>
        <v>1692259</v>
      </c>
      <c r="R28" s="1614"/>
      <c r="S28" s="119"/>
      <c r="U28" s="277"/>
    </row>
    <row r="29" spans="1:21">
      <c r="A29" s="927" t="s">
        <v>420</v>
      </c>
      <c r="B29" s="790">
        <v>621549</v>
      </c>
      <c r="C29" s="261">
        <v>444129</v>
      </c>
      <c r="D29" s="261">
        <v>13199</v>
      </c>
      <c r="E29" s="1092">
        <f t="shared" si="5"/>
        <v>1078877</v>
      </c>
      <c r="F29" s="790">
        <v>458053</v>
      </c>
      <c r="G29" s="261">
        <v>518280</v>
      </c>
      <c r="H29" s="261">
        <v>33089</v>
      </c>
      <c r="I29" s="1092">
        <f t="shared" si="6"/>
        <v>1009422</v>
      </c>
      <c r="J29" s="1239">
        <f t="shared" si="7"/>
        <v>2088299</v>
      </c>
      <c r="R29" s="1614"/>
      <c r="S29" s="119"/>
      <c r="U29" s="815"/>
    </row>
    <row r="30" spans="1:21">
      <c r="A30" s="918" t="s">
        <v>421</v>
      </c>
      <c r="B30" s="790">
        <v>666490</v>
      </c>
      <c r="C30" s="261">
        <v>523408</v>
      </c>
      <c r="D30" s="261">
        <v>20284</v>
      </c>
      <c r="E30" s="1092">
        <f t="shared" si="5"/>
        <v>1210182</v>
      </c>
      <c r="F30" s="790">
        <v>486371</v>
      </c>
      <c r="G30" s="261">
        <v>617395</v>
      </c>
      <c r="H30" s="261">
        <v>50135</v>
      </c>
      <c r="I30" s="1092">
        <f t="shared" si="6"/>
        <v>1153901</v>
      </c>
      <c r="J30" s="1239">
        <f t="shared" si="7"/>
        <v>2364083</v>
      </c>
      <c r="R30" s="1614"/>
      <c r="S30" s="119"/>
      <c r="U30" s="815"/>
    </row>
    <row r="31" spans="1:21">
      <c r="A31" s="927" t="s">
        <v>422</v>
      </c>
      <c r="B31" s="790">
        <v>688507</v>
      </c>
      <c r="C31" s="261">
        <v>563079</v>
      </c>
      <c r="D31" s="261">
        <v>27872</v>
      </c>
      <c r="E31" s="1092">
        <f t="shared" si="5"/>
        <v>1279458</v>
      </c>
      <c r="F31" s="790">
        <v>499838</v>
      </c>
      <c r="G31" s="261">
        <v>670940</v>
      </c>
      <c r="H31" s="261">
        <v>67187</v>
      </c>
      <c r="I31" s="1092">
        <f t="shared" si="6"/>
        <v>1237965</v>
      </c>
      <c r="J31" s="1239">
        <f t="shared" si="7"/>
        <v>2517423</v>
      </c>
      <c r="R31" s="1614"/>
      <c r="S31" s="119"/>
      <c r="U31" s="815"/>
    </row>
    <row r="32" spans="1:21">
      <c r="A32" s="918" t="s">
        <v>484</v>
      </c>
      <c r="B32" s="790">
        <v>719477</v>
      </c>
      <c r="C32" s="261">
        <v>607781</v>
      </c>
      <c r="D32" s="261">
        <v>33530</v>
      </c>
      <c r="E32" s="1092">
        <f t="shared" si="5"/>
        <v>1360788</v>
      </c>
      <c r="F32" s="790">
        <v>523353</v>
      </c>
      <c r="G32" s="261">
        <v>724697</v>
      </c>
      <c r="H32" s="261">
        <v>79573</v>
      </c>
      <c r="I32" s="1092">
        <f t="shared" si="6"/>
        <v>1327623</v>
      </c>
      <c r="J32" s="1239">
        <f t="shared" si="7"/>
        <v>2688411</v>
      </c>
      <c r="R32" s="1614"/>
      <c r="S32" s="119"/>
      <c r="U32" s="815"/>
    </row>
    <row r="33" spans="1:21">
      <c r="A33" s="927" t="s">
        <v>541</v>
      </c>
      <c r="B33" s="790">
        <v>761550</v>
      </c>
      <c r="C33" s="261">
        <v>660882</v>
      </c>
      <c r="D33" s="261">
        <v>39966</v>
      </c>
      <c r="E33" s="1092">
        <f t="shared" si="5"/>
        <v>1462398</v>
      </c>
      <c r="F33" s="790">
        <v>557229</v>
      </c>
      <c r="G33" s="261">
        <v>788545</v>
      </c>
      <c r="H33" s="261">
        <v>92804</v>
      </c>
      <c r="I33" s="1092">
        <f t="shared" si="6"/>
        <v>1438578</v>
      </c>
      <c r="J33" s="1239">
        <f t="shared" si="7"/>
        <v>2900976</v>
      </c>
      <c r="R33" s="1614"/>
      <c r="S33" s="119"/>
      <c r="U33" s="815"/>
    </row>
    <row r="34" spans="1:21">
      <c r="A34" s="918" t="s">
        <v>574</v>
      </c>
      <c r="B34" s="790">
        <v>816912</v>
      </c>
      <c r="C34" s="261">
        <v>715603</v>
      </c>
      <c r="D34" s="261">
        <v>45810</v>
      </c>
      <c r="E34" s="1092">
        <f t="shared" si="5"/>
        <v>1578325</v>
      </c>
      <c r="F34" s="790">
        <v>606074</v>
      </c>
      <c r="G34" s="261">
        <v>852938</v>
      </c>
      <c r="H34" s="261">
        <v>104262</v>
      </c>
      <c r="I34" s="1092">
        <f t="shared" si="6"/>
        <v>1563274</v>
      </c>
      <c r="J34" s="1239">
        <f t="shared" si="7"/>
        <v>3141599</v>
      </c>
      <c r="R34" s="1614"/>
      <c r="S34" s="119"/>
      <c r="U34" s="815"/>
    </row>
    <row r="35" spans="1:21">
      <c r="A35" s="928" t="s">
        <v>1002</v>
      </c>
      <c r="B35" s="1564">
        <v>868824</v>
      </c>
      <c r="C35" s="1565">
        <v>758417</v>
      </c>
      <c r="D35" s="1565">
        <v>54981</v>
      </c>
      <c r="E35" s="1566">
        <f>B35+C35+D35</f>
        <v>1682222</v>
      </c>
      <c r="F35" s="1564">
        <v>648011</v>
      </c>
      <c r="G35" s="1565">
        <v>901526</v>
      </c>
      <c r="H35" s="1565">
        <v>120940</v>
      </c>
      <c r="I35" s="1566">
        <f t="shared" si="6"/>
        <v>1670477</v>
      </c>
      <c r="J35" s="1567">
        <f>E35+I35</f>
        <v>3352699</v>
      </c>
      <c r="L35" s="500"/>
      <c r="R35" s="1614"/>
      <c r="S35" s="119"/>
      <c r="U35" s="815"/>
    </row>
    <row r="36" spans="1:21" ht="26.25" customHeight="1">
      <c r="A36" s="2041" t="s">
        <v>742</v>
      </c>
      <c r="B36" s="2041"/>
      <c r="C36" s="2041"/>
      <c r="D36" s="2041"/>
      <c r="E36" s="2041"/>
      <c r="F36" s="2041"/>
      <c r="G36" s="2041"/>
      <c r="H36" s="31"/>
      <c r="J36" s="31"/>
      <c r="K36" s="31"/>
      <c r="L36" s="31"/>
      <c r="M36" s="31"/>
      <c r="N36" s="31"/>
      <c r="O36" s="31"/>
      <c r="P36" s="31"/>
      <c r="Q36" s="31"/>
      <c r="R36" s="1963"/>
      <c r="S36" s="50"/>
    </row>
    <row r="37" spans="1:21" ht="25.5" customHeight="1">
      <c r="A37" s="31"/>
      <c r="B37" s="31"/>
      <c r="C37" s="31"/>
      <c r="D37" s="31"/>
      <c r="E37" s="31"/>
      <c r="F37" s="31"/>
      <c r="G37" s="31"/>
      <c r="H37" s="31"/>
      <c r="J37" s="31"/>
      <c r="K37" s="31"/>
      <c r="L37" s="31"/>
      <c r="M37" s="31"/>
      <c r="N37" s="31"/>
      <c r="O37" s="31"/>
      <c r="P37" s="31"/>
      <c r="Q37" s="31"/>
      <c r="R37" s="1615"/>
      <c r="S37" s="50"/>
    </row>
    <row r="38" spans="1:21" ht="25.5" customHeight="1">
      <c r="A38" s="31"/>
      <c r="B38" s="31"/>
      <c r="C38" s="31"/>
      <c r="D38" s="31"/>
      <c r="E38" s="31"/>
      <c r="F38" s="31"/>
      <c r="G38" s="31"/>
      <c r="H38" s="31"/>
      <c r="J38" s="31"/>
      <c r="K38" s="31"/>
      <c r="L38" s="31"/>
      <c r="M38" s="31"/>
      <c r="N38" s="31"/>
      <c r="O38" s="31"/>
      <c r="P38" s="31"/>
      <c r="Q38" s="31"/>
      <c r="R38" s="1615"/>
      <c r="S38" s="50"/>
    </row>
    <row r="39" spans="1:21" ht="25.5" customHeight="1">
      <c r="H39" s="31"/>
      <c r="J39" s="31"/>
      <c r="K39" s="31"/>
      <c r="L39" s="31"/>
      <c r="M39" s="31"/>
      <c r="N39" s="31"/>
      <c r="O39" s="31"/>
      <c r="P39" s="31"/>
      <c r="Q39" s="31"/>
      <c r="R39" s="1616"/>
    </row>
    <row r="40" spans="1:21" ht="25.5" customHeight="1">
      <c r="A40" s="31"/>
      <c r="B40" s="31"/>
      <c r="C40" s="31"/>
      <c r="D40" s="31"/>
      <c r="E40" s="31"/>
      <c r="F40" s="31"/>
      <c r="G40" s="31"/>
      <c r="H40" s="31"/>
      <c r="J40" s="31"/>
      <c r="K40" s="31"/>
      <c r="L40" s="31"/>
      <c r="M40" s="31"/>
      <c r="N40" s="31"/>
      <c r="O40" s="31"/>
      <c r="P40" s="31"/>
      <c r="Q40" s="31"/>
      <c r="R40" s="1618"/>
      <c r="S40" s="1619"/>
    </row>
    <row r="41" spans="1:21" ht="25.5" customHeight="1">
      <c r="A41" s="31"/>
      <c r="B41" s="31"/>
      <c r="C41" s="31"/>
      <c r="D41" s="31"/>
      <c r="E41" s="31"/>
      <c r="F41" s="31"/>
      <c r="G41" s="31"/>
      <c r="H41" s="31"/>
      <c r="J41" s="31"/>
      <c r="K41" s="31"/>
      <c r="L41" s="31"/>
      <c r="M41" s="31"/>
      <c r="N41" s="31"/>
      <c r="O41" s="31"/>
      <c r="P41" s="31"/>
      <c r="Q41" s="31"/>
      <c r="R41" s="1618"/>
      <c r="S41" s="1619"/>
    </row>
    <row r="42" spans="1:21" ht="25.5" customHeight="1">
      <c r="A42" s="31"/>
      <c r="B42" s="31"/>
      <c r="C42" s="31"/>
      <c r="D42" s="31"/>
      <c r="E42" s="31"/>
      <c r="F42" s="31"/>
      <c r="G42" s="31"/>
      <c r="H42" s="31"/>
      <c r="I42" s="31"/>
      <c r="J42" s="31"/>
      <c r="K42" s="31"/>
      <c r="L42" s="31"/>
      <c r="M42" s="31"/>
      <c r="N42" s="31"/>
      <c r="O42" s="31"/>
      <c r="P42" s="31"/>
      <c r="Q42" s="31"/>
      <c r="R42" s="1617"/>
      <c r="S42" s="1499"/>
      <c r="T42" s="1500"/>
    </row>
    <row r="43" spans="1:21" ht="25.5" customHeight="1">
      <c r="A43" s="31"/>
      <c r="B43" s="31"/>
      <c r="C43" s="31"/>
      <c r="D43" s="31"/>
      <c r="E43" s="31"/>
      <c r="F43" s="31"/>
      <c r="G43" s="31"/>
      <c r="H43" s="31"/>
      <c r="I43" s="31"/>
      <c r="J43" s="31"/>
      <c r="K43" s="31"/>
      <c r="L43" s="31"/>
      <c r="M43" s="31"/>
      <c r="N43" s="31"/>
      <c r="O43" s="31"/>
      <c r="P43" s="31"/>
      <c r="Q43" s="31"/>
      <c r="R43" s="1617"/>
      <c r="S43" s="1499"/>
      <c r="T43" s="1500"/>
    </row>
    <row r="44" spans="1:21" ht="25.5" customHeight="1">
      <c r="A44" s="31"/>
      <c r="B44" s="31"/>
      <c r="C44" s="31"/>
      <c r="D44" s="31"/>
      <c r="E44" s="31"/>
      <c r="F44" s="31"/>
      <c r="G44" s="31"/>
      <c r="H44" s="31"/>
      <c r="I44" s="31"/>
      <c r="J44" s="31"/>
      <c r="K44" s="31"/>
      <c r="L44" s="31"/>
      <c r="M44" s="31"/>
      <c r="N44" s="31"/>
      <c r="O44" s="31"/>
      <c r="P44" s="31"/>
      <c r="Q44" s="31"/>
      <c r="S44" s="277"/>
    </row>
    <row r="45" spans="1:21" ht="25.5" customHeight="1">
      <c r="A45" s="31"/>
      <c r="B45" s="31"/>
      <c r="C45" s="31"/>
      <c r="D45" s="31"/>
      <c r="E45" s="31"/>
      <c r="F45" s="31"/>
      <c r="G45" s="31"/>
      <c r="H45" s="31"/>
      <c r="I45" s="31"/>
      <c r="J45" s="31"/>
      <c r="K45" s="31"/>
      <c r="L45" s="31"/>
      <c r="M45" s="31"/>
      <c r="N45" s="31"/>
      <c r="O45" s="31"/>
      <c r="P45" s="31"/>
      <c r="Q45" s="31"/>
      <c r="R45" s="1620"/>
      <c r="S45" s="277"/>
    </row>
    <row r="46" spans="1:21" ht="25.5" customHeight="1">
      <c r="A46" s="31"/>
      <c r="B46" s="31"/>
      <c r="C46" s="31"/>
      <c r="D46" s="31"/>
      <c r="E46" s="31"/>
      <c r="F46" s="31"/>
      <c r="G46" s="31"/>
      <c r="H46" s="31"/>
      <c r="I46" s="31"/>
      <c r="J46" s="31"/>
      <c r="K46" s="31"/>
      <c r="L46" s="31"/>
      <c r="M46" s="31"/>
      <c r="N46" s="31"/>
      <c r="O46" s="31"/>
      <c r="P46" s="31"/>
      <c r="Q46" s="31"/>
      <c r="R46" s="1611"/>
    </row>
    <row r="47" spans="1:21" ht="25.5" customHeight="1">
      <c r="A47" s="31"/>
      <c r="B47" s="31"/>
      <c r="C47" s="31"/>
      <c r="D47" s="31"/>
      <c r="E47" s="31"/>
      <c r="F47" s="31"/>
      <c r="G47" s="31"/>
      <c r="H47" s="31"/>
      <c r="I47" s="31"/>
      <c r="J47" s="31"/>
      <c r="K47" s="31"/>
      <c r="L47" s="31"/>
      <c r="M47" s="31"/>
      <c r="N47" s="31"/>
      <c r="O47" s="31"/>
      <c r="P47" s="31"/>
      <c r="Q47" s="31"/>
      <c r="R47" s="1614"/>
    </row>
    <row r="48" spans="1:21" ht="25.5" customHeight="1">
      <c r="A48" s="31"/>
      <c r="B48" s="31"/>
      <c r="C48" s="31"/>
      <c r="D48" s="31"/>
      <c r="E48" s="31"/>
      <c r="F48" s="31"/>
      <c r="G48" s="31"/>
      <c r="H48" s="31"/>
      <c r="I48" s="31"/>
      <c r="J48" s="31"/>
      <c r="K48" s="31"/>
      <c r="L48" s="31"/>
      <c r="M48" s="31"/>
      <c r="N48" s="31"/>
      <c r="O48" s="31"/>
      <c r="P48" s="31"/>
      <c r="Q48" s="31"/>
      <c r="R48" s="1614"/>
      <c r="S48" s="277"/>
    </row>
    <row r="49" spans="1:27">
      <c r="O49" s="95"/>
      <c r="P49" s="95"/>
      <c r="Q49" s="95"/>
      <c r="R49" s="1614"/>
      <c r="S49" s="96"/>
      <c r="T49" s="96"/>
      <c r="U49" s="96"/>
      <c r="V49" s="96"/>
      <c r="W49" s="96"/>
      <c r="X49" s="96"/>
      <c r="Y49" s="96"/>
      <c r="Z49" s="96"/>
      <c r="AA49" s="96"/>
    </row>
    <row r="50" spans="1:27">
      <c r="O50" s="95"/>
      <c r="P50" s="95"/>
      <c r="Q50" s="95"/>
      <c r="R50" s="1614"/>
      <c r="S50" s="96"/>
      <c r="T50" s="96"/>
      <c r="U50" s="96"/>
      <c r="V50" s="96"/>
      <c r="W50" s="96"/>
      <c r="X50" s="96"/>
      <c r="Y50" s="96"/>
      <c r="Z50" s="96"/>
      <c r="AA50" s="96"/>
    </row>
    <row r="51" spans="1:27">
      <c r="O51" s="95"/>
      <c r="P51" s="95"/>
      <c r="Q51" s="95"/>
      <c r="R51" s="1058"/>
      <c r="S51" s="96"/>
      <c r="T51" s="96"/>
      <c r="U51" s="96"/>
      <c r="V51" s="96"/>
      <c r="W51" s="96"/>
      <c r="X51" s="96"/>
      <c r="Y51" s="96"/>
      <c r="Z51" s="96"/>
      <c r="AA51" s="96"/>
    </row>
    <row r="52" spans="1:27">
      <c r="O52" s="95"/>
      <c r="P52" s="95"/>
      <c r="Q52" s="95"/>
      <c r="R52" s="1097"/>
      <c r="S52" s="96"/>
      <c r="T52" s="96"/>
      <c r="U52" s="96"/>
      <c r="V52" s="96"/>
      <c r="W52" s="96"/>
      <c r="X52" s="96"/>
      <c r="Y52" s="96"/>
      <c r="Z52" s="96"/>
      <c r="AA52" s="96"/>
    </row>
    <row r="53" spans="1:27" ht="51" customHeight="1">
      <c r="O53" s="95"/>
      <c r="P53" s="95"/>
      <c r="Q53" s="95"/>
      <c r="R53" s="1097"/>
      <c r="S53" s="96"/>
      <c r="T53" s="18"/>
      <c r="U53" s="18"/>
      <c r="V53" s="96"/>
      <c r="W53" s="96"/>
      <c r="X53" s="96"/>
      <c r="Y53" s="96"/>
      <c r="Z53" s="96"/>
      <c r="AA53" s="96"/>
    </row>
    <row r="54" spans="1:27" ht="78" customHeight="1">
      <c r="A54" s="2023"/>
      <c r="B54" s="2023"/>
      <c r="C54" s="2023"/>
      <c r="D54" s="2023"/>
      <c r="E54" s="2023"/>
      <c r="F54" s="2023"/>
      <c r="G54" s="2023"/>
      <c r="H54" s="2023"/>
      <c r="I54" s="2023"/>
      <c r="J54" s="2023"/>
      <c r="K54" s="2023"/>
      <c r="L54" s="2023"/>
      <c r="M54" s="2023"/>
      <c r="N54" s="2023"/>
      <c r="O54" s="2023"/>
      <c r="P54" s="2023"/>
      <c r="Q54" s="2023"/>
      <c r="R54" s="2023"/>
      <c r="S54" s="2023"/>
      <c r="T54" s="2023"/>
      <c r="U54" s="2023"/>
      <c r="V54" s="2023"/>
      <c r="W54" s="2023"/>
      <c r="X54" s="2023"/>
      <c r="Y54" s="2023"/>
      <c r="Z54" s="96"/>
      <c r="AA54" s="96"/>
    </row>
    <row r="55" spans="1:27">
      <c r="O55" s="96"/>
      <c r="P55" s="96"/>
      <c r="Q55" s="96"/>
      <c r="R55" s="1097"/>
    </row>
    <row r="56" spans="1:27">
      <c r="O56" s="96"/>
      <c r="P56" s="96"/>
      <c r="Q56" s="96"/>
      <c r="R56" s="1097"/>
    </row>
    <row r="57" spans="1:27">
      <c r="O57" s="96"/>
      <c r="P57" s="96"/>
      <c r="Q57" s="96"/>
      <c r="R57" s="1097"/>
    </row>
    <row r="58" spans="1:27">
      <c r="O58" s="96"/>
      <c r="P58" s="96"/>
      <c r="Q58" s="96"/>
      <c r="R58" s="1097"/>
    </row>
    <row r="59" spans="1:27">
      <c r="O59" s="96"/>
      <c r="P59" s="96"/>
      <c r="Q59" s="96"/>
      <c r="R59" s="1097"/>
    </row>
    <row r="60" spans="1:27">
      <c r="O60" s="96"/>
      <c r="P60" s="96"/>
      <c r="Q60" s="96"/>
      <c r="R60" s="1097"/>
      <c r="S60" s="96"/>
      <c r="T60" s="96"/>
      <c r="U60" s="96"/>
      <c r="V60" s="96"/>
      <c r="W60" s="96"/>
      <c r="X60" s="96"/>
      <c r="Y60" s="96"/>
      <c r="Z60" s="96"/>
      <c r="AA60" s="96"/>
    </row>
    <row r="61" spans="1:27">
      <c r="O61" s="96"/>
      <c r="P61" s="96"/>
      <c r="Q61" s="96"/>
      <c r="R61" s="1097"/>
      <c r="S61" s="96"/>
      <c r="T61" s="96"/>
      <c r="U61" s="96"/>
      <c r="V61" s="96"/>
      <c r="W61" s="96"/>
      <c r="X61" s="96"/>
      <c r="Y61" s="96"/>
      <c r="Z61" s="96"/>
      <c r="AA61" s="96"/>
    </row>
    <row r="62" spans="1:27">
      <c r="O62" s="96"/>
      <c r="P62" s="96"/>
      <c r="Q62" s="96"/>
      <c r="R62" s="1097"/>
      <c r="S62" s="96"/>
      <c r="T62" s="96"/>
      <c r="U62" s="96"/>
      <c r="V62" s="96"/>
      <c r="W62" s="96"/>
      <c r="X62" s="96"/>
      <c r="Y62" s="96"/>
      <c r="Z62" s="96"/>
      <c r="AA62" s="96"/>
    </row>
    <row r="75" spans="19:24">
      <c r="S75" s="96"/>
      <c r="T75" s="96"/>
      <c r="U75" s="96"/>
      <c r="V75" s="96"/>
      <c r="W75" s="96"/>
      <c r="X75" s="96"/>
    </row>
    <row r="76" spans="19:24">
      <c r="S76" s="96"/>
      <c r="T76" s="96"/>
      <c r="U76" s="96"/>
      <c r="V76" s="96"/>
      <c r="W76" s="96"/>
      <c r="X76" s="96"/>
    </row>
    <row r="77" spans="19:24">
      <c r="S77" s="96"/>
      <c r="T77" s="96"/>
      <c r="U77" s="96"/>
      <c r="V77" s="96"/>
      <c r="W77" s="96"/>
      <c r="X77" s="96"/>
    </row>
    <row r="78" spans="19:24">
      <c r="S78" s="96"/>
      <c r="T78" s="96"/>
      <c r="U78" s="96"/>
      <c r="V78" s="96"/>
      <c r="W78" s="96"/>
      <c r="X78" s="96"/>
    </row>
    <row r="79" spans="19:24">
      <c r="S79" s="96"/>
      <c r="T79" s="96"/>
      <c r="U79" s="96"/>
      <c r="V79" s="96"/>
      <c r="W79" s="96"/>
      <c r="X79" s="96"/>
    </row>
    <row r="80" spans="19:24">
      <c r="S80" s="96"/>
      <c r="T80" s="96"/>
      <c r="U80" s="96"/>
      <c r="V80" s="96"/>
      <c r="W80" s="96"/>
      <c r="X80" s="96"/>
    </row>
    <row r="81" spans="19:24">
      <c r="S81" s="96"/>
      <c r="T81" s="96"/>
      <c r="U81" s="96"/>
      <c r="V81" s="96"/>
      <c r="W81" s="96"/>
      <c r="X81" s="96"/>
    </row>
    <row r="82" spans="19:24">
      <c r="S82" s="96"/>
      <c r="T82" s="96"/>
      <c r="U82" s="96"/>
      <c r="V82" s="96"/>
      <c r="W82" s="96"/>
      <c r="X82" s="96"/>
    </row>
    <row r="92" spans="19:24">
      <c r="S92" s="96"/>
      <c r="T92" s="96"/>
      <c r="U92" s="96"/>
      <c r="V92" s="96"/>
      <c r="W92" s="96"/>
      <c r="X92" s="96"/>
    </row>
    <row r="93" spans="19:24">
      <c r="S93" s="96"/>
      <c r="T93" s="96"/>
      <c r="U93" s="96"/>
      <c r="V93" s="96"/>
      <c r="W93" s="96"/>
      <c r="X93" s="96"/>
    </row>
    <row r="94" spans="19:24">
      <c r="S94" s="96"/>
      <c r="T94" s="96"/>
      <c r="U94" s="96"/>
      <c r="V94" s="96"/>
      <c r="W94" s="96"/>
      <c r="X94" s="96"/>
    </row>
    <row r="95" spans="19:24">
      <c r="S95" s="96"/>
      <c r="T95" s="96"/>
      <c r="U95" s="96"/>
      <c r="V95" s="96"/>
      <c r="W95" s="96"/>
      <c r="X95" s="96"/>
    </row>
  </sheetData>
  <mergeCells count="9">
    <mergeCell ref="A1:P1"/>
    <mergeCell ref="A36:G36"/>
    <mergeCell ref="A54:Y54"/>
    <mergeCell ref="J3:J4"/>
    <mergeCell ref="B3:D3"/>
    <mergeCell ref="E3:E4"/>
    <mergeCell ref="F3:H3"/>
    <mergeCell ref="I3:I4"/>
    <mergeCell ref="A3:A4"/>
  </mergeCells>
  <printOptions horizontalCentered="1" verticalCentered="1"/>
  <pageMargins left="0.39370078740157483" right="0.39370078740157483" top="0.23622047244094491" bottom="0.23622047244094491" header="0.31496062992125984" footer="0.31496062992125984"/>
  <pageSetup paperSize="10023" scale="48"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tabColor theme="2" tint="-0.499984740745262"/>
    <pageSetUpPr fitToPage="1"/>
  </sheetPr>
  <dimension ref="A1:N40"/>
  <sheetViews>
    <sheetView showGridLines="0" view="pageBreakPreview" zoomScale="70" zoomScaleNormal="70" zoomScaleSheetLayoutView="70" workbookViewId="0">
      <selection activeCell="L57" sqref="L57:L58"/>
    </sheetView>
  </sheetViews>
  <sheetFormatPr baseColWidth="10" defaultRowHeight="15"/>
  <cols>
    <col min="1" max="7" width="11.42578125" style="77"/>
    <col min="8" max="8" width="11.42578125" style="77" customWidth="1"/>
    <col min="9" max="9" width="28.140625" style="77" customWidth="1"/>
    <col min="10" max="10" width="20.42578125" style="77" customWidth="1"/>
    <col min="11" max="12" width="14.7109375" style="77" customWidth="1"/>
    <col min="13" max="13" width="15.28515625" style="77" customWidth="1"/>
    <col min="14" max="16384" width="11.42578125" style="77"/>
  </cols>
  <sheetData>
    <row r="1" spans="1:14">
      <c r="A1" s="2016"/>
      <c r="B1" s="2016"/>
      <c r="C1" s="2016"/>
      <c r="D1" s="2016"/>
      <c r="E1" s="2016"/>
      <c r="F1" s="2016"/>
      <c r="G1" s="2016"/>
      <c r="H1" s="2016"/>
      <c r="I1" s="2016"/>
      <c r="J1" s="2016"/>
      <c r="K1" s="2016"/>
      <c r="L1" s="2016"/>
      <c r="M1" s="2016"/>
      <c r="N1" s="94"/>
    </row>
    <row r="2" spans="1:14">
      <c r="A2" s="2016"/>
      <c r="B2" s="2016"/>
      <c r="C2" s="2016"/>
      <c r="D2" s="2016"/>
      <c r="E2" s="2016"/>
      <c r="F2" s="2016"/>
      <c r="G2" s="2016"/>
      <c r="H2" s="2016"/>
      <c r="I2" s="2016"/>
      <c r="J2" s="2016"/>
      <c r="K2" s="2016"/>
      <c r="L2" s="2016"/>
      <c r="M2" s="2016"/>
      <c r="N2" s="94"/>
    </row>
    <row r="3" spans="1:14">
      <c r="A3" s="2016"/>
      <c r="B3" s="2016"/>
      <c r="C3" s="2016"/>
      <c r="D3" s="2016"/>
      <c r="E3" s="2016"/>
      <c r="F3" s="2016"/>
      <c r="G3" s="2016"/>
      <c r="H3" s="2016"/>
      <c r="I3" s="2016"/>
      <c r="J3" s="2016"/>
      <c r="K3" s="2016"/>
      <c r="L3" s="2016"/>
      <c r="M3" s="2016"/>
      <c r="N3" s="94"/>
    </row>
    <row r="4" spans="1:14">
      <c r="A4" s="2016"/>
      <c r="B4" s="2016"/>
      <c r="C4" s="2016"/>
      <c r="D4" s="2016"/>
      <c r="E4" s="2016"/>
      <c r="F4" s="2016"/>
      <c r="G4" s="2016"/>
      <c r="H4" s="2016"/>
      <c r="I4" s="2016"/>
      <c r="J4" s="2016"/>
      <c r="K4" s="2016"/>
      <c r="L4" s="2016"/>
      <c r="M4" s="2016"/>
      <c r="N4" s="94"/>
    </row>
    <row r="5" spans="1:14">
      <c r="A5" s="2016"/>
      <c r="B5" s="2016"/>
      <c r="C5" s="2016"/>
      <c r="D5" s="2016"/>
      <c r="E5" s="2016"/>
      <c r="F5" s="2016"/>
      <c r="G5" s="2016"/>
      <c r="H5" s="2016"/>
      <c r="I5" s="2016"/>
      <c r="J5" s="2016"/>
      <c r="K5" s="2016"/>
      <c r="L5" s="2016"/>
      <c r="M5" s="2016"/>
      <c r="N5" s="94"/>
    </row>
    <row r="6" spans="1:14">
      <c r="A6" s="2016"/>
      <c r="B6" s="2016"/>
      <c r="C6" s="2016"/>
      <c r="D6" s="2016"/>
      <c r="E6" s="2016"/>
      <c r="F6" s="2016"/>
      <c r="G6" s="2016"/>
      <c r="H6" s="2016"/>
      <c r="I6" s="2016"/>
      <c r="J6" s="2016"/>
      <c r="K6" s="2016"/>
      <c r="L6" s="2016"/>
      <c r="M6" s="2016"/>
      <c r="N6" s="94"/>
    </row>
    <row r="7" spans="1:14" ht="47.25" customHeight="1">
      <c r="A7" s="2016"/>
      <c r="B7" s="2016"/>
      <c r="C7" s="2016"/>
      <c r="D7" s="2016"/>
      <c r="E7" s="2016"/>
      <c r="F7" s="2016"/>
      <c r="G7" s="2016"/>
      <c r="H7" s="2016"/>
      <c r="I7" s="2016"/>
      <c r="J7" s="2016"/>
      <c r="K7" s="2016"/>
      <c r="L7" s="2016"/>
      <c r="M7" s="2016"/>
      <c r="N7" s="94"/>
    </row>
    <row r="8" spans="1:14">
      <c r="A8" s="2016"/>
      <c r="B8" s="2016"/>
      <c r="C8" s="2016"/>
      <c r="D8" s="2016"/>
      <c r="E8" s="2016"/>
      <c r="F8" s="2016"/>
      <c r="G8" s="2016"/>
      <c r="H8" s="2016"/>
      <c r="I8" s="2016"/>
      <c r="J8" s="2016"/>
      <c r="K8" s="2016"/>
      <c r="L8" s="2016"/>
      <c r="M8" s="2016"/>
      <c r="N8" s="94"/>
    </row>
    <row r="9" spans="1:14">
      <c r="A9" s="2016"/>
      <c r="B9" s="2016"/>
      <c r="C9" s="2016"/>
      <c r="D9" s="2016"/>
      <c r="E9" s="2016"/>
      <c r="F9" s="2016"/>
      <c r="G9" s="2016"/>
      <c r="H9" s="2016"/>
      <c r="I9" s="2016"/>
      <c r="J9" s="2016"/>
      <c r="K9" s="2016"/>
      <c r="L9" s="2016"/>
      <c r="M9" s="2016"/>
      <c r="N9" s="94"/>
    </row>
    <row r="10" spans="1:14" ht="23.25" customHeight="1">
      <c r="A10" s="2016"/>
      <c r="B10" s="2016"/>
      <c r="C10" s="2016"/>
      <c r="D10" s="2016"/>
      <c r="E10" s="2016"/>
      <c r="F10" s="2016"/>
      <c r="G10" s="2016"/>
      <c r="H10" s="2016"/>
      <c r="I10" s="2016"/>
      <c r="J10" s="2016"/>
      <c r="K10" s="2016"/>
      <c r="L10" s="2016"/>
      <c r="M10" s="2016"/>
      <c r="N10" s="94"/>
    </row>
    <row r="11" spans="1:14">
      <c r="A11" s="2016"/>
      <c r="B11" s="2016"/>
      <c r="C11" s="2016"/>
      <c r="D11" s="2016"/>
      <c r="E11" s="2016"/>
      <c r="F11" s="2016"/>
      <c r="G11" s="2016"/>
      <c r="H11" s="2016"/>
      <c r="I11" s="2016"/>
      <c r="J11" s="2016"/>
      <c r="K11" s="2016"/>
      <c r="L11" s="2016"/>
      <c r="M11" s="2016"/>
      <c r="N11" s="94"/>
    </row>
    <row r="12" spans="1:14">
      <c r="A12" s="2016"/>
      <c r="B12" s="2016"/>
      <c r="C12" s="2016"/>
      <c r="D12" s="2016"/>
      <c r="E12" s="2016"/>
      <c r="F12" s="2016"/>
      <c r="G12" s="2016"/>
      <c r="H12" s="2016"/>
      <c r="I12" s="2016"/>
      <c r="J12" s="2016"/>
      <c r="K12" s="2016"/>
      <c r="L12" s="2016"/>
      <c r="M12" s="2016"/>
      <c r="N12" s="94"/>
    </row>
    <row r="13" spans="1:14">
      <c r="A13" s="2016"/>
      <c r="B13" s="2016"/>
      <c r="C13" s="2016"/>
      <c r="D13" s="2016"/>
      <c r="E13" s="2016"/>
      <c r="F13" s="2016"/>
      <c r="G13" s="2016"/>
      <c r="H13" s="2016"/>
      <c r="I13" s="2016"/>
      <c r="J13" s="2016"/>
      <c r="K13" s="2016"/>
      <c r="L13" s="2016"/>
      <c r="M13" s="2016"/>
      <c r="N13" s="94"/>
    </row>
    <row r="14" spans="1:14">
      <c r="A14" s="2016"/>
      <c r="B14" s="2016"/>
      <c r="C14" s="2016"/>
      <c r="D14" s="2016"/>
      <c r="E14" s="2016"/>
      <c r="F14" s="2016"/>
      <c r="G14" s="2016"/>
      <c r="H14" s="2016"/>
      <c r="I14" s="2016"/>
      <c r="J14" s="2016"/>
      <c r="K14" s="2016"/>
      <c r="L14" s="2016"/>
      <c r="M14" s="2016"/>
      <c r="N14" s="94"/>
    </row>
    <row r="15" spans="1:14">
      <c r="A15" s="2016"/>
      <c r="B15" s="2016"/>
      <c r="C15" s="2016"/>
      <c r="D15" s="2016"/>
      <c r="E15" s="2016"/>
      <c r="F15" s="2016"/>
      <c r="G15" s="2016"/>
      <c r="H15" s="2016"/>
      <c r="I15" s="2016"/>
      <c r="J15" s="2016"/>
      <c r="K15" s="2016"/>
      <c r="L15" s="2016"/>
      <c r="M15" s="2016"/>
      <c r="N15" s="94"/>
    </row>
    <row r="16" spans="1:14">
      <c r="A16" s="2016"/>
      <c r="B16" s="2016"/>
      <c r="C16" s="2016"/>
      <c r="D16" s="2016"/>
      <c r="E16" s="2016"/>
      <c r="F16" s="2016"/>
      <c r="G16" s="2016"/>
      <c r="H16" s="2016"/>
      <c r="I16" s="2016"/>
      <c r="J16" s="2016"/>
      <c r="K16" s="2016"/>
      <c r="L16" s="2016"/>
      <c r="M16" s="2016"/>
      <c r="N16" s="94"/>
    </row>
    <row r="17" spans="1:14">
      <c r="A17" s="2016"/>
      <c r="B17" s="2016"/>
      <c r="C17" s="2016"/>
      <c r="D17" s="2016"/>
      <c r="E17" s="2016"/>
      <c r="F17" s="2016"/>
      <c r="G17" s="2016"/>
      <c r="H17" s="2016"/>
      <c r="I17" s="2016"/>
      <c r="J17" s="2016"/>
      <c r="K17" s="2016"/>
      <c r="L17" s="2016"/>
      <c r="M17" s="2016"/>
      <c r="N17" s="94"/>
    </row>
    <row r="18" spans="1:14">
      <c r="A18" s="2016"/>
      <c r="B18" s="2016"/>
      <c r="C18" s="2016"/>
      <c r="D18" s="2016"/>
      <c r="E18" s="2016"/>
      <c r="F18" s="2016"/>
      <c r="G18" s="2016"/>
      <c r="H18" s="2016"/>
      <c r="I18" s="2016"/>
      <c r="J18" s="2016"/>
      <c r="K18" s="2016"/>
      <c r="L18" s="2016"/>
      <c r="M18" s="2016"/>
      <c r="N18" s="94"/>
    </row>
    <row r="19" spans="1:14">
      <c r="A19" s="2016"/>
      <c r="B19" s="2016"/>
      <c r="C19" s="2016"/>
      <c r="D19" s="2016"/>
      <c r="E19" s="2016"/>
      <c r="F19" s="2016"/>
      <c r="G19" s="2016"/>
      <c r="H19" s="2016"/>
      <c r="I19" s="2016"/>
      <c r="J19" s="2016"/>
      <c r="K19" s="2016"/>
      <c r="L19" s="2016"/>
      <c r="M19" s="2016"/>
      <c r="N19" s="94"/>
    </row>
    <row r="20" spans="1:14">
      <c r="A20" s="2016"/>
      <c r="B20" s="2016"/>
      <c r="C20" s="2016"/>
      <c r="D20" s="2016"/>
      <c r="E20" s="2016"/>
      <c r="F20" s="2016"/>
      <c r="G20" s="2016"/>
      <c r="H20" s="2016"/>
      <c r="I20" s="2016"/>
      <c r="J20" s="2016"/>
      <c r="K20" s="2016"/>
      <c r="L20" s="2016"/>
      <c r="M20" s="2016"/>
      <c r="N20" s="94"/>
    </row>
    <row r="21" spans="1:14">
      <c r="A21" s="2016"/>
      <c r="B21" s="2016"/>
      <c r="C21" s="2016"/>
      <c r="D21" s="2016"/>
      <c r="E21" s="2016"/>
      <c r="F21" s="2016"/>
      <c r="G21" s="2016"/>
      <c r="H21" s="2016"/>
      <c r="I21" s="2016"/>
      <c r="J21" s="2016"/>
      <c r="K21" s="2016"/>
      <c r="L21" s="2016"/>
      <c r="M21" s="2016"/>
      <c r="N21" s="94"/>
    </row>
    <row r="22" spans="1:14">
      <c r="A22" s="2016"/>
      <c r="B22" s="2016"/>
      <c r="C22" s="2016"/>
      <c r="D22" s="2016"/>
      <c r="E22" s="2016"/>
      <c r="F22" s="2016"/>
      <c r="G22" s="2016"/>
      <c r="H22" s="2016"/>
      <c r="I22" s="2016"/>
      <c r="J22" s="2016"/>
      <c r="K22" s="2016"/>
      <c r="L22" s="2016"/>
      <c r="M22" s="2016"/>
      <c r="N22" s="94"/>
    </row>
    <row r="23" spans="1:14">
      <c r="A23" s="2016"/>
      <c r="B23" s="2016"/>
      <c r="C23" s="2016"/>
      <c r="D23" s="2016"/>
      <c r="E23" s="2016"/>
      <c r="F23" s="2016"/>
      <c r="G23" s="2016"/>
      <c r="H23" s="2016"/>
      <c r="I23" s="2016"/>
      <c r="J23" s="2016"/>
      <c r="K23" s="2016"/>
      <c r="L23" s="2016"/>
      <c r="M23" s="2016"/>
      <c r="N23" s="94"/>
    </row>
    <row r="24" spans="1:14">
      <c r="A24" s="2016"/>
      <c r="B24" s="2016"/>
      <c r="C24" s="2016"/>
      <c r="D24" s="2016"/>
      <c r="E24" s="2016"/>
      <c r="F24" s="2016"/>
      <c r="G24" s="2016"/>
      <c r="H24" s="2016"/>
      <c r="I24" s="2016"/>
      <c r="J24" s="2016"/>
      <c r="K24" s="2016"/>
      <c r="L24" s="2016"/>
      <c r="M24" s="2016"/>
      <c r="N24" s="94"/>
    </row>
    <row r="25" spans="1:14">
      <c r="A25" s="2016"/>
      <c r="B25" s="2016"/>
      <c r="C25" s="2016"/>
      <c r="D25" s="2016"/>
      <c r="E25" s="2016"/>
      <c r="F25" s="2016"/>
      <c r="G25" s="2016"/>
      <c r="H25" s="2016"/>
      <c r="I25" s="2016"/>
      <c r="J25" s="2016"/>
      <c r="K25" s="2016"/>
      <c r="L25" s="2016"/>
      <c r="M25" s="2016"/>
      <c r="N25" s="94"/>
    </row>
    <row r="26" spans="1:14">
      <c r="A26" s="2016"/>
      <c r="B26" s="2016"/>
      <c r="C26" s="2016"/>
      <c r="D26" s="2016"/>
      <c r="E26" s="2016"/>
      <c r="F26" s="2016"/>
      <c r="G26" s="2016"/>
      <c r="H26" s="2016"/>
      <c r="I26" s="2016"/>
      <c r="J26" s="2016"/>
      <c r="K26" s="2016"/>
      <c r="L26" s="2016"/>
      <c r="M26" s="2016"/>
      <c r="N26" s="94"/>
    </row>
    <row r="27" spans="1:14">
      <c r="A27" s="2016"/>
      <c r="B27" s="2016"/>
      <c r="C27" s="2016"/>
      <c r="D27" s="2016"/>
      <c r="E27" s="2016"/>
      <c r="F27" s="2016"/>
      <c r="G27" s="2016"/>
      <c r="H27" s="2016"/>
      <c r="I27" s="2016"/>
      <c r="J27" s="2016"/>
      <c r="K27" s="2016"/>
      <c r="L27" s="2016"/>
      <c r="M27" s="2016"/>
      <c r="N27" s="94"/>
    </row>
    <row r="28" spans="1:14">
      <c r="A28" s="2016"/>
      <c r="B28" s="2016"/>
      <c r="C28" s="2016"/>
      <c r="D28" s="2016"/>
      <c r="E28" s="2016"/>
      <c r="F28" s="2016"/>
      <c r="G28" s="2016"/>
      <c r="H28" s="2016"/>
      <c r="I28" s="2016"/>
      <c r="J28" s="2016"/>
      <c r="K28" s="2016"/>
      <c r="L28" s="2016"/>
      <c r="M28" s="2016"/>
      <c r="N28" s="94"/>
    </row>
    <row r="29" spans="1:14">
      <c r="A29" s="2016"/>
      <c r="B29" s="2016"/>
      <c r="C29" s="2016"/>
      <c r="D29" s="2016"/>
      <c r="E29" s="2016"/>
      <c r="F29" s="2016"/>
      <c r="G29" s="2016"/>
      <c r="H29" s="2016"/>
      <c r="I29" s="2016"/>
      <c r="J29" s="2016"/>
      <c r="K29" s="2016"/>
      <c r="L29" s="2016"/>
      <c r="M29" s="2016"/>
      <c r="N29" s="94"/>
    </row>
    <row r="30" spans="1:14">
      <c r="A30" s="2016"/>
      <c r="B30" s="2016"/>
      <c r="C30" s="2016"/>
      <c r="D30" s="2016"/>
      <c r="E30" s="2016"/>
      <c r="F30" s="2016"/>
      <c r="G30" s="2016"/>
      <c r="H30" s="2016"/>
      <c r="I30" s="2016"/>
      <c r="J30" s="2016"/>
      <c r="K30" s="2016"/>
      <c r="L30" s="2016"/>
      <c r="M30" s="2016"/>
      <c r="N30" s="94"/>
    </row>
    <row r="31" spans="1:14">
      <c r="A31" s="2016"/>
      <c r="B31" s="2016"/>
      <c r="C31" s="2016"/>
      <c r="D31" s="2016"/>
      <c r="E31" s="2016"/>
      <c r="F31" s="2016"/>
      <c r="G31" s="2016"/>
      <c r="H31" s="2016"/>
      <c r="I31" s="2016"/>
      <c r="J31" s="2016"/>
      <c r="K31" s="2016"/>
      <c r="L31" s="2016"/>
      <c r="M31" s="2016"/>
      <c r="N31" s="94"/>
    </row>
    <row r="32" spans="1:14">
      <c r="A32" s="2016"/>
      <c r="B32" s="2016"/>
      <c r="C32" s="2016"/>
      <c r="D32" s="2016"/>
      <c r="E32" s="2016"/>
      <c r="F32" s="2016"/>
      <c r="G32" s="2016"/>
      <c r="H32" s="2016"/>
      <c r="I32" s="2016"/>
      <c r="J32" s="2016"/>
      <c r="K32" s="2016"/>
      <c r="L32" s="2016"/>
      <c r="M32" s="2016"/>
      <c r="N32" s="94"/>
    </row>
    <row r="33" spans="1:14">
      <c r="A33" s="2016"/>
      <c r="B33" s="2016"/>
      <c r="C33" s="2016"/>
      <c r="D33" s="2016"/>
      <c r="E33" s="2016"/>
      <c r="F33" s="2016"/>
      <c r="G33" s="2016"/>
      <c r="H33" s="2016"/>
      <c r="I33" s="2016"/>
      <c r="J33" s="2016"/>
      <c r="K33" s="2016"/>
      <c r="L33" s="2016"/>
      <c r="M33" s="2016"/>
      <c r="N33" s="94"/>
    </row>
    <row r="34" spans="1:14">
      <c r="A34" s="2016"/>
      <c r="B34" s="2016"/>
      <c r="C34" s="2016"/>
      <c r="D34" s="2016"/>
      <c r="E34" s="2016"/>
      <c r="F34" s="2016"/>
      <c r="G34" s="2016"/>
      <c r="H34" s="2016"/>
      <c r="I34" s="2016"/>
      <c r="J34" s="2016"/>
      <c r="K34" s="2016"/>
      <c r="L34" s="2016"/>
      <c r="M34" s="2016"/>
      <c r="N34" s="94"/>
    </row>
    <row r="35" spans="1:14">
      <c r="A35" s="2016"/>
      <c r="B35" s="2016"/>
      <c r="C35" s="2016"/>
      <c r="D35" s="2016"/>
      <c r="E35" s="2016"/>
      <c r="F35" s="2016"/>
      <c r="G35" s="2016"/>
      <c r="H35" s="2016"/>
      <c r="I35" s="2016"/>
      <c r="J35" s="2016"/>
      <c r="K35" s="2016"/>
      <c r="L35" s="2016"/>
      <c r="M35" s="2016"/>
      <c r="N35" s="94"/>
    </row>
    <row r="36" spans="1:14">
      <c r="A36" s="2016"/>
      <c r="B36" s="2016"/>
      <c r="C36" s="2016"/>
      <c r="D36" s="2016"/>
      <c r="E36" s="2016"/>
      <c r="F36" s="2016"/>
      <c r="G36" s="2016"/>
      <c r="H36" s="2016"/>
      <c r="I36" s="2016"/>
      <c r="J36" s="2016"/>
      <c r="K36" s="2016"/>
      <c r="L36" s="2016"/>
      <c r="M36" s="2016"/>
      <c r="N36" s="94"/>
    </row>
    <row r="37" spans="1:14">
      <c r="A37" s="2016"/>
      <c r="B37" s="2016"/>
      <c r="C37" s="2016"/>
      <c r="D37" s="2016"/>
      <c r="E37" s="2016"/>
      <c r="F37" s="2016"/>
      <c r="G37" s="2016"/>
      <c r="H37" s="2016"/>
      <c r="I37" s="2016"/>
      <c r="J37" s="2016"/>
      <c r="K37" s="2016"/>
      <c r="L37" s="2016"/>
      <c r="M37" s="2016"/>
      <c r="N37" s="94"/>
    </row>
    <row r="38" spans="1:14">
      <c r="A38" s="2016"/>
      <c r="B38" s="2016"/>
      <c r="C38" s="2016"/>
      <c r="D38" s="2016"/>
      <c r="E38" s="2016"/>
      <c r="F38" s="2016"/>
      <c r="G38" s="2016"/>
      <c r="H38" s="2016"/>
      <c r="I38" s="2016"/>
      <c r="J38" s="2016"/>
      <c r="K38" s="2016"/>
      <c r="L38" s="2016"/>
      <c r="M38" s="2016"/>
      <c r="N38" s="94"/>
    </row>
    <row r="39" spans="1:14">
      <c r="A39" s="2016"/>
      <c r="B39" s="2016"/>
      <c r="C39" s="2016"/>
      <c r="D39" s="2016"/>
      <c r="E39" s="2016"/>
      <c r="F39" s="2016"/>
      <c r="G39" s="2016"/>
      <c r="H39" s="2016"/>
      <c r="I39" s="2016"/>
      <c r="J39" s="2016"/>
      <c r="K39" s="2016"/>
      <c r="L39" s="2016"/>
      <c r="M39" s="2016"/>
      <c r="N39" s="94"/>
    </row>
    <row r="40" spans="1:14">
      <c r="A40" s="94"/>
      <c r="B40" s="94"/>
      <c r="C40" s="94"/>
      <c r="D40" s="94"/>
      <c r="E40" s="94"/>
      <c r="F40" s="94"/>
      <c r="G40" s="94"/>
      <c r="H40" s="94"/>
      <c r="I40" s="94"/>
      <c r="J40" s="94"/>
      <c r="K40" s="94"/>
      <c r="L40" s="94"/>
      <c r="M40" s="94"/>
      <c r="N40" s="94"/>
    </row>
  </sheetData>
  <mergeCells count="1">
    <mergeCell ref="A1:M39"/>
  </mergeCells>
  <pageMargins left="0.7" right="0.7" top="0.75" bottom="0.75" header="0.3" footer="0.3"/>
  <pageSetup scale="66" orientation="landscape"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3">
    <tabColor theme="9" tint="-0.249977111117893"/>
    <pageSetUpPr fitToPage="1"/>
  </sheetPr>
  <dimension ref="A1"/>
  <sheetViews>
    <sheetView showGridLines="0" view="pageBreakPreview" zoomScale="85" zoomScaleNormal="100" zoomScaleSheetLayoutView="85" workbookViewId="0">
      <selection activeCell="N37" sqref="N37"/>
    </sheetView>
  </sheetViews>
  <sheetFormatPr baseColWidth="10" defaultColWidth="11.5703125" defaultRowHeight="15"/>
  <cols>
    <col min="7" max="7" width="12.5703125" customWidth="1"/>
  </cols>
  <sheetData/>
  <pageMargins left="0.7" right="0.7" top="0.75" bottom="0.75" header="0.3" footer="0.3"/>
  <pageSetup scale="80" orientation="landscape"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4">
    <tabColor theme="9" tint="-0.249977111117893"/>
    <pageSetUpPr fitToPage="1"/>
  </sheetPr>
  <dimension ref="B1:O55"/>
  <sheetViews>
    <sheetView showGridLines="0" view="pageBreakPreview" zoomScale="85" zoomScaleNormal="100" zoomScaleSheetLayoutView="85" workbookViewId="0">
      <selection activeCell="O35" sqref="O35"/>
    </sheetView>
  </sheetViews>
  <sheetFormatPr baseColWidth="10" defaultColWidth="11.42578125" defaultRowHeight="15"/>
  <cols>
    <col min="1" max="6" width="11.42578125" style="77"/>
    <col min="7" max="7" width="13.42578125" style="77" customWidth="1"/>
    <col min="8" max="10" width="11.42578125" style="77"/>
    <col min="11" max="11" width="15.5703125" style="77" customWidth="1"/>
    <col min="12" max="12" width="13.140625" style="77" customWidth="1"/>
    <col min="13" max="13" width="11.85546875" style="77" customWidth="1"/>
    <col min="14" max="16384" width="11.42578125" style="77"/>
  </cols>
  <sheetData>
    <row r="1" s="94" customFormat="1"/>
    <row r="2" s="94" customFormat="1"/>
    <row r="3" s="94" customFormat="1"/>
    <row r="4" s="94" customFormat="1"/>
    <row r="5" s="94" customFormat="1"/>
    <row r="20" spans="14:15">
      <c r="N20" s="18"/>
    </row>
    <row r="21" spans="14:15">
      <c r="N21" s="18"/>
    </row>
    <row r="23" spans="14:15">
      <c r="O23" s="18"/>
    </row>
    <row r="25" spans="14:15">
      <c r="N25" s="277"/>
    </row>
    <row r="26" spans="14:15">
      <c r="N26" s="277"/>
    </row>
    <row r="29" spans="14:15">
      <c r="O29" s="156"/>
    </row>
    <row r="30" spans="14:15">
      <c r="N30" s="18"/>
      <c r="O30" s="500"/>
    </row>
    <row r="31" spans="14:15" ht="18.75" customHeight="1"/>
    <row r="32" spans="14:15" ht="18.75" customHeight="1"/>
    <row r="33" spans="2:11" ht="18.75" customHeight="1"/>
    <row r="34" spans="2:11" ht="18.75" customHeight="1"/>
    <row r="41" spans="2:11">
      <c r="I41" s="1380"/>
      <c r="K41" s="156"/>
    </row>
    <row r="42" spans="2:11" ht="17.25" customHeight="1">
      <c r="B42" s="219"/>
      <c r="C42" s="50"/>
      <c r="D42" s="50"/>
      <c r="E42" s="50"/>
      <c r="F42" s="50"/>
      <c r="G42" s="50"/>
      <c r="H42" s="50"/>
      <c r="I42" s="50"/>
      <c r="J42" s="210"/>
      <c r="K42" s="210"/>
    </row>
    <row r="43" spans="2:11" ht="21">
      <c r="B43" s="1464"/>
      <c r="C43" s="1463"/>
      <c r="D43" s="1056"/>
      <c r="E43" s="1056"/>
    </row>
    <row r="44" spans="2:11" ht="21">
      <c r="B44" s="1464"/>
      <c r="C44" s="1463"/>
      <c r="D44" s="1056"/>
      <c r="E44" s="1056"/>
    </row>
    <row r="45" spans="2:11" ht="15.75">
      <c r="B45" s="1458"/>
      <c r="C45" s="815"/>
    </row>
    <row r="46" spans="2:11" ht="26.25">
      <c r="B46" s="1466"/>
      <c r="C46" s="1461"/>
      <c r="D46" s="1462"/>
    </row>
    <row r="47" spans="2:11" ht="26.25">
      <c r="B47" s="1466"/>
      <c r="C47" s="1461"/>
      <c r="D47" s="1462"/>
    </row>
    <row r="48" spans="2:11" ht="15.75">
      <c r="B48" s="1458"/>
      <c r="C48" s="815"/>
    </row>
    <row r="49" spans="2:5" ht="15.75">
      <c r="B49" s="219"/>
    </row>
    <row r="50" spans="2:5" ht="21">
      <c r="B50" s="1464"/>
      <c r="C50" s="1463"/>
      <c r="D50" s="1056"/>
      <c r="E50" s="1056"/>
    </row>
    <row r="51" spans="2:5" ht="21">
      <c r="B51" s="1464"/>
      <c r="C51" s="1463"/>
      <c r="D51" s="1056"/>
      <c r="E51" s="1056"/>
    </row>
    <row r="52" spans="2:5" ht="15.75">
      <c r="B52" s="135"/>
    </row>
    <row r="53" spans="2:5" ht="21">
      <c r="B53" s="1465"/>
      <c r="C53" s="1097"/>
    </row>
    <row r="54" spans="2:5" ht="15.75">
      <c r="B54" s="135"/>
    </row>
    <row r="55" spans="2:5" ht="15.75">
      <c r="B55" s="135"/>
    </row>
  </sheetData>
  <pageMargins left="0.70866141732283472" right="0.70866141732283472" top="0.74803149606299213" bottom="0.74803149606299213" header="0.31496062992125984" footer="0.31496062992125984"/>
  <pageSetup scale="77" orientation="landscape"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7">
    <tabColor theme="9" tint="-0.249977111117893"/>
    <pageSetUpPr fitToPage="1"/>
  </sheetPr>
  <dimension ref="A1:P30"/>
  <sheetViews>
    <sheetView showGridLines="0" view="pageBreakPreview" zoomScale="55" zoomScaleNormal="100" zoomScaleSheetLayoutView="55" workbookViewId="0">
      <pane ySplit="1" topLeftCell="A2" activePane="bottomLeft" state="frozen"/>
      <selection activeCell="M22" sqref="M22"/>
      <selection pane="bottomLeft" activeCell="F3" sqref="F3"/>
    </sheetView>
  </sheetViews>
  <sheetFormatPr baseColWidth="10" defaultColWidth="11.42578125" defaultRowHeight="15"/>
  <cols>
    <col min="1" max="1" width="13.7109375" style="198" customWidth="1"/>
    <col min="2" max="2" width="16.85546875" style="1807" customWidth="1"/>
    <col min="3" max="3" width="21.42578125" style="1807" customWidth="1"/>
    <col min="4" max="4" width="20.85546875" style="1807" customWidth="1"/>
    <col min="5" max="5" width="19.140625" style="212" customWidth="1"/>
    <col min="6" max="6" width="26.140625" style="212" customWidth="1"/>
    <col min="7" max="7" width="24.42578125" style="212" customWidth="1"/>
    <col min="8" max="8" width="13.5703125" style="77" bestFit="1" customWidth="1"/>
    <col min="9" max="9" width="13.7109375" style="77" bestFit="1" customWidth="1"/>
    <col min="10" max="11" width="22.5703125" style="77" customWidth="1"/>
    <col min="12" max="12" width="17.42578125" style="77" customWidth="1"/>
    <col min="13" max="13" width="20.85546875" style="77" customWidth="1"/>
    <col min="14" max="14" width="25.7109375" style="77" customWidth="1"/>
    <col min="15" max="15" width="14.28515625" style="77" customWidth="1"/>
    <col min="16" max="16384" width="11.42578125" style="77"/>
  </cols>
  <sheetData>
    <row r="1" spans="1:16" ht="88.5" customHeight="1">
      <c r="A1" s="2050"/>
      <c r="B1" s="2050"/>
      <c r="C1" s="2050"/>
      <c r="D1" s="2050"/>
      <c r="E1" s="2050"/>
      <c r="F1" s="2050"/>
      <c r="G1" s="2050"/>
      <c r="H1" s="2050"/>
      <c r="I1" s="2050"/>
      <c r="J1" s="2050"/>
      <c r="K1" s="2050"/>
      <c r="L1" s="2050"/>
      <c r="M1" s="2050"/>
      <c r="N1" s="2050"/>
      <c r="P1" s="259"/>
    </row>
    <row r="2" spans="1:16" s="39" customFormat="1" ht="3.75" customHeight="1">
      <c r="A2" s="358"/>
      <c r="B2" s="188"/>
      <c r="C2" s="188"/>
      <c r="D2" s="188"/>
      <c r="E2" s="1816"/>
      <c r="F2" s="1816"/>
      <c r="G2" s="1816"/>
      <c r="H2" s="188"/>
      <c r="I2" s="188"/>
      <c r="J2" s="188"/>
      <c r="K2" s="188"/>
      <c r="L2" s="188"/>
      <c r="M2" s="188"/>
      <c r="N2" s="188"/>
      <c r="P2" s="187"/>
    </row>
    <row r="3" spans="1:16" s="1337" customFormat="1" ht="41.25" customHeight="1">
      <c r="A3" s="316" t="s">
        <v>25</v>
      </c>
      <c r="B3" s="1008" t="s">
        <v>530</v>
      </c>
      <c r="C3" s="315" t="s">
        <v>531</v>
      </c>
      <c r="D3" s="315" t="s">
        <v>150</v>
      </c>
      <c r="E3" s="1008" t="s">
        <v>1005</v>
      </c>
      <c r="F3" s="315" t="s">
        <v>154</v>
      </c>
      <c r="G3" s="1030" t="s">
        <v>761</v>
      </c>
    </row>
    <row r="4" spans="1:16" s="1428" customFormat="1" ht="18.75">
      <c r="A4" s="1427" t="s">
        <v>26</v>
      </c>
      <c r="B4" s="1817">
        <v>106192</v>
      </c>
      <c r="C4" s="1818">
        <v>147182</v>
      </c>
      <c r="D4" s="1819">
        <f>B4+C4</f>
        <v>253374</v>
      </c>
      <c r="E4" s="1829">
        <f t="shared" ref="E4:E9" si="0">B4/D4</f>
        <v>0.41911166891630552</v>
      </c>
      <c r="F4" s="1830">
        <f>C4/D4</f>
        <v>0.58088833108369442</v>
      </c>
      <c r="G4" s="1826">
        <f t="shared" ref="G4:G11" si="1">C4/B4</f>
        <v>1.3859989453066144</v>
      </c>
    </row>
    <row r="5" spans="1:16" s="1428" customFormat="1" ht="18.75">
      <c r="A5" s="1427" t="s">
        <v>27</v>
      </c>
      <c r="B5" s="1820">
        <v>258701</v>
      </c>
      <c r="C5" s="1821">
        <v>255339</v>
      </c>
      <c r="D5" s="1822">
        <f t="shared" ref="D5:D14" si="2">B5+C5</f>
        <v>514040</v>
      </c>
      <c r="E5" s="1831">
        <f t="shared" si="0"/>
        <v>0.50327017352735193</v>
      </c>
      <c r="F5" s="1832">
        <f>C5/D5</f>
        <v>0.49672982647264802</v>
      </c>
      <c r="G5" s="1827">
        <f t="shared" si="1"/>
        <v>0.9870043022640036</v>
      </c>
    </row>
    <row r="6" spans="1:16" s="1428" customFormat="1" ht="18.75">
      <c r="A6" s="1427" t="s">
        <v>28</v>
      </c>
      <c r="B6" s="1820">
        <v>473647</v>
      </c>
      <c r="C6" s="1823">
        <v>608289</v>
      </c>
      <c r="D6" s="1824">
        <f t="shared" si="2"/>
        <v>1081936</v>
      </c>
      <c r="E6" s="1831">
        <f t="shared" si="0"/>
        <v>0.43777728072640154</v>
      </c>
      <c r="F6" s="1833">
        <f t="shared" ref="F6:F11" si="3">+C6/D6</f>
        <v>0.56222271927359846</v>
      </c>
      <c r="G6" s="1827">
        <f t="shared" si="1"/>
        <v>1.2842665529392143</v>
      </c>
    </row>
    <row r="7" spans="1:16" s="1428" customFormat="1" ht="18.75">
      <c r="A7" s="1427" t="s">
        <v>29</v>
      </c>
      <c r="B7" s="1825">
        <v>489949</v>
      </c>
      <c r="C7" s="1823">
        <v>734949</v>
      </c>
      <c r="D7" s="1824">
        <f t="shared" si="2"/>
        <v>1224898</v>
      </c>
      <c r="E7" s="1831">
        <f t="shared" si="0"/>
        <v>0.39999167277601888</v>
      </c>
      <c r="F7" s="1833">
        <f t="shared" si="3"/>
        <v>0.60000832722398112</v>
      </c>
      <c r="G7" s="1827">
        <f t="shared" si="1"/>
        <v>1.5000520462333835</v>
      </c>
      <c r="O7" s="1429"/>
    </row>
    <row r="8" spans="1:16" s="1428" customFormat="1" ht="18.75">
      <c r="A8" s="1427" t="s">
        <v>30</v>
      </c>
      <c r="B8" s="1825">
        <v>622049</v>
      </c>
      <c r="C8" s="1823">
        <v>782176</v>
      </c>
      <c r="D8" s="1824">
        <f t="shared" si="2"/>
        <v>1404225</v>
      </c>
      <c r="E8" s="1831">
        <f t="shared" si="0"/>
        <v>0.44298385230287168</v>
      </c>
      <c r="F8" s="1833">
        <f t="shared" si="3"/>
        <v>0.55701614769712826</v>
      </c>
      <c r="G8" s="1827">
        <f t="shared" si="1"/>
        <v>1.2574186277929873</v>
      </c>
    </row>
    <row r="9" spans="1:16" s="1428" customFormat="1" ht="15" customHeight="1">
      <c r="A9" s="1427" t="s">
        <v>191</v>
      </c>
      <c r="B9" s="1825">
        <v>903250</v>
      </c>
      <c r="C9" s="1823">
        <v>1110536</v>
      </c>
      <c r="D9" s="1824">
        <f t="shared" si="2"/>
        <v>2013786</v>
      </c>
      <c r="E9" s="1831">
        <f t="shared" si="0"/>
        <v>0.44853326023718509</v>
      </c>
      <c r="F9" s="1833">
        <f t="shared" si="3"/>
        <v>0.55146673976281491</v>
      </c>
      <c r="G9" s="1827">
        <f t="shared" si="1"/>
        <v>1.229489067257127</v>
      </c>
    </row>
    <row r="10" spans="1:16" s="1428" customFormat="1" ht="18.75">
      <c r="A10" s="1427" t="s">
        <v>231</v>
      </c>
      <c r="B10" s="1825">
        <v>883775</v>
      </c>
      <c r="C10" s="1823">
        <v>1119652</v>
      </c>
      <c r="D10" s="1824">
        <f t="shared" si="2"/>
        <v>2003427</v>
      </c>
      <c r="E10" s="1831">
        <f>B10/D10</f>
        <v>0.44113162096747222</v>
      </c>
      <c r="F10" s="1833">
        <f t="shared" si="3"/>
        <v>0.55886837903252773</v>
      </c>
      <c r="G10" s="1827">
        <f t="shared" si="1"/>
        <v>1.2668971174789962</v>
      </c>
    </row>
    <row r="11" spans="1:16" s="1428" customFormat="1" ht="18.75">
      <c r="A11" s="1427" t="s">
        <v>481</v>
      </c>
      <c r="B11" s="1825">
        <v>1178040</v>
      </c>
      <c r="C11" s="1823">
        <v>1125311</v>
      </c>
      <c r="D11" s="1824">
        <f t="shared" si="2"/>
        <v>2303351</v>
      </c>
      <c r="E11" s="1831">
        <f>B11/D11</f>
        <v>0.51144614954472856</v>
      </c>
      <c r="F11" s="1833">
        <f t="shared" si="3"/>
        <v>0.4885538504552715</v>
      </c>
      <c r="G11" s="1827">
        <f t="shared" si="1"/>
        <v>0.95524005976027981</v>
      </c>
    </row>
    <row r="12" spans="1:16" s="1428" customFormat="1" ht="18.75">
      <c r="A12" s="1427" t="s">
        <v>557</v>
      </c>
      <c r="B12" s="1825">
        <v>1568225</v>
      </c>
      <c r="C12" s="1823">
        <v>1183528</v>
      </c>
      <c r="D12" s="1824">
        <f t="shared" si="2"/>
        <v>2751753</v>
      </c>
      <c r="E12" s="1831">
        <f>B12/D12</f>
        <v>0.56990035079456625</v>
      </c>
      <c r="F12" s="1833">
        <f>+C12/D12</f>
        <v>0.43009964920543375</v>
      </c>
      <c r="G12" s="1827">
        <f>C12/B12</f>
        <v>0.75469272585247649</v>
      </c>
    </row>
    <row r="13" spans="1:16" s="1428" customFormat="1" ht="18.75">
      <c r="A13" s="1427" t="s">
        <v>570</v>
      </c>
      <c r="B13" s="1825">
        <v>1795214</v>
      </c>
      <c r="C13" s="1823">
        <v>1220432</v>
      </c>
      <c r="D13" s="1824">
        <f t="shared" si="2"/>
        <v>3015646</v>
      </c>
      <c r="E13" s="1831">
        <f>B13/D13</f>
        <v>0.5952999788436707</v>
      </c>
      <c r="F13" s="1833">
        <f>+C13/D13</f>
        <v>0.40470002115632936</v>
      </c>
      <c r="G13" s="1827">
        <f>C13/B13</f>
        <v>0.67982535786819842</v>
      </c>
    </row>
    <row r="14" spans="1:16" s="1428" customFormat="1" ht="18.75">
      <c r="A14" s="1430" t="s">
        <v>1003</v>
      </c>
      <c r="B14" s="1836">
        <v>1993874</v>
      </c>
      <c r="C14" s="1837">
        <v>1113802</v>
      </c>
      <c r="D14" s="1838">
        <f t="shared" si="2"/>
        <v>3107676</v>
      </c>
      <c r="E14" s="1834">
        <f>B14/D14</f>
        <v>0.64159648560532045</v>
      </c>
      <c r="F14" s="1835">
        <f>+C14/D14</f>
        <v>0.35840351439467949</v>
      </c>
      <c r="G14" s="1828">
        <f>C14/B14</f>
        <v>0.55861202864373571</v>
      </c>
    </row>
    <row r="15" spans="1:16" s="151" customFormat="1" ht="20.25" customHeight="1">
      <c r="A15" s="2051" t="s">
        <v>713</v>
      </c>
      <c r="B15" s="2051"/>
      <c r="C15" s="2051"/>
      <c r="D15" s="2051"/>
      <c r="E15" s="2051"/>
      <c r="F15" s="2051"/>
      <c r="G15" s="2051"/>
    </row>
    <row r="30" spans="15:15">
      <c r="O30" s="77" t="s">
        <v>31</v>
      </c>
    </row>
  </sheetData>
  <mergeCells count="2">
    <mergeCell ref="A1:N1"/>
    <mergeCell ref="A15:G15"/>
  </mergeCells>
  <printOptions horizontalCentered="1" verticalCentered="1"/>
  <pageMargins left="0.39370078740157483" right="0.39370078740157483" top="0.23622047244094491" bottom="0.23622047244094491" header="0.31496062992125984" footer="0.31496062992125984"/>
  <pageSetup scale="46" orientation="landscape"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8">
    <tabColor theme="9" tint="-0.249977111117893"/>
    <pageSetUpPr fitToPage="1"/>
  </sheetPr>
  <dimension ref="A1:N37"/>
  <sheetViews>
    <sheetView showGridLines="0" view="pageBreakPreview" zoomScale="85" zoomScaleNormal="70" zoomScaleSheetLayoutView="85" workbookViewId="0">
      <selection activeCell="A3" sqref="A3"/>
    </sheetView>
  </sheetViews>
  <sheetFormatPr baseColWidth="10" defaultColWidth="11.42578125" defaultRowHeight="15"/>
  <cols>
    <col min="1" max="1" width="12.140625" style="77" customWidth="1"/>
    <col min="2" max="2" width="12.7109375" style="1282" customWidth="1"/>
    <col min="3" max="3" width="16.140625" style="1282" customWidth="1"/>
    <col min="4" max="5" width="15.85546875" style="1282" customWidth="1"/>
    <col min="6" max="6" width="11.85546875" style="77" customWidth="1"/>
    <col min="7" max="7" width="14.5703125" style="77" customWidth="1"/>
    <col min="8" max="8" width="13.5703125" style="77" customWidth="1"/>
    <col min="9" max="9" width="15.28515625" style="77" customWidth="1"/>
    <col min="10" max="10" width="12.5703125" style="77" customWidth="1"/>
    <col min="11" max="11" width="11.42578125" style="77" customWidth="1"/>
    <col min="12" max="12" width="17.140625" style="77" customWidth="1"/>
    <col min="13" max="13" width="16" style="77" customWidth="1"/>
    <col min="14" max="14" width="9.85546875" style="77" customWidth="1"/>
    <col min="15" max="15" width="20" style="77" customWidth="1"/>
    <col min="16" max="16384" width="11.42578125" style="77"/>
  </cols>
  <sheetData>
    <row r="1" spans="1:14" s="94" customFormat="1" ht="69.75" customHeight="1">
      <c r="A1" s="2052"/>
      <c r="B1" s="2052"/>
      <c r="C1" s="2052"/>
      <c r="D1" s="2052"/>
      <c r="E1" s="2052"/>
      <c r="F1" s="2052"/>
      <c r="G1" s="2052"/>
      <c r="H1" s="2052"/>
      <c r="I1" s="2052"/>
      <c r="J1" s="2052"/>
      <c r="K1" s="2052"/>
      <c r="L1" s="2052"/>
      <c r="M1" s="2052"/>
      <c r="N1" s="2052"/>
    </row>
    <row r="2" spans="1:14" s="39" customFormat="1" ht="6" customHeight="1">
      <c r="A2" s="188"/>
      <c r="B2" s="188"/>
      <c r="C2" s="188"/>
      <c r="D2" s="188"/>
      <c r="E2" s="188"/>
      <c r="F2" s="188"/>
      <c r="G2" s="188"/>
      <c r="H2" s="188"/>
      <c r="I2" s="188"/>
      <c r="J2" s="188"/>
      <c r="K2" s="188"/>
      <c r="L2" s="188"/>
    </row>
    <row r="3" spans="1:14" ht="39.75" customHeight="1">
      <c r="A3" s="1815" t="s">
        <v>237</v>
      </c>
      <c r="B3" s="1812" t="s">
        <v>530</v>
      </c>
      <c r="C3" s="1812" t="s">
        <v>531</v>
      </c>
      <c r="D3" s="1812" t="s">
        <v>150</v>
      </c>
      <c r="E3" s="1813" t="s">
        <v>762</v>
      </c>
    </row>
    <row r="4" spans="1:14" ht="15" customHeight="1">
      <c r="A4" s="1814" t="s">
        <v>576</v>
      </c>
      <c r="B4" s="1717">
        <v>1627454</v>
      </c>
      <c r="C4" s="1717">
        <v>1204555</v>
      </c>
      <c r="D4" s="1718">
        <f t="shared" ref="D4:D16" si="0">B4+C4</f>
        <v>2832009</v>
      </c>
      <c r="E4" s="1719">
        <f t="shared" ref="E4:E16" si="1">C4/B4</f>
        <v>0.74014687972747617</v>
      </c>
    </row>
    <row r="5" spans="1:14" ht="15" customHeight="1">
      <c r="A5" s="360" t="s">
        <v>574</v>
      </c>
      <c r="B5" s="1432">
        <v>1795214</v>
      </c>
      <c r="C5" s="1432">
        <v>1220432</v>
      </c>
      <c r="D5" s="1433">
        <f t="shared" si="0"/>
        <v>3015646</v>
      </c>
      <c r="E5" s="1434">
        <f t="shared" si="1"/>
        <v>0.67982535786819842</v>
      </c>
    </row>
    <row r="6" spans="1:14" ht="15" customHeight="1">
      <c r="A6" s="360" t="s">
        <v>575</v>
      </c>
      <c r="B6" s="1432">
        <v>1786117</v>
      </c>
      <c r="C6" s="1432">
        <v>1214864</v>
      </c>
      <c r="D6" s="1433">
        <f t="shared" si="0"/>
        <v>3000981</v>
      </c>
      <c r="E6" s="1434">
        <f t="shared" si="1"/>
        <v>0.68017044796057591</v>
      </c>
    </row>
    <row r="7" spans="1:14" ht="15" customHeight="1">
      <c r="A7" s="360" t="s">
        <v>711</v>
      </c>
      <c r="B7" s="1432">
        <v>1782070</v>
      </c>
      <c r="C7" s="1432">
        <v>1219963</v>
      </c>
      <c r="D7" s="1433">
        <f t="shared" si="0"/>
        <v>3002033</v>
      </c>
      <c r="E7" s="1434">
        <f t="shared" si="1"/>
        <v>0.68457636344251349</v>
      </c>
    </row>
    <row r="8" spans="1:14" ht="15" customHeight="1">
      <c r="A8" s="360" t="s">
        <v>732</v>
      </c>
      <c r="B8" s="1432">
        <v>1806581</v>
      </c>
      <c r="C8" s="1432">
        <v>1225984</v>
      </c>
      <c r="D8" s="1433">
        <f t="shared" si="0"/>
        <v>3032565</v>
      </c>
      <c r="E8" s="1434">
        <f t="shared" si="1"/>
        <v>0.67862110804885034</v>
      </c>
    </row>
    <row r="9" spans="1:14" ht="15" customHeight="1">
      <c r="A9" s="360" t="s">
        <v>738</v>
      </c>
      <c r="B9" s="1432">
        <v>1811780</v>
      </c>
      <c r="C9" s="1432">
        <v>1221857</v>
      </c>
      <c r="D9" s="1433">
        <f t="shared" si="0"/>
        <v>3033637</v>
      </c>
      <c r="E9" s="1434">
        <f t="shared" si="1"/>
        <v>0.67439589795670551</v>
      </c>
    </row>
    <row r="10" spans="1:14" ht="15" customHeight="1">
      <c r="A10" s="360" t="s">
        <v>746</v>
      </c>
      <c r="B10" s="1432">
        <v>1806574</v>
      </c>
      <c r="C10" s="1432">
        <v>1211157</v>
      </c>
      <c r="D10" s="1433">
        <f t="shared" si="0"/>
        <v>3017731</v>
      </c>
      <c r="E10" s="1434">
        <f t="shared" si="1"/>
        <v>0.67041648999708836</v>
      </c>
    </row>
    <row r="11" spans="1:14" ht="15" customHeight="1">
      <c r="A11" s="360" t="s">
        <v>760</v>
      </c>
      <c r="B11" s="1432">
        <v>1832898</v>
      </c>
      <c r="C11" s="1432">
        <v>1210455</v>
      </c>
      <c r="D11" s="1433">
        <f t="shared" si="0"/>
        <v>3043353</v>
      </c>
      <c r="E11" s="1434">
        <f t="shared" si="1"/>
        <v>0.66040499798679464</v>
      </c>
    </row>
    <row r="12" spans="1:14" ht="15" customHeight="1">
      <c r="A12" s="360" t="s">
        <v>769</v>
      </c>
      <c r="B12" s="1432">
        <v>1847595</v>
      </c>
      <c r="C12" s="1432">
        <v>1215547</v>
      </c>
      <c r="D12" s="1433">
        <f t="shared" si="0"/>
        <v>3063142</v>
      </c>
      <c r="E12" s="1434">
        <f t="shared" si="1"/>
        <v>0.65790771245862867</v>
      </c>
    </row>
    <row r="13" spans="1:14" ht="15" customHeight="1">
      <c r="A13" s="360" t="s">
        <v>779</v>
      </c>
      <c r="B13" s="1432">
        <v>1855392</v>
      </c>
      <c r="C13" s="1432">
        <v>1220552</v>
      </c>
      <c r="D13" s="1433">
        <f t="shared" si="0"/>
        <v>3075944</v>
      </c>
      <c r="E13" s="1434">
        <f t="shared" si="1"/>
        <v>0.65784049947396561</v>
      </c>
    </row>
    <row r="14" spans="1:14" ht="15" customHeight="1">
      <c r="A14" s="360" t="s">
        <v>783</v>
      </c>
      <c r="B14" s="1432">
        <v>1966061</v>
      </c>
      <c r="C14" s="1432">
        <v>1109948</v>
      </c>
      <c r="D14" s="1433">
        <f t="shared" si="0"/>
        <v>3076009</v>
      </c>
      <c r="E14" s="1434">
        <f t="shared" si="1"/>
        <v>0.56455420254000255</v>
      </c>
    </row>
    <row r="15" spans="1:14" s="1777" customFormat="1" ht="15" customHeight="1">
      <c r="A15" s="360" t="s">
        <v>970</v>
      </c>
      <c r="B15" s="1432">
        <v>1962747</v>
      </c>
      <c r="C15" s="1432">
        <v>1118089</v>
      </c>
      <c r="D15" s="1433">
        <f t="shared" ref="D15" si="2">B15+C15</f>
        <v>3080836</v>
      </c>
      <c r="E15" s="1434">
        <f t="shared" ref="E15" si="3">C15/B15</f>
        <v>0.569655182252221</v>
      </c>
    </row>
    <row r="16" spans="1:14" ht="15" customHeight="1">
      <c r="A16" s="369" t="s">
        <v>1002</v>
      </c>
      <c r="B16" s="1568">
        <v>1993874</v>
      </c>
      <c r="C16" s="1568">
        <v>1113802</v>
      </c>
      <c r="D16" s="1569">
        <f t="shared" si="0"/>
        <v>3107676</v>
      </c>
      <c r="E16" s="1435">
        <f t="shared" si="1"/>
        <v>0.55861202864373571</v>
      </c>
    </row>
    <row r="36" ht="38.25" customHeight="1"/>
    <row r="37" ht="59.25" customHeight="1"/>
  </sheetData>
  <mergeCells count="1">
    <mergeCell ref="A1:N1"/>
  </mergeCells>
  <printOptions horizontalCentered="1" verticalCentered="1"/>
  <pageMargins left="0.4" right="0.4" top="0.25" bottom="0.25" header="0.31496062992126" footer="0.31496062992126"/>
  <pageSetup scale="67" orientation="landscape"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9">
    <tabColor theme="9" tint="-0.249977111117893"/>
    <pageSetUpPr fitToPage="1"/>
  </sheetPr>
  <dimension ref="A1:P27"/>
  <sheetViews>
    <sheetView showGridLines="0" view="pageBreakPreview" zoomScale="85" zoomScaleNormal="100" zoomScaleSheetLayoutView="85" workbookViewId="0">
      <pane ySplit="1" topLeftCell="A2" activePane="bottomLeft" state="frozen"/>
      <selection activeCell="M22" sqref="M22"/>
      <selection pane="bottomLeft" activeCell="D14" sqref="D14"/>
    </sheetView>
  </sheetViews>
  <sheetFormatPr baseColWidth="10" defaultColWidth="11.42578125" defaultRowHeight="15"/>
  <cols>
    <col min="1" max="1" width="11" style="77" customWidth="1"/>
    <col min="2" max="2" width="12.140625" style="77" customWidth="1"/>
    <col min="3" max="3" width="17" style="77" customWidth="1"/>
    <col min="4" max="4" width="14.5703125" style="77" customWidth="1"/>
    <col min="5" max="5" width="11.28515625" style="77" bestFit="1" customWidth="1"/>
    <col min="6" max="6" width="12.7109375" style="77" bestFit="1" customWidth="1"/>
    <col min="7" max="7" width="13.7109375" style="77" bestFit="1" customWidth="1"/>
    <col min="8" max="8" width="13.5703125" style="77" bestFit="1" customWidth="1"/>
    <col min="9" max="9" width="13.7109375" style="77" bestFit="1" customWidth="1"/>
    <col min="10" max="10" width="10.28515625" style="77" customWidth="1"/>
    <col min="11" max="11" width="11.140625" style="77" customWidth="1"/>
    <col min="12" max="12" width="17.42578125" style="77" customWidth="1"/>
    <col min="13" max="13" width="20.85546875" style="77" customWidth="1"/>
    <col min="14" max="14" width="25.7109375" style="77" customWidth="1"/>
    <col min="15" max="15" width="14.28515625" style="77" customWidth="1"/>
    <col min="16" max="16384" width="11.42578125" style="77"/>
  </cols>
  <sheetData>
    <row r="1" spans="1:16" ht="71.25" customHeight="1">
      <c r="A1" s="2050"/>
      <c r="B1" s="2050"/>
      <c r="C1" s="2050"/>
      <c r="D1" s="2050"/>
      <c r="E1" s="2050"/>
      <c r="F1" s="2050"/>
      <c r="G1" s="2050"/>
      <c r="H1" s="2050"/>
      <c r="I1" s="2050"/>
      <c r="J1" s="2050"/>
      <c r="K1" s="2050"/>
      <c r="L1" s="2050"/>
      <c r="M1" s="2050"/>
      <c r="N1" s="2050"/>
      <c r="P1" s="900"/>
    </row>
    <row r="2" spans="1:16" s="39" customFormat="1" ht="3" customHeight="1">
      <c r="A2" s="188"/>
      <c r="B2" s="188"/>
      <c r="C2" s="188"/>
      <c r="D2" s="188"/>
      <c r="E2" s="188"/>
      <c r="F2" s="188"/>
      <c r="G2" s="188"/>
      <c r="H2" s="188"/>
      <c r="I2" s="188"/>
      <c r="J2" s="188"/>
      <c r="K2" s="188"/>
      <c r="L2" s="188"/>
      <c r="M2" s="188"/>
      <c r="N2" s="188"/>
      <c r="P2" s="187"/>
    </row>
    <row r="3" spans="1:16" ht="46.5" customHeight="1">
      <c r="A3" s="366" t="s">
        <v>25</v>
      </c>
      <c r="B3" s="938" t="s">
        <v>669</v>
      </c>
      <c r="C3" s="906" t="s">
        <v>670</v>
      </c>
      <c r="D3" s="906" t="s">
        <v>671</v>
      </c>
      <c r="E3" s="907" t="s">
        <v>761</v>
      </c>
    </row>
    <row r="4" spans="1:16">
      <c r="A4" s="936" t="s">
        <v>26</v>
      </c>
      <c r="B4" s="914">
        <v>0</v>
      </c>
      <c r="C4" s="908">
        <v>0</v>
      </c>
      <c r="D4" s="909">
        <v>266531</v>
      </c>
      <c r="E4" s="910"/>
    </row>
    <row r="5" spans="1:16">
      <c r="A5" s="936" t="s">
        <v>27</v>
      </c>
      <c r="B5" s="914">
        <v>254831</v>
      </c>
      <c r="C5" s="908">
        <v>258585</v>
      </c>
      <c r="D5" s="909">
        <f t="shared" ref="D5:D12" si="0">B5+C5</f>
        <v>513416</v>
      </c>
      <c r="E5" s="910">
        <f>C5/B5</f>
        <v>1.0147313317453528</v>
      </c>
    </row>
    <row r="6" spans="1:16">
      <c r="A6" s="936" t="s">
        <v>28</v>
      </c>
      <c r="B6" s="914">
        <v>473647</v>
      </c>
      <c r="C6" s="908">
        <v>608289</v>
      </c>
      <c r="D6" s="909">
        <f t="shared" si="0"/>
        <v>1081936</v>
      </c>
      <c r="E6" s="910">
        <f t="shared" ref="E6:E12" si="1">C6/B6</f>
        <v>1.2842665529392143</v>
      </c>
    </row>
    <row r="7" spans="1:16">
      <c r="A7" s="936" t="s">
        <v>29</v>
      </c>
      <c r="B7" s="914">
        <v>489949</v>
      </c>
      <c r="C7" s="908">
        <v>734694</v>
      </c>
      <c r="D7" s="909">
        <f t="shared" si="0"/>
        <v>1224643</v>
      </c>
      <c r="E7" s="910">
        <f t="shared" si="1"/>
        <v>1.4995315838995487</v>
      </c>
      <c r="O7" s="18"/>
    </row>
    <row r="8" spans="1:16">
      <c r="A8" s="936" t="s">
        <v>30</v>
      </c>
      <c r="B8" s="914">
        <v>575190</v>
      </c>
      <c r="C8" s="908">
        <v>770976</v>
      </c>
      <c r="D8" s="909">
        <f t="shared" si="0"/>
        <v>1346166</v>
      </c>
      <c r="E8" s="910">
        <f t="shared" si="1"/>
        <v>1.3403849162885308</v>
      </c>
    </row>
    <row r="9" spans="1:16" ht="15" customHeight="1">
      <c r="A9" s="936" t="s">
        <v>191</v>
      </c>
      <c r="B9" s="914">
        <v>880620</v>
      </c>
      <c r="C9" s="908">
        <v>967213</v>
      </c>
      <c r="D9" s="909">
        <f t="shared" si="0"/>
        <v>1847833</v>
      </c>
      <c r="E9" s="910">
        <f t="shared" si="1"/>
        <v>1.098331857100679</v>
      </c>
    </row>
    <row r="10" spans="1:16">
      <c r="A10" s="936" t="s">
        <v>231</v>
      </c>
      <c r="B10" s="914">
        <v>885431</v>
      </c>
      <c r="C10" s="908">
        <v>1110904</v>
      </c>
      <c r="D10" s="909">
        <f t="shared" si="0"/>
        <v>1996335</v>
      </c>
      <c r="E10" s="910">
        <f t="shared" si="1"/>
        <v>1.2546477365260533</v>
      </c>
    </row>
    <row r="11" spans="1:16">
      <c r="A11" s="936" t="s">
        <v>481</v>
      </c>
      <c r="B11" s="914">
        <v>1170009</v>
      </c>
      <c r="C11" s="908">
        <v>1124347</v>
      </c>
      <c r="D11" s="909">
        <f t="shared" si="0"/>
        <v>2294356</v>
      </c>
      <c r="E11" s="910">
        <f t="shared" si="1"/>
        <v>0.96097294978072823</v>
      </c>
    </row>
    <row r="12" spans="1:16">
      <c r="A12" s="936" t="s">
        <v>557</v>
      </c>
      <c r="B12" s="914">
        <v>1467184</v>
      </c>
      <c r="C12" s="908">
        <v>1179715</v>
      </c>
      <c r="D12" s="909">
        <f t="shared" si="0"/>
        <v>2646899</v>
      </c>
      <c r="E12" s="910">
        <f t="shared" si="1"/>
        <v>0.80406751982028157</v>
      </c>
    </row>
    <row r="13" spans="1:16">
      <c r="A13" s="936" t="s">
        <v>570</v>
      </c>
      <c r="B13" s="914">
        <v>1795214</v>
      </c>
      <c r="C13" s="908">
        <v>1220432</v>
      </c>
      <c r="D13" s="909">
        <f>B13+C13</f>
        <v>3015646</v>
      </c>
      <c r="E13" s="910">
        <f>C13/B13</f>
        <v>0.67982535786819842</v>
      </c>
    </row>
    <row r="14" spans="1:16">
      <c r="A14" s="937" t="s">
        <v>1003</v>
      </c>
      <c r="B14" s="915">
        <v>1962747</v>
      </c>
      <c r="C14" s="911">
        <f>1118089+8836</f>
        <v>1126925</v>
      </c>
      <c r="D14" s="912">
        <f>B14+C14</f>
        <v>3089672</v>
      </c>
      <c r="E14" s="913">
        <f>C14/B14</f>
        <v>0.57415703603164336</v>
      </c>
    </row>
    <row r="15" spans="1:16" ht="16.5" customHeight="1">
      <c r="A15" s="2053" t="s">
        <v>714</v>
      </c>
      <c r="B15" s="2053"/>
      <c r="C15" s="2053"/>
      <c r="D15" s="2053"/>
      <c r="E15" s="2053"/>
    </row>
    <row r="27" spans="15:15">
      <c r="O27" s="77" t="s">
        <v>31</v>
      </c>
    </row>
  </sheetData>
  <mergeCells count="2">
    <mergeCell ref="A1:N1"/>
    <mergeCell ref="A15:E15"/>
  </mergeCells>
  <printOptions horizontalCentered="1" verticalCentered="1"/>
  <pageMargins left="0.39370078740157483" right="0.39370078740157483" top="0.23622047244094491" bottom="0.23622047244094491" header="0.31496062992125984" footer="0.31496062992125984"/>
  <pageSetup scale="63" orientation="landscape"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0">
    <tabColor theme="9" tint="-0.249977111117893"/>
    <pageSetUpPr fitToPage="1"/>
  </sheetPr>
  <dimension ref="A1:N16"/>
  <sheetViews>
    <sheetView showGridLines="0" view="pageBreakPreview" zoomScale="70" zoomScaleNormal="70" zoomScaleSheetLayoutView="70" workbookViewId="0">
      <selection activeCell="I11" sqref="I11"/>
    </sheetView>
  </sheetViews>
  <sheetFormatPr baseColWidth="10" defaultColWidth="11.42578125" defaultRowHeight="15"/>
  <cols>
    <col min="1" max="1" width="11.42578125" style="77" customWidth="1"/>
    <col min="2" max="2" width="16.7109375" style="77" customWidth="1"/>
    <col min="3" max="3" width="21.42578125" style="77" customWidth="1"/>
    <col min="4" max="4" width="18.85546875" style="77" customWidth="1"/>
    <col min="5" max="5" width="17.42578125" style="77" customWidth="1"/>
    <col min="6" max="6" width="11.85546875" style="77" customWidth="1"/>
    <col min="7" max="7" width="14.5703125" style="77" customWidth="1"/>
    <col min="8" max="8" width="13.5703125" style="77" customWidth="1"/>
    <col min="9" max="9" width="15.28515625" style="77" customWidth="1"/>
    <col min="10" max="10" width="20" style="77" customWidth="1"/>
    <col min="11" max="11" width="23.85546875" style="77" customWidth="1"/>
    <col min="12" max="12" width="14.140625" style="77" customWidth="1"/>
    <col min="13" max="13" width="11.42578125" style="77"/>
    <col min="14" max="14" width="4.5703125" style="77" customWidth="1"/>
    <col min="15" max="15" width="20" style="77" customWidth="1"/>
    <col min="16" max="16384" width="11.42578125" style="77"/>
  </cols>
  <sheetData>
    <row r="1" spans="1:14" ht="67.5" customHeight="1">
      <c r="A1" s="2052"/>
      <c r="B1" s="2052"/>
      <c r="C1" s="2052"/>
      <c r="D1" s="2052"/>
      <c r="E1" s="2052"/>
      <c r="F1" s="2052"/>
      <c r="G1" s="2052"/>
      <c r="H1" s="2052"/>
      <c r="I1" s="2052"/>
      <c r="J1" s="2052"/>
      <c r="K1" s="2052"/>
      <c r="L1" s="2052"/>
      <c r="M1" s="2052"/>
      <c r="N1" s="2052"/>
    </row>
    <row r="2" spans="1:14" s="39" customFormat="1" ht="3" customHeight="1">
      <c r="A2" s="188"/>
      <c r="B2" s="188"/>
      <c r="C2" s="188"/>
      <c r="D2" s="188"/>
      <c r="E2" s="188"/>
      <c r="F2" s="188"/>
      <c r="G2" s="188"/>
      <c r="H2" s="188"/>
      <c r="I2" s="188"/>
      <c r="J2" s="188"/>
      <c r="K2" s="188"/>
      <c r="L2" s="188"/>
    </row>
    <row r="3" spans="1:14" s="135" customFormat="1" ht="54" customHeight="1">
      <c r="A3" s="1720" t="s">
        <v>237</v>
      </c>
      <c r="B3" s="359" t="s">
        <v>669</v>
      </c>
      <c r="C3" s="359" t="s">
        <v>670</v>
      </c>
      <c r="D3" s="1721" t="s">
        <v>671</v>
      </c>
      <c r="E3" s="1431" t="s">
        <v>761</v>
      </c>
    </row>
    <row r="4" spans="1:14" ht="15.75">
      <c r="A4" s="360" t="s">
        <v>576</v>
      </c>
      <c r="B4" s="821">
        <v>1636967</v>
      </c>
      <c r="C4" s="1664">
        <v>1211292</v>
      </c>
      <c r="D4" s="1722">
        <f t="shared" ref="D4:D16" si="0">+C4+B4</f>
        <v>2848259</v>
      </c>
      <c r="E4" s="1436">
        <f t="shared" ref="E4:E16" si="1">C4/B4</f>
        <v>0.73996115987677213</v>
      </c>
    </row>
    <row r="5" spans="1:14" ht="15.75">
      <c r="A5" s="360" t="s">
        <v>574</v>
      </c>
      <c r="B5" s="821">
        <v>1795214</v>
      </c>
      <c r="C5" s="1664">
        <v>1220432</v>
      </c>
      <c r="D5" s="1722">
        <f t="shared" si="0"/>
        <v>3015646</v>
      </c>
      <c r="E5" s="1436">
        <f t="shared" si="1"/>
        <v>0.67982535786819842</v>
      </c>
    </row>
    <row r="6" spans="1:14" ht="15.75">
      <c r="A6" s="360" t="s">
        <v>575</v>
      </c>
      <c r="B6" s="821">
        <v>1795214</v>
      </c>
      <c r="C6" s="1664">
        <v>1220432</v>
      </c>
      <c r="D6" s="1722">
        <f t="shared" si="0"/>
        <v>3015646</v>
      </c>
      <c r="E6" s="1436">
        <f t="shared" si="1"/>
        <v>0.67982535786819842</v>
      </c>
    </row>
    <row r="7" spans="1:14" ht="15" customHeight="1">
      <c r="A7" s="360" t="s">
        <v>711</v>
      </c>
      <c r="B7" s="821">
        <v>1786117</v>
      </c>
      <c r="C7" s="1664">
        <v>1214864</v>
      </c>
      <c r="D7" s="1722">
        <f t="shared" si="0"/>
        <v>3000981</v>
      </c>
      <c r="E7" s="1436">
        <f t="shared" si="1"/>
        <v>0.68017044796057591</v>
      </c>
    </row>
    <row r="8" spans="1:14" ht="15" customHeight="1">
      <c r="A8" s="360" t="s">
        <v>732</v>
      </c>
      <c r="B8" s="821">
        <v>1782070</v>
      </c>
      <c r="C8" s="1664">
        <v>1219963</v>
      </c>
      <c r="D8" s="1722">
        <f t="shared" si="0"/>
        <v>3002033</v>
      </c>
      <c r="E8" s="1436">
        <f t="shared" si="1"/>
        <v>0.68457636344251349</v>
      </c>
    </row>
    <row r="9" spans="1:14" ht="15" customHeight="1">
      <c r="A9" s="360" t="s">
        <v>738</v>
      </c>
      <c r="B9" s="821">
        <v>1806581</v>
      </c>
      <c r="C9" s="1664">
        <v>1225984</v>
      </c>
      <c r="D9" s="1722">
        <f t="shared" si="0"/>
        <v>3032565</v>
      </c>
      <c r="E9" s="1436">
        <f t="shared" si="1"/>
        <v>0.67862110804885034</v>
      </c>
    </row>
    <row r="10" spans="1:14" ht="15" customHeight="1">
      <c r="A10" s="360" t="s">
        <v>746</v>
      </c>
      <c r="B10" s="821">
        <v>1811780</v>
      </c>
      <c r="C10" s="1664">
        <v>1221857</v>
      </c>
      <c r="D10" s="1722">
        <f t="shared" si="0"/>
        <v>3033637</v>
      </c>
      <c r="E10" s="1436">
        <f t="shared" si="1"/>
        <v>0.67439589795670551</v>
      </c>
    </row>
    <row r="11" spans="1:14" ht="15" customHeight="1">
      <c r="A11" s="360" t="s">
        <v>760</v>
      </c>
      <c r="B11" s="821">
        <v>1823787</v>
      </c>
      <c r="C11" s="1664">
        <v>1213761</v>
      </c>
      <c r="D11" s="1722">
        <f t="shared" si="0"/>
        <v>3037548</v>
      </c>
      <c r="E11" s="1436">
        <f t="shared" si="1"/>
        <v>0.66551686134400567</v>
      </c>
    </row>
    <row r="12" spans="1:14" ht="15" customHeight="1">
      <c r="A12" s="360" t="s">
        <v>769</v>
      </c>
      <c r="B12" s="821">
        <v>1832898</v>
      </c>
      <c r="C12" s="1664">
        <v>1211174</v>
      </c>
      <c r="D12" s="1722">
        <v>3044072</v>
      </c>
      <c r="E12" s="1436">
        <f t="shared" si="1"/>
        <v>0.66079727295245017</v>
      </c>
    </row>
    <row r="13" spans="1:14" ht="15" customHeight="1">
      <c r="A13" s="360" t="s">
        <v>779</v>
      </c>
      <c r="B13" s="821">
        <v>1847595</v>
      </c>
      <c r="C13" s="1664">
        <v>1215547</v>
      </c>
      <c r="D13" s="1722">
        <f t="shared" ref="D13" si="2">+C13+B13</f>
        <v>3063142</v>
      </c>
      <c r="E13" s="1436">
        <f t="shared" si="1"/>
        <v>0.65790771245862867</v>
      </c>
    </row>
    <row r="14" spans="1:14" ht="15" customHeight="1">
      <c r="A14" s="360" t="s">
        <v>783</v>
      </c>
      <c r="B14" s="821">
        <v>1855392</v>
      </c>
      <c r="C14" s="1664">
        <v>1222537</v>
      </c>
      <c r="D14" s="1722">
        <v>3077929</v>
      </c>
      <c r="E14" s="1436">
        <f t="shared" si="1"/>
        <v>0.6589103542539797</v>
      </c>
    </row>
    <row r="15" spans="1:14" s="1777" customFormat="1" ht="15" customHeight="1">
      <c r="A15" s="360" t="s">
        <v>970</v>
      </c>
      <c r="B15" s="821">
        <v>1966061</v>
      </c>
      <c r="C15" s="1664">
        <v>1109948</v>
      </c>
      <c r="D15" s="1722">
        <v>3076009</v>
      </c>
      <c r="E15" s="1436">
        <f t="shared" si="1"/>
        <v>0.56455420254000255</v>
      </c>
    </row>
    <row r="16" spans="1:14" ht="15.75">
      <c r="A16" s="369" t="s">
        <v>1002</v>
      </c>
      <c r="B16" s="1303">
        <v>1962747</v>
      </c>
      <c r="C16" s="1665">
        <f>1118089+8836</f>
        <v>1126925</v>
      </c>
      <c r="D16" s="1723">
        <f t="shared" si="0"/>
        <v>3089672</v>
      </c>
      <c r="E16" s="1437">
        <f t="shared" si="1"/>
        <v>0.57415703603164336</v>
      </c>
    </row>
  </sheetData>
  <mergeCells count="1">
    <mergeCell ref="A1:N1"/>
  </mergeCells>
  <printOptions horizontalCentered="1" verticalCentered="1"/>
  <pageMargins left="0.4" right="0.4" top="0.25" bottom="0.25" header="0.31496062992126" footer="0.31496062992126"/>
  <pageSetup scale="60" orientation="landscape"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2">
    <tabColor theme="9" tint="-0.249977111117893"/>
    <pageSetUpPr fitToPage="1"/>
  </sheetPr>
  <dimension ref="A1:W95"/>
  <sheetViews>
    <sheetView showGridLines="0" view="pageBreakPreview" zoomScale="55" zoomScaleNormal="100" zoomScaleSheetLayoutView="55" zoomScalePageLayoutView="62" workbookViewId="0">
      <selection activeCell="P54" sqref="P54"/>
    </sheetView>
  </sheetViews>
  <sheetFormatPr baseColWidth="10" defaultColWidth="11.42578125" defaultRowHeight="15.75"/>
  <cols>
    <col min="1" max="1" width="14.140625" style="77" customWidth="1"/>
    <col min="2" max="2" width="15" style="77" customWidth="1"/>
    <col min="3" max="3" width="20.7109375" style="77" customWidth="1"/>
    <col min="4" max="4" width="22.5703125" style="77" customWidth="1"/>
    <col min="5" max="5" width="19.140625" style="77" bestFit="1" customWidth="1"/>
    <col min="6" max="6" width="23.140625" style="77" customWidth="1"/>
    <col min="7" max="7" width="22.140625" style="77" customWidth="1"/>
    <col min="8" max="8" width="22.28515625" style="77" bestFit="1" customWidth="1"/>
    <col min="9" max="9" width="14.85546875" style="77" customWidth="1"/>
    <col min="10" max="10" width="16.140625" style="77" customWidth="1"/>
    <col min="11" max="13" width="10.5703125" style="77" customWidth="1"/>
    <col min="14" max="14" width="10.28515625" style="77" customWidth="1"/>
    <col min="15" max="15" width="5.7109375" style="135" customWidth="1"/>
    <col min="16" max="16" width="14" style="135" customWidth="1"/>
    <col min="17" max="19" width="11.42578125" style="77"/>
    <col min="20" max="20" width="9.5703125" style="77" customWidth="1"/>
    <col min="21" max="22" width="11.42578125" style="77"/>
    <col min="23" max="23" width="18.7109375" style="77" bestFit="1" customWidth="1"/>
    <col min="24" max="16384" width="11.42578125" style="77"/>
  </cols>
  <sheetData>
    <row r="1" spans="1:16" ht="109.5" customHeight="1">
      <c r="A1" s="2037"/>
      <c r="B1" s="2037"/>
      <c r="C1" s="2037"/>
      <c r="D1" s="2037"/>
      <c r="E1" s="2037"/>
      <c r="F1" s="2037"/>
      <c r="G1" s="2037"/>
      <c r="H1" s="2037"/>
      <c r="I1" s="2037"/>
      <c r="J1" s="2037"/>
      <c r="K1" s="2037"/>
      <c r="L1" s="2037"/>
      <c r="M1" s="2037"/>
      <c r="N1" s="2037"/>
    </row>
    <row r="2" spans="1:16" ht="9" customHeight="1">
      <c r="A2" s="921"/>
      <c r="B2" s="921"/>
      <c r="C2" s="921"/>
      <c r="D2" s="921"/>
      <c r="E2" s="921"/>
      <c r="F2" s="921"/>
      <c r="G2" s="921"/>
      <c r="H2" s="921"/>
      <c r="I2" s="921"/>
      <c r="J2" s="921"/>
      <c r="K2" s="921"/>
      <c r="L2" s="1479"/>
      <c r="M2" s="1479"/>
      <c r="N2" s="921"/>
    </row>
    <row r="3" spans="1:16" ht="21.75" customHeight="1">
      <c r="A3" s="2060" t="s">
        <v>45</v>
      </c>
      <c r="B3" s="2054" t="s">
        <v>48</v>
      </c>
      <c r="C3" s="2055"/>
      <c r="D3" s="2056" t="s">
        <v>764</v>
      </c>
      <c r="E3" s="2055" t="s">
        <v>49</v>
      </c>
      <c r="F3" s="2055"/>
      <c r="G3" s="2056" t="s">
        <v>676</v>
      </c>
      <c r="H3" s="2058" t="s">
        <v>715</v>
      </c>
      <c r="I3" s="921"/>
      <c r="J3" s="921"/>
      <c r="K3" s="921"/>
      <c r="L3" s="1479"/>
      <c r="M3" s="1479"/>
      <c r="N3" s="921"/>
      <c r="O3" s="1456"/>
    </row>
    <row r="4" spans="1:16" s="50" customFormat="1" ht="45" customHeight="1">
      <c r="A4" s="2061"/>
      <c r="B4" s="1009" t="s">
        <v>672</v>
      </c>
      <c r="C4" s="1009" t="s">
        <v>673</v>
      </c>
      <c r="D4" s="2057"/>
      <c r="E4" s="1705" t="s">
        <v>672</v>
      </c>
      <c r="F4" s="1705" t="s">
        <v>673</v>
      </c>
      <c r="G4" s="2057"/>
      <c r="H4" s="2059"/>
      <c r="I4" s="77"/>
      <c r="J4" s="77"/>
      <c r="K4" s="77"/>
      <c r="L4" s="77"/>
      <c r="M4" s="77"/>
      <c r="N4" s="77"/>
      <c r="O4" s="219"/>
      <c r="P4" s="219"/>
    </row>
    <row r="5" spans="1:16" ht="18.75" hidden="1">
      <c r="A5" s="789">
        <v>40940</v>
      </c>
      <c r="B5" s="1501">
        <v>1190787</v>
      </c>
      <c r="C5" s="1503" t="e">
        <f>#REF!+D5</f>
        <v>#REF!</v>
      </c>
      <c r="D5" s="1724">
        <v>98742</v>
      </c>
      <c r="E5" s="1502" t="e">
        <f t="shared" ref="E5:E15" si="0">B5+C5</f>
        <v>#REF!</v>
      </c>
      <c r="F5" s="1725" t="e">
        <f t="shared" ref="F5:F23" si="1">B5/E5</f>
        <v>#REF!</v>
      </c>
      <c r="G5" s="1726"/>
      <c r="H5" s="1727"/>
    </row>
    <row r="6" spans="1:16" ht="18.75" hidden="1">
      <c r="A6" s="789">
        <v>40969</v>
      </c>
      <c r="B6" s="1501">
        <v>1205800</v>
      </c>
      <c r="C6" s="1503" t="e">
        <f>#REF!+D6</f>
        <v>#REF!</v>
      </c>
      <c r="D6" s="1724">
        <v>101573</v>
      </c>
      <c r="E6" s="1502" t="e">
        <f t="shared" si="0"/>
        <v>#REF!</v>
      </c>
      <c r="F6" s="1725" t="e">
        <f t="shared" si="1"/>
        <v>#REF!</v>
      </c>
      <c r="G6" s="1726"/>
      <c r="H6" s="1727"/>
    </row>
    <row r="7" spans="1:16" ht="18.75" hidden="1">
      <c r="A7" s="789">
        <v>41000</v>
      </c>
      <c r="B7" s="1501">
        <v>1211245</v>
      </c>
      <c r="C7" s="1503" t="e">
        <f>#REF!+D7</f>
        <v>#REF!</v>
      </c>
      <c r="D7" s="1724">
        <v>103266</v>
      </c>
      <c r="E7" s="1502" t="e">
        <f t="shared" si="0"/>
        <v>#REF!</v>
      </c>
      <c r="F7" s="1725" t="e">
        <f t="shared" si="1"/>
        <v>#REF!</v>
      </c>
      <c r="G7" s="1726"/>
      <c r="H7" s="1727"/>
    </row>
    <row r="8" spans="1:16" ht="18.75" hidden="1">
      <c r="A8" s="789">
        <v>41030</v>
      </c>
      <c r="B8" s="1501">
        <v>1214917</v>
      </c>
      <c r="C8" s="1503" t="e">
        <f>#REF!+D8</f>
        <v>#REF!</v>
      </c>
      <c r="D8" s="1724">
        <v>105374</v>
      </c>
      <c r="E8" s="1502" t="e">
        <f t="shared" si="0"/>
        <v>#REF!</v>
      </c>
      <c r="F8" s="1725" t="e">
        <f t="shared" si="1"/>
        <v>#REF!</v>
      </c>
      <c r="G8" s="1726"/>
      <c r="H8" s="1727"/>
    </row>
    <row r="9" spans="1:16" ht="18.75" hidden="1">
      <c r="A9" s="789">
        <v>41061</v>
      </c>
      <c r="B9" s="1501">
        <v>1223012</v>
      </c>
      <c r="C9" s="1503" t="e">
        <f>#REF!+D9</f>
        <v>#REF!</v>
      </c>
      <c r="D9" s="1724">
        <v>107326</v>
      </c>
      <c r="E9" s="1502" t="e">
        <f t="shared" si="0"/>
        <v>#REF!</v>
      </c>
      <c r="F9" s="1725" t="e">
        <f t="shared" si="1"/>
        <v>#REF!</v>
      </c>
      <c r="G9" s="1726"/>
      <c r="H9" s="1727"/>
    </row>
    <row r="10" spans="1:16" ht="18.75" hidden="1">
      <c r="A10" s="789">
        <v>41122</v>
      </c>
      <c r="B10" s="1501">
        <v>1221877</v>
      </c>
      <c r="C10" s="1503" t="e">
        <f>#REF!+D10</f>
        <v>#REF!</v>
      </c>
      <c r="D10" s="1724">
        <v>108545</v>
      </c>
      <c r="E10" s="1502" t="e">
        <f t="shared" si="0"/>
        <v>#REF!</v>
      </c>
      <c r="F10" s="1725" t="e">
        <f t="shared" si="1"/>
        <v>#REF!</v>
      </c>
      <c r="G10" s="1726"/>
      <c r="H10" s="1727"/>
    </row>
    <row r="11" spans="1:16" ht="18.75" hidden="1">
      <c r="A11" s="789">
        <v>41153</v>
      </c>
      <c r="B11" s="1501">
        <f>+'[2]IV.1.1.1 Afil. SFS RC Anual '!B9</f>
        <v>1242830</v>
      </c>
      <c r="C11" s="1503" t="e">
        <f>#REF!+D11</f>
        <v>#REF!</v>
      </c>
      <c r="D11" s="1724">
        <v>111375</v>
      </c>
      <c r="E11" s="1502" t="e">
        <f t="shared" si="0"/>
        <v>#REF!</v>
      </c>
      <c r="F11" s="1725" t="e">
        <f t="shared" si="1"/>
        <v>#REF!</v>
      </c>
      <c r="G11" s="1726"/>
      <c r="H11" s="1727"/>
    </row>
    <row r="12" spans="1:16" ht="18.75" hidden="1">
      <c r="A12" s="789">
        <v>41183</v>
      </c>
      <c r="B12" s="1501">
        <v>1229165</v>
      </c>
      <c r="C12" s="1503" t="e">
        <f>#REF!+D12</f>
        <v>#REF!</v>
      </c>
      <c r="D12" s="1724">
        <v>111078</v>
      </c>
      <c r="E12" s="1502" t="e">
        <f t="shared" si="0"/>
        <v>#REF!</v>
      </c>
      <c r="F12" s="1725" t="e">
        <f t="shared" si="1"/>
        <v>#REF!</v>
      </c>
      <c r="G12" s="1726"/>
      <c r="H12" s="1727"/>
    </row>
    <row r="13" spans="1:16" s="134" customFormat="1" ht="18.75" hidden="1">
      <c r="A13" s="789">
        <v>41214</v>
      </c>
      <c r="B13" s="1501">
        <v>1237619</v>
      </c>
      <c r="C13" s="1503" t="e">
        <f>#REF!+D13</f>
        <v>#REF!</v>
      </c>
      <c r="D13" s="1724">
        <v>112188</v>
      </c>
      <c r="E13" s="1502" t="e">
        <f t="shared" si="0"/>
        <v>#REF!</v>
      </c>
      <c r="F13" s="1725" t="e">
        <f t="shared" si="1"/>
        <v>#REF!</v>
      </c>
      <c r="G13" s="1726"/>
      <c r="H13" s="1727"/>
      <c r="I13" s="77"/>
      <c r="J13" s="77"/>
      <c r="K13" s="77"/>
      <c r="L13" s="77"/>
      <c r="M13" s="77"/>
      <c r="N13" s="77"/>
      <c r="O13" s="214"/>
      <c r="P13" s="214"/>
    </row>
    <row r="14" spans="1:16" ht="18.75" hidden="1">
      <c r="A14" s="789">
        <v>41244</v>
      </c>
      <c r="B14" s="1501">
        <v>1242830</v>
      </c>
      <c r="C14" s="1503" t="e">
        <f>#REF!+D14</f>
        <v>#REF!</v>
      </c>
      <c r="D14" s="1724">
        <v>113103</v>
      </c>
      <c r="E14" s="1502" t="e">
        <f t="shared" si="0"/>
        <v>#REF!</v>
      </c>
      <c r="F14" s="1725" t="e">
        <f t="shared" si="1"/>
        <v>#REF!</v>
      </c>
      <c r="G14" s="1726"/>
      <c r="H14" s="1727"/>
    </row>
    <row r="15" spans="1:16" ht="18.75" hidden="1">
      <c r="A15" s="789">
        <v>41275</v>
      </c>
      <c r="B15" s="1501">
        <v>1240536</v>
      </c>
      <c r="C15" s="1503" t="e">
        <f>#REF!+D15</f>
        <v>#REF!</v>
      </c>
      <c r="D15" s="1724">
        <v>113923</v>
      </c>
      <c r="E15" s="1502" t="e">
        <f t="shared" si="0"/>
        <v>#REF!</v>
      </c>
      <c r="F15" s="1725" t="e">
        <f t="shared" si="1"/>
        <v>#REF!</v>
      </c>
      <c r="G15" s="1726"/>
      <c r="H15" s="1727"/>
    </row>
    <row r="16" spans="1:16" ht="18.75" hidden="1">
      <c r="A16" s="789">
        <v>41306</v>
      </c>
      <c r="B16" s="1501">
        <v>1249039</v>
      </c>
      <c r="C16" s="1503" t="e">
        <f>#REF!+D16</f>
        <v>#REF!</v>
      </c>
      <c r="D16" s="1724">
        <v>115450</v>
      </c>
      <c r="E16" s="1502" t="e">
        <f>+B16+#REF!+D16</f>
        <v>#REF!</v>
      </c>
      <c r="F16" s="1725" t="e">
        <f t="shared" si="1"/>
        <v>#REF!</v>
      </c>
      <c r="G16" s="1726"/>
      <c r="H16" s="1727"/>
    </row>
    <row r="17" spans="1:19" ht="18.75" hidden="1">
      <c r="A17" s="789">
        <v>41334</v>
      </c>
      <c r="B17" s="1501">
        <v>1260455</v>
      </c>
      <c r="C17" s="1503" t="e">
        <f>#REF!+D17</f>
        <v>#REF!</v>
      </c>
      <c r="D17" s="1724">
        <v>118102</v>
      </c>
      <c r="E17" s="1502" t="e">
        <f>+B17+#REF!+D17</f>
        <v>#REF!</v>
      </c>
      <c r="F17" s="1725" t="e">
        <f t="shared" si="1"/>
        <v>#REF!</v>
      </c>
      <c r="G17" s="1726"/>
      <c r="H17" s="1727"/>
    </row>
    <row r="18" spans="1:19" ht="18.75" hidden="1" customHeight="1">
      <c r="A18" s="789">
        <v>41365</v>
      </c>
      <c r="B18" s="1501">
        <v>1264822</v>
      </c>
      <c r="C18" s="1503" t="e">
        <f>#REF!+D18</f>
        <v>#REF!</v>
      </c>
      <c r="D18" s="1724">
        <v>119727</v>
      </c>
      <c r="E18" s="1502" t="e">
        <f>+B18+#REF!+D18</f>
        <v>#REF!</v>
      </c>
      <c r="F18" s="1725" t="e">
        <f t="shared" si="1"/>
        <v>#REF!</v>
      </c>
      <c r="G18" s="1726"/>
      <c r="H18" s="1727"/>
    </row>
    <row r="19" spans="1:19" ht="18.75" hidden="1">
      <c r="A19" s="789">
        <v>41395</v>
      </c>
      <c r="B19" s="1501">
        <v>1277798</v>
      </c>
      <c r="C19" s="1503" t="e">
        <f>#REF!+D19</f>
        <v>#REF!</v>
      </c>
      <c r="D19" s="1724">
        <v>122271</v>
      </c>
      <c r="E19" s="1502" t="e">
        <f>+B19+#REF!+D19</f>
        <v>#REF!</v>
      </c>
      <c r="F19" s="1725" t="e">
        <f t="shared" si="1"/>
        <v>#REF!</v>
      </c>
      <c r="G19" s="1726"/>
      <c r="H19" s="1727"/>
    </row>
    <row r="20" spans="1:19" ht="18.75" hidden="1">
      <c r="A20" s="789">
        <v>41426</v>
      </c>
      <c r="B20" s="1501">
        <v>1287291</v>
      </c>
      <c r="C20" s="1503" t="e">
        <f>#REF!+D20</f>
        <v>#REF!</v>
      </c>
      <c r="D20" s="1724">
        <v>124468</v>
      </c>
      <c r="E20" s="1502" t="e">
        <f>+B20+#REF!+D20</f>
        <v>#REF!</v>
      </c>
      <c r="F20" s="1725" t="e">
        <f t="shared" si="1"/>
        <v>#REF!</v>
      </c>
      <c r="G20" s="1726"/>
      <c r="H20" s="1727"/>
    </row>
    <row r="21" spans="1:19" ht="18.75" hidden="1">
      <c r="A21" s="789">
        <v>41456</v>
      </c>
      <c r="B21" s="1501">
        <v>1291631</v>
      </c>
      <c r="C21" s="1503" t="e">
        <f>#REF!+D21</f>
        <v>#REF!</v>
      </c>
      <c r="D21" s="1724">
        <v>126105</v>
      </c>
      <c r="E21" s="1502" t="e">
        <f>+B21+#REF!+D21</f>
        <v>#REF!</v>
      </c>
      <c r="F21" s="1725" t="e">
        <f t="shared" si="1"/>
        <v>#REF!</v>
      </c>
      <c r="G21" s="1726"/>
      <c r="H21" s="1727"/>
    </row>
    <row r="22" spans="1:19" ht="18.75" hidden="1">
      <c r="A22" s="789">
        <v>41487</v>
      </c>
      <c r="B22" s="1501">
        <v>1300657</v>
      </c>
      <c r="C22" s="1503" t="e">
        <f>#REF!+D22</f>
        <v>#REF!</v>
      </c>
      <c r="D22" s="1724">
        <v>127579</v>
      </c>
      <c r="E22" s="1502" t="e">
        <f>+B22+#REF!+D22</f>
        <v>#REF!</v>
      </c>
      <c r="F22" s="1725" t="e">
        <f t="shared" si="1"/>
        <v>#REF!</v>
      </c>
      <c r="G22" s="1726"/>
      <c r="H22" s="1727"/>
    </row>
    <row r="23" spans="1:19" ht="18.75" hidden="1">
      <c r="A23" s="789">
        <v>41518</v>
      </c>
      <c r="B23" s="1501">
        <v>1303324</v>
      </c>
      <c r="C23" s="1503" t="e">
        <f>#REF!+D23</f>
        <v>#REF!</v>
      </c>
      <c r="D23" s="1724">
        <v>128961</v>
      </c>
      <c r="E23" s="1502" t="e">
        <f>+B23+#REF!+D23</f>
        <v>#REF!</v>
      </c>
      <c r="F23" s="1725" t="e">
        <f t="shared" si="1"/>
        <v>#REF!</v>
      </c>
      <c r="G23" s="1726"/>
      <c r="H23" s="1727"/>
    </row>
    <row r="24" spans="1:19" ht="18.75" hidden="1">
      <c r="A24" s="789">
        <v>41548</v>
      </c>
      <c r="B24" s="1501">
        <v>1299098</v>
      </c>
      <c r="C24" s="1503" t="e">
        <f>#REF!+D24</f>
        <v>#REF!</v>
      </c>
      <c r="D24" s="1724">
        <v>130089</v>
      </c>
      <c r="E24" s="1502" t="e">
        <f>+B24+#REF!+D24</f>
        <v>#REF!</v>
      </c>
      <c r="F24" s="1728" t="e">
        <f>C24/B24</f>
        <v>#REF!</v>
      </c>
      <c r="G24" s="1726"/>
      <c r="H24" s="1727"/>
    </row>
    <row r="25" spans="1:19" ht="18.75" hidden="1">
      <c r="A25" s="789">
        <v>41579</v>
      </c>
      <c r="B25" s="1501">
        <v>1312472</v>
      </c>
      <c r="C25" s="1503" t="e">
        <f>#REF!+D25</f>
        <v>#REF!</v>
      </c>
      <c r="D25" s="1724">
        <v>131856</v>
      </c>
      <c r="E25" s="1502" t="e">
        <f>+B25+#REF!+D25</f>
        <v>#REF!</v>
      </c>
      <c r="F25" s="1728" t="e">
        <f>C25/B25</f>
        <v>#REF!</v>
      </c>
      <c r="G25" s="1726"/>
      <c r="H25" s="1727"/>
    </row>
    <row r="26" spans="1:19" ht="18.75" hidden="1">
      <c r="A26" s="789">
        <v>41609</v>
      </c>
      <c r="B26" s="1501">
        <v>1297821</v>
      </c>
      <c r="C26" s="1503" t="e">
        <f>#REF!+D26</f>
        <v>#REF!</v>
      </c>
      <c r="D26" s="1724">
        <v>132011</v>
      </c>
      <c r="E26" s="1502" t="e">
        <f>+B26+#REF!+D26</f>
        <v>#REF!</v>
      </c>
      <c r="F26" s="1728" t="e">
        <f>C26/B26</f>
        <v>#REF!</v>
      </c>
      <c r="G26" s="1726"/>
      <c r="H26" s="1727"/>
    </row>
    <row r="27" spans="1:19" ht="21">
      <c r="A27" s="926" t="s">
        <v>508</v>
      </c>
      <c r="B27" s="1713">
        <v>169757</v>
      </c>
      <c r="C27" s="1714">
        <v>310064</v>
      </c>
      <c r="D27" s="1729">
        <f>B27+C27</f>
        <v>479821</v>
      </c>
      <c r="E27" s="1714">
        <v>303890</v>
      </c>
      <c r="F27" s="1714">
        <v>298225</v>
      </c>
      <c r="G27" s="1729">
        <f>E27+F27</f>
        <v>602115</v>
      </c>
      <c r="H27" s="1730">
        <f t="shared" ref="H27:H35" si="2">D27+G27</f>
        <v>1081936</v>
      </c>
      <c r="J27" s="156"/>
      <c r="K27" s="156"/>
      <c r="L27" s="156"/>
      <c r="M27" s="156"/>
      <c r="N27" s="156"/>
      <c r="O27" s="1457"/>
      <c r="P27" s="1464"/>
      <c r="Q27" s="1463"/>
      <c r="R27" s="1056"/>
      <c r="S27" s="1056"/>
    </row>
    <row r="28" spans="1:19" ht="24" customHeight="1">
      <c r="A28" s="918" t="s">
        <v>483</v>
      </c>
      <c r="B28" s="1501">
        <v>169198</v>
      </c>
      <c r="C28" s="1503">
        <v>376240</v>
      </c>
      <c r="D28" s="1731">
        <f t="shared" ref="D28:D34" si="3">B28+C28</f>
        <v>545438</v>
      </c>
      <c r="E28" s="1503">
        <v>320751</v>
      </c>
      <c r="F28" s="1503">
        <v>358454</v>
      </c>
      <c r="G28" s="1731">
        <f t="shared" ref="G28:G35" si="4">E28+F28</f>
        <v>679205</v>
      </c>
      <c r="H28" s="1732">
        <f t="shared" si="2"/>
        <v>1224643</v>
      </c>
      <c r="J28" s="156"/>
      <c r="K28" s="156"/>
      <c r="L28" s="156"/>
      <c r="M28" s="156"/>
      <c r="N28" s="156"/>
      <c r="O28" s="1457"/>
      <c r="P28" s="1464"/>
      <c r="Q28" s="1463"/>
      <c r="R28" s="1056"/>
      <c r="S28" s="1056"/>
    </row>
    <row r="29" spans="1:19" ht="18.75">
      <c r="A29" s="927" t="s">
        <v>420</v>
      </c>
      <c r="B29" s="1501">
        <v>213701</v>
      </c>
      <c r="C29" s="1503">
        <v>401930</v>
      </c>
      <c r="D29" s="1731">
        <f t="shared" si="3"/>
        <v>615631</v>
      </c>
      <c r="E29" s="1503">
        <v>408348</v>
      </c>
      <c r="F29" s="1503">
        <v>380246</v>
      </c>
      <c r="G29" s="1731">
        <f t="shared" si="4"/>
        <v>788594</v>
      </c>
      <c r="H29" s="1732">
        <f t="shared" si="2"/>
        <v>1404225</v>
      </c>
      <c r="J29" s="156"/>
      <c r="K29" s="156"/>
      <c r="L29" s="156"/>
      <c r="M29" s="156"/>
      <c r="N29" s="156"/>
      <c r="O29" s="1457"/>
      <c r="P29" s="1458"/>
      <c r="Q29" s="815"/>
    </row>
    <row r="30" spans="1:19" ht="23.25" customHeight="1">
      <c r="A30" s="918" t="s">
        <v>421</v>
      </c>
      <c r="B30" s="1501">
        <v>328922</v>
      </c>
      <c r="C30" s="1503">
        <v>575714</v>
      </c>
      <c r="D30" s="1731">
        <f t="shared" si="3"/>
        <v>904636</v>
      </c>
      <c r="E30" s="1503">
        <v>574328</v>
      </c>
      <c r="F30" s="1503">
        <v>534822</v>
      </c>
      <c r="G30" s="1731">
        <f t="shared" si="4"/>
        <v>1109150</v>
      </c>
      <c r="H30" s="1732">
        <f t="shared" si="2"/>
        <v>2013786</v>
      </c>
      <c r="K30" s="156"/>
      <c r="L30" s="156"/>
      <c r="M30" s="156"/>
      <c r="N30" s="156"/>
      <c r="O30" s="1457"/>
      <c r="P30" s="1466"/>
      <c r="Q30" s="1461"/>
      <c r="R30" s="1462"/>
    </row>
    <row r="31" spans="1:19" ht="23.25" customHeight="1">
      <c r="A31" s="927" t="s">
        <v>422</v>
      </c>
      <c r="B31" s="1501">
        <v>319816</v>
      </c>
      <c r="C31" s="1503">
        <v>579358</v>
      </c>
      <c r="D31" s="1731">
        <f t="shared" si="3"/>
        <v>899174</v>
      </c>
      <c r="E31" s="1503">
        <v>563959</v>
      </c>
      <c r="F31" s="1503">
        <v>540294</v>
      </c>
      <c r="G31" s="1731">
        <f t="shared" si="4"/>
        <v>1104253</v>
      </c>
      <c r="H31" s="1732">
        <f t="shared" si="2"/>
        <v>2003427</v>
      </c>
      <c r="K31" s="260"/>
      <c r="L31" s="260"/>
      <c r="M31" s="260"/>
      <c r="N31" s="156"/>
      <c r="O31" s="1457"/>
      <c r="P31" s="1466"/>
      <c r="Q31" s="1461"/>
      <c r="R31" s="1462"/>
    </row>
    <row r="32" spans="1:19" ht="18.75">
      <c r="A32" s="918" t="s">
        <v>484</v>
      </c>
      <c r="B32" s="1501">
        <v>446880</v>
      </c>
      <c r="C32" s="1503">
        <v>584446</v>
      </c>
      <c r="D32" s="1731">
        <f t="shared" si="3"/>
        <v>1031326</v>
      </c>
      <c r="E32" s="1503">
        <v>731160</v>
      </c>
      <c r="F32" s="1503">
        <v>540865</v>
      </c>
      <c r="G32" s="1731">
        <f t="shared" si="4"/>
        <v>1272025</v>
      </c>
      <c r="H32" s="1732">
        <f t="shared" si="2"/>
        <v>2303351</v>
      </c>
      <c r="J32" s="173"/>
      <c r="K32" s="156"/>
      <c r="L32" s="156"/>
      <c r="M32" s="156"/>
      <c r="N32" s="156"/>
      <c r="O32" s="1457"/>
      <c r="P32" s="1458"/>
      <c r="Q32" s="815"/>
    </row>
    <row r="33" spans="1:19" ht="18.75">
      <c r="A33" s="927" t="s">
        <v>541</v>
      </c>
      <c r="B33" s="1501">
        <v>625451</v>
      </c>
      <c r="C33" s="1503">
        <v>617980</v>
      </c>
      <c r="D33" s="1731">
        <f t="shared" si="3"/>
        <v>1243431</v>
      </c>
      <c r="E33" s="1503">
        <v>942774</v>
      </c>
      <c r="F33" s="1503">
        <v>565548</v>
      </c>
      <c r="G33" s="1731">
        <f t="shared" si="4"/>
        <v>1508322</v>
      </c>
      <c r="H33" s="1732">
        <f t="shared" si="2"/>
        <v>2751753</v>
      </c>
      <c r="J33" s="173"/>
      <c r="K33" s="156"/>
      <c r="L33" s="156"/>
      <c r="M33" s="156"/>
      <c r="N33" s="156"/>
      <c r="O33" s="1457"/>
      <c r="P33" s="219"/>
    </row>
    <row r="34" spans="1:19" ht="21">
      <c r="A34" s="918" t="s">
        <v>574</v>
      </c>
      <c r="B34" s="1501">
        <v>760801</v>
      </c>
      <c r="C34" s="1503">
        <v>639717</v>
      </c>
      <c r="D34" s="1731">
        <f t="shared" si="3"/>
        <v>1400518</v>
      </c>
      <c r="E34" s="1503">
        <v>1034413</v>
      </c>
      <c r="F34" s="1503">
        <v>580715</v>
      </c>
      <c r="G34" s="1731">
        <f t="shared" si="4"/>
        <v>1615128</v>
      </c>
      <c r="H34" s="1732">
        <f t="shared" si="2"/>
        <v>3015646</v>
      </c>
      <c r="I34" s="277"/>
      <c r="J34" s="1151"/>
      <c r="K34" s="1338"/>
      <c r="L34" s="1338"/>
      <c r="M34" s="1338"/>
      <c r="N34" s="156"/>
      <c r="O34" s="1457"/>
      <c r="P34" s="1464"/>
      <c r="Q34" s="1463"/>
      <c r="R34" s="1056"/>
      <c r="S34" s="1056"/>
    </row>
    <row r="35" spans="1:19" ht="21">
      <c r="A35" s="928" t="s">
        <v>1002</v>
      </c>
      <c r="B35" s="1505">
        <v>871924</v>
      </c>
      <c r="C35" s="1507">
        <v>584807</v>
      </c>
      <c r="D35" s="1733">
        <f>B35+C35</f>
        <v>1456731</v>
      </c>
      <c r="E35" s="1507">
        <v>1121950</v>
      </c>
      <c r="F35" s="1507">
        <v>528995</v>
      </c>
      <c r="G35" s="1733">
        <f t="shared" si="4"/>
        <v>1650945</v>
      </c>
      <c r="H35" s="1734">
        <f t="shared" si="2"/>
        <v>3107676</v>
      </c>
      <c r="I35" s="156"/>
      <c r="J35" s="156"/>
      <c r="K35" s="156"/>
      <c r="L35" s="156"/>
      <c r="M35" s="156"/>
      <c r="N35" s="156"/>
      <c r="O35" s="1457"/>
      <c r="P35" s="1464"/>
      <c r="Q35" s="1463"/>
      <c r="R35" s="1056"/>
      <c r="S35" s="1056"/>
    </row>
    <row r="36" spans="1:19" ht="25.5" customHeight="1">
      <c r="A36" s="2039" t="s">
        <v>763</v>
      </c>
      <c r="B36" s="2039"/>
      <c r="C36" s="2039"/>
      <c r="D36" s="2039"/>
      <c r="E36" s="2039"/>
      <c r="F36" s="2039"/>
      <c r="H36" s="31"/>
      <c r="I36" s="31"/>
      <c r="K36" s="31"/>
      <c r="L36" s="31"/>
      <c r="M36" s="31"/>
      <c r="N36" s="31"/>
    </row>
    <row r="37" spans="1:19" ht="25.5" customHeight="1">
      <c r="A37" s="31"/>
      <c r="B37" s="31"/>
      <c r="C37" s="31"/>
      <c r="D37" s="31"/>
      <c r="E37" s="31"/>
      <c r="F37" s="31"/>
      <c r="H37" s="31"/>
      <c r="I37" s="31"/>
      <c r="J37" s="31"/>
      <c r="K37" s="31"/>
      <c r="L37" s="31"/>
      <c r="M37" s="31"/>
      <c r="N37" s="31"/>
      <c r="P37" s="1465"/>
      <c r="Q37" s="1097"/>
    </row>
    <row r="38" spans="1:19" ht="25.5" customHeight="1">
      <c r="A38" s="31"/>
      <c r="B38" s="31"/>
      <c r="C38" s="31"/>
      <c r="D38" s="31"/>
      <c r="E38" s="31"/>
      <c r="F38" s="31"/>
      <c r="H38" s="31"/>
      <c r="I38" s="31"/>
      <c r="J38" s="31"/>
      <c r="K38" s="31"/>
      <c r="L38" s="31"/>
      <c r="M38" s="31"/>
      <c r="N38" s="31"/>
    </row>
    <row r="39" spans="1:19" ht="25.5" customHeight="1">
      <c r="H39" s="31"/>
      <c r="I39" s="31"/>
      <c r="J39" s="31"/>
      <c r="K39" s="31"/>
      <c r="L39" s="31"/>
      <c r="M39" s="31"/>
      <c r="N39" s="31"/>
    </row>
    <row r="40" spans="1:19" ht="25.5" customHeight="1">
      <c r="A40" s="31"/>
      <c r="B40" s="31"/>
      <c r="C40" s="31"/>
      <c r="D40" s="31"/>
      <c r="E40" s="31"/>
      <c r="F40" s="31"/>
      <c r="H40" s="31"/>
      <c r="I40" s="31"/>
      <c r="J40" s="31"/>
      <c r="K40" s="31"/>
      <c r="L40" s="31"/>
      <c r="M40" s="31"/>
      <c r="N40" s="31"/>
      <c r="O40" s="1459"/>
    </row>
    <row r="41" spans="1:19" ht="25.5" customHeight="1">
      <c r="A41" s="31"/>
      <c r="B41" s="31"/>
      <c r="C41" s="31"/>
      <c r="D41" s="31"/>
      <c r="E41" s="31"/>
      <c r="F41" s="31"/>
      <c r="H41" s="31"/>
      <c r="I41" s="31"/>
      <c r="J41" s="31"/>
      <c r="K41" s="31"/>
      <c r="L41" s="31"/>
      <c r="M41" s="31"/>
      <c r="N41" s="31"/>
      <c r="O41" s="1459"/>
    </row>
    <row r="42" spans="1:19" ht="25.5" customHeight="1">
      <c r="A42" s="31"/>
      <c r="B42" s="31"/>
      <c r="C42" s="31"/>
      <c r="D42" s="31"/>
      <c r="E42" s="31"/>
      <c r="F42" s="31"/>
      <c r="G42" s="31"/>
      <c r="H42" s="31"/>
      <c r="I42" s="31"/>
      <c r="J42" s="31"/>
      <c r="K42" s="31"/>
      <c r="L42" s="31"/>
      <c r="M42" s="31"/>
      <c r="N42" s="31"/>
      <c r="O42" s="1459"/>
    </row>
    <row r="43" spans="1:19" ht="25.5" customHeight="1">
      <c r="A43" s="31"/>
      <c r="B43" s="31"/>
      <c r="C43" s="31"/>
      <c r="D43" s="31"/>
      <c r="E43" s="31"/>
      <c r="F43" s="31"/>
      <c r="G43" s="31"/>
      <c r="H43" s="31"/>
      <c r="I43" s="31"/>
      <c r="J43" s="31"/>
      <c r="K43" s="31"/>
      <c r="L43" s="31"/>
      <c r="M43" s="31"/>
      <c r="N43" s="31"/>
      <c r="O43" s="1459"/>
    </row>
    <row r="44" spans="1:19" ht="25.5" customHeight="1">
      <c r="A44" s="31"/>
      <c r="B44" s="31"/>
      <c r="C44" s="31"/>
      <c r="D44" s="31"/>
      <c r="E44" s="31"/>
      <c r="F44" s="31"/>
      <c r="G44" s="31"/>
      <c r="H44" s="31"/>
      <c r="I44" s="31"/>
      <c r="J44" s="31"/>
      <c r="K44" s="31"/>
      <c r="L44" s="31"/>
      <c r="M44" s="31"/>
      <c r="N44" s="31"/>
      <c r="O44" s="1459"/>
    </row>
    <row r="45" spans="1:19" ht="25.5" customHeight="1">
      <c r="A45" s="31"/>
      <c r="B45" s="31"/>
      <c r="C45" s="31"/>
      <c r="D45" s="31"/>
      <c r="E45" s="31"/>
      <c r="F45" s="31"/>
      <c r="G45" s="31"/>
      <c r="H45" s="31"/>
      <c r="I45" s="31"/>
      <c r="J45" s="31"/>
      <c r="K45" s="31"/>
      <c r="L45" s="31"/>
      <c r="M45" s="31"/>
      <c r="N45" s="31"/>
      <c r="O45" s="1459"/>
    </row>
    <row r="46" spans="1:19" ht="25.5" customHeight="1">
      <c r="A46" s="31"/>
      <c r="B46" s="31"/>
      <c r="C46" s="31"/>
      <c r="D46" s="31"/>
      <c r="E46" s="31"/>
      <c r="F46" s="31"/>
      <c r="G46" s="31"/>
      <c r="H46" s="31"/>
      <c r="I46" s="31"/>
      <c r="J46" s="31"/>
      <c r="K46" s="31"/>
      <c r="L46" s="31"/>
      <c r="M46" s="31"/>
      <c r="N46" s="31"/>
    </row>
    <row r="47" spans="1:19" ht="25.5" customHeight="1">
      <c r="A47" s="31"/>
      <c r="B47" s="31"/>
      <c r="C47" s="31"/>
      <c r="D47" s="31"/>
      <c r="E47" s="31"/>
      <c r="F47" s="31"/>
      <c r="G47" s="31"/>
      <c r="H47" s="31"/>
      <c r="I47" s="31"/>
      <c r="J47" s="31"/>
      <c r="K47" s="31"/>
      <c r="L47" s="31"/>
      <c r="M47" s="31"/>
      <c r="N47" s="31"/>
      <c r="O47" s="1459"/>
    </row>
    <row r="48" spans="1:19" ht="25.5" customHeight="1">
      <c r="A48" s="31"/>
      <c r="B48" s="31"/>
      <c r="C48" s="31"/>
      <c r="D48" s="31"/>
      <c r="E48" s="31"/>
      <c r="F48" s="31"/>
      <c r="G48" s="31"/>
      <c r="H48" s="31"/>
      <c r="I48" s="31"/>
      <c r="J48" s="31"/>
      <c r="K48" s="31"/>
      <c r="L48" s="31"/>
      <c r="M48" s="31"/>
      <c r="N48" s="31"/>
      <c r="O48" s="1459"/>
    </row>
    <row r="49" spans="1:23">
      <c r="O49" s="1456"/>
      <c r="P49" s="1460"/>
      <c r="Q49" s="96"/>
      <c r="R49" s="96"/>
      <c r="S49" s="96"/>
      <c r="T49" s="96"/>
      <c r="U49" s="96"/>
      <c r="V49" s="96"/>
      <c r="W49" s="96"/>
    </row>
    <row r="50" spans="1:23">
      <c r="O50" s="1460"/>
      <c r="P50" s="1460"/>
      <c r="Q50" s="96"/>
      <c r="R50" s="96"/>
      <c r="S50" s="96"/>
      <c r="T50" s="96"/>
      <c r="U50" s="96"/>
      <c r="V50" s="96"/>
      <c r="W50" s="96"/>
    </row>
    <row r="51" spans="1:23">
      <c r="P51" s="1460"/>
      <c r="Q51" s="96"/>
      <c r="R51" s="96"/>
      <c r="S51" s="96"/>
      <c r="T51" s="96"/>
      <c r="U51" s="96"/>
      <c r="V51" s="96"/>
      <c r="W51" s="96"/>
    </row>
    <row r="52" spans="1:23">
      <c r="O52" s="1460"/>
      <c r="P52" s="1460"/>
      <c r="Q52" s="96"/>
      <c r="R52" s="96"/>
      <c r="S52" s="96"/>
      <c r="T52" s="96"/>
      <c r="U52" s="96"/>
      <c r="V52" s="96"/>
      <c r="W52" s="96"/>
    </row>
    <row r="53" spans="1:23" ht="51" customHeight="1">
      <c r="O53" s="1460"/>
      <c r="P53" s="1456"/>
      <c r="Q53" s="18"/>
      <c r="R53" s="96"/>
      <c r="S53" s="96"/>
      <c r="T53" s="96"/>
      <c r="U53" s="96"/>
      <c r="V53" s="96"/>
      <c r="W53" s="96"/>
    </row>
    <row r="54" spans="1:23" ht="78" customHeight="1">
      <c r="A54" s="1454"/>
      <c r="B54" s="1454"/>
      <c r="C54" s="1454"/>
      <c r="D54" s="1454"/>
      <c r="E54" s="1454"/>
      <c r="F54" s="1454"/>
      <c r="G54" s="1454"/>
      <c r="H54" s="1454"/>
      <c r="I54" s="1454"/>
      <c r="J54" s="1454"/>
      <c r="K54" s="1454"/>
      <c r="L54" s="1478"/>
      <c r="M54" s="1478"/>
      <c r="N54" s="1454"/>
      <c r="O54" s="1454"/>
      <c r="P54" s="1454"/>
      <c r="Q54" s="1454"/>
      <c r="R54" s="1454"/>
      <c r="S54" s="1454"/>
      <c r="T54" s="1454"/>
      <c r="U54" s="1454"/>
      <c r="V54" s="96"/>
      <c r="W54" s="96"/>
    </row>
    <row r="60" spans="1:23">
      <c r="O60" s="1460"/>
      <c r="P60" s="1460"/>
      <c r="Q60" s="96"/>
      <c r="R60" s="96"/>
      <c r="S60" s="96"/>
      <c r="T60" s="96"/>
      <c r="U60" s="96"/>
      <c r="V60" s="96"/>
      <c r="W60" s="96"/>
    </row>
    <row r="61" spans="1:23">
      <c r="O61" s="1460"/>
      <c r="P61" s="1460"/>
      <c r="Q61" s="96"/>
      <c r="R61" s="96"/>
      <c r="S61" s="96"/>
      <c r="T61" s="96"/>
      <c r="U61" s="96"/>
      <c r="V61" s="96"/>
      <c r="W61" s="96"/>
    </row>
    <row r="62" spans="1:23">
      <c r="O62" s="1460"/>
      <c r="P62" s="1460"/>
      <c r="Q62" s="96"/>
      <c r="R62" s="96"/>
      <c r="S62" s="96"/>
      <c r="T62" s="96"/>
      <c r="U62" s="96"/>
      <c r="V62" s="96"/>
      <c r="W62" s="96"/>
    </row>
    <row r="75" spans="15:20">
      <c r="O75" s="1460"/>
      <c r="P75" s="1460"/>
      <c r="Q75" s="96"/>
      <c r="R75" s="96"/>
      <c r="S75" s="96"/>
      <c r="T75" s="96"/>
    </row>
    <row r="76" spans="15:20">
      <c r="O76" s="1460"/>
      <c r="P76" s="1460"/>
      <c r="Q76" s="96"/>
      <c r="R76" s="96"/>
      <c r="S76" s="96"/>
      <c r="T76" s="96"/>
    </row>
    <row r="77" spans="15:20">
      <c r="O77" s="1460"/>
      <c r="P77" s="1460"/>
      <c r="Q77" s="96"/>
      <c r="R77" s="96"/>
      <c r="S77" s="96"/>
      <c r="T77" s="96"/>
    </row>
    <row r="78" spans="15:20">
      <c r="O78" s="1460"/>
      <c r="P78" s="1460"/>
      <c r="Q78" s="96"/>
      <c r="R78" s="96"/>
      <c r="S78" s="96"/>
      <c r="T78" s="96"/>
    </row>
    <row r="79" spans="15:20">
      <c r="O79" s="1460"/>
      <c r="P79" s="1460"/>
      <c r="Q79" s="96"/>
      <c r="R79" s="96"/>
      <c r="S79" s="96"/>
      <c r="T79" s="96"/>
    </row>
    <row r="80" spans="15:20">
      <c r="O80" s="1460"/>
      <c r="P80" s="1460"/>
      <c r="Q80" s="96"/>
      <c r="R80" s="96"/>
      <c r="S80" s="96"/>
      <c r="T80" s="96"/>
    </row>
    <row r="81" spans="15:20">
      <c r="O81" s="1460"/>
      <c r="P81" s="1460"/>
      <c r="Q81" s="96"/>
      <c r="R81" s="96"/>
      <c r="S81" s="96"/>
      <c r="T81" s="96"/>
    </row>
    <row r="82" spans="15:20">
      <c r="O82" s="1460"/>
      <c r="P82" s="1460"/>
      <c r="Q82" s="96"/>
      <c r="R82" s="96"/>
      <c r="S82" s="96"/>
      <c r="T82" s="96"/>
    </row>
    <row r="92" spans="15:20">
      <c r="O92" s="1460"/>
      <c r="P92" s="1460"/>
      <c r="Q92" s="96"/>
      <c r="R92" s="96"/>
      <c r="S92" s="96"/>
      <c r="T92" s="96"/>
    </row>
    <row r="93" spans="15:20">
      <c r="O93" s="1460"/>
      <c r="P93" s="1460"/>
      <c r="Q93" s="96"/>
      <c r="R93" s="96"/>
      <c r="S93" s="96"/>
      <c r="T93" s="96"/>
    </row>
    <row r="94" spans="15:20">
      <c r="O94" s="1460"/>
      <c r="P94" s="1460"/>
      <c r="Q94" s="96"/>
      <c r="R94" s="96"/>
      <c r="S94" s="96"/>
      <c r="T94" s="96"/>
    </row>
    <row r="95" spans="15:20">
      <c r="O95" s="1460"/>
      <c r="P95" s="1460"/>
      <c r="Q95" s="96"/>
      <c r="R95" s="96"/>
      <c r="S95" s="96"/>
      <c r="T95" s="96"/>
    </row>
  </sheetData>
  <mergeCells count="8">
    <mergeCell ref="A36:F36"/>
    <mergeCell ref="A1:N1"/>
    <mergeCell ref="B3:C3"/>
    <mergeCell ref="D3:D4"/>
    <mergeCell ref="E3:F3"/>
    <mergeCell ref="G3:G4"/>
    <mergeCell ref="H3:H4"/>
    <mergeCell ref="A3:A4"/>
  </mergeCells>
  <printOptions horizontalCentered="1" verticalCentered="1"/>
  <pageMargins left="0.39370078740157483" right="0.39370078740157483" top="0.23622047244094491" bottom="0.23622047244094491" header="0.31496062992125984" footer="0.31496062992125984"/>
  <pageSetup paperSize="10023" scale="56" orientation="landscape"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1">
    <tabColor theme="9" tint="-0.249977111117893"/>
    <pageSetUpPr fitToPage="1"/>
  </sheetPr>
  <dimension ref="A1:M34"/>
  <sheetViews>
    <sheetView showGridLines="0" view="pageBreakPreview" zoomScale="55" zoomScaleNormal="70" zoomScaleSheetLayoutView="55" workbookViewId="0">
      <selection activeCell="M12" sqref="M12"/>
    </sheetView>
  </sheetViews>
  <sheetFormatPr baseColWidth="10" defaultColWidth="11.5703125" defaultRowHeight="15"/>
  <cols>
    <col min="1" max="1" width="15.42578125" customWidth="1"/>
    <col min="2" max="2" width="17" customWidth="1"/>
    <col min="3" max="3" width="23.85546875" style="77" customWidth="1"/>
    <col min="4" max="4" width="18" customWidth="1"/>
    <col min="5" max="5" width="30.85546875" customWidth="1"/>
    <col min="6" max="6" width="21.140625" customWidth="1"/>
    <col min="7" max="7" width="16.28515625" customWidth="1"/>
    <col min="8" max="8" width="23.5703125" customWidth="1"/>
    <col min="9" max="9" width="25" customWidth="1"/>
    <col min="10" max="10" width="29.140625" customWidth="1"/>
    <col min="11" max="11" width="21.5703125" customWidth="1"/>
    <col min="12" max="12" width="18.42578125" customWidth="1"/>
    <col min="13" max="13" width="17" customWidth="1"/>
  </cols>
  <sheetData>
    <row r="1" spans="1:13" ht="78" customHeight="1">
      <c r="A1" s="2062"/>
      <c r="B1" s="2062"/>
      <c r="C1" s="2062"/>
      <c r="D1" s="2062"/>
      <c r="E1" s="2062"/>
      <c r="F1" s="2062"/>
      <c r="G1" s="2062"/>
      <c r="H1" s="2062"/>
      <c r="I1" s="2062"/>
      <c r="J1" s="2062"/>
      <c r="K1" s="2062"/>
    </row>
    <row r="2" spans="1:13" ht="3.75" customHeight="1">
      <c r="A2" s="2063" t="s">
        <v>217</v>
      </c>
      <c r="B2" s="2063"/>
      <c r="C2" s="2063"/>
      <c r="D2" s="2063"/>
      <c r="E2" s="2063"/>
      <c r="F2" s="2063"/>
      <c r="G2" s="2063"/>
      <c r="H2" s="2063"/>
      <c r="I2" s="2063"/>
      <c r="J2" s="2063"/>
      <c r="K2" s="2063"/>
    </row>
    <row r="3" spans="1:13" ht="84" hidden="1" customHeight="1">
      <c r="A3" s="2063"/>
      <c r="B3" s="2063"/>
      <c r="C3" s="2063"/>
      <c r="D3" s="2063"/>
      <c r="E3" s="2063"/>
      <c r="F3" s="2063"/>
      <c r="G3" s="2063"/>
      <c r="H3" s="2063"/>
      <c r="I3" s="2063"/>
      <c r="J3" s="2063"/>
      <c r="K3" s="2063"/>
    </row>
    <row r="4" spans="1:13" ht="63.75" customHeight="1">
      <c r="A4" s="316" t="s">
        <v>25</v>
      </c>
      <c r="B4" s="1516" t="s">
        <v>532</v>
      </c>
      <c r="C4" s="1517" t="s">
        <v>777</v>
      </c>
      <c r="D4" s="1517" t="s">
        <v>588</v>
      </c>
      <c r="E4" s="1517" t="s">
        <v>778</v>
      </c>
      <c r="F4" s="1839" t="s">
        <v>193</v>
      </c>
      <c r="G4" s="122"/>
      <c r="H4" s="122"/>
      <c r="I4" s="122"/>
      <c r="J4" s="122"/>
      <c r="K4" s="123"/>
    </row>
    <row r="5" spans="1:13" ht="18.75">
      <c r="A5" s="367" t="s">
        <v>26</v>
      </c>
      <c r="B5" s="944">
        <f>+'III.3.2. Afil anual SFS RS '!D4</f>
        <v>253374</v>
      </c>
      <c r="C5" s="945">
        <v>0.48499999999999999</v>
      </c>
      <c r="D5" s="946">
        <f>F5*C5</f>
        <v>4374809.6100000003</v>
      </c>
      <c r="E5" s="947">
        <f>B5/D5</f>
        <v>5.791657753993093E-2</v>
      </c>
      <c r="F5" s="1840">
        <f>+III.1.3.Afil.SFSPob.Nac.!C4</f>
        <v>9020226</v>
      </c>
      <c r="H5" s="122"/>
      <c r="I5" s="122"/>
      <c r="J5" s="122"/>
      <c r="K5" s="123"/>
    </row>
    <row r="6" spans="1:13" ht="20.25" customHeight="1">
      <c r="A6" s="367" t="s">
        <v>27</v>
      </c>
      <c r="B6" s="948">
        <f>+'III.3.2. Afil anual SFS RS '!D5</f>
        <v>514040</v>
      </c>
      <c r="C6" s="949">
        <v>0.47299999999999998</v>
      </c>
      <c r="D6" s="950">
        <f t="shared" ref="D6:D14" si="0">F6*C6</f>
        <v>4315551.0144999996</v>
      </c>
      <c r="E6" s="951">
        <f t="shared" ref="E6:E15" si="1">B6/D6</f>
        <v>0.11911341061033819</v>
      </c>
      <c r="F6" s="1841">
        <f>+III.1.3.Afil.SFSPob.Nac.!C5</f>
        <v>9123786.5</v>
      </c>
      <c r="G6" s="122"/>
      <c r="H6" s="122"/>
      <c r="I6" s="122"/>
      <c r="J6" s="122"/>
      <c r="K6" s="123"/>
      <c r="L6" s="122"/>
      <c r="M6" s="122"/>
    </row>
    <row r="7" spans="1:13" ht="20.25" customHeight="1">
      <c r="A7" s="367" t="s">
        <v>28</v>
      </c>
      <c r="B7" s="948">
        <f>+'III.3.2. Afil anual SFS RS '!D6</f>
        <v>1081936</v>
      </c>
      <c r="C7" s="949">
        <v>0.44500000000000001</v>
      </c>
      <c r="D7" s="950">
        <f t="shared" si="0"/>
        <v>4105669.2349999999</v>
      </c>
      <c r="E7" s="951">
        <f t="shared" si="1"/>
        <v>0.26352244617679244</v>
      </c>
      <c r="F7" s="1841">
        <f>+III.1.3.Afil.SFSPob.Nac.!C6</f>
        <v>9226223</v>
      </c>
      <c r="H7" s="122"/>
      <c r="I7" s="122"/>
      <c r="J7" s="122"/>
      <c r="K7" s="123"/>
      <c r="L7" s="122"/>
      <c r="M7" s="122"/>
    </row>
    <row r="8" spans="1:13" ht="20.25" customHeight="1">
      <c r="A8" s="367" t="s">
        <v>29</v>
      </c>
      <c r="B8" s="948">
        <f>+'III.3.2. Afil anual SFS RS '!D7</f>
        <v>1224898</v>
      </c>
      <c r="C8" s="949">
        <v>0.438</v>
      </c>
      <c r="D8" s="950">
        <f t="shared" si="0"/>
        <v>4085584.284</v>
      </c>
      <c r="E8" s="951">
        <f t="shared" si="1"/>
        <v>0.29980974931711873</v>
      </c>
      <c r="F8" s="1841">
        <f>+III.1.3.Afil.SFSPob.Nac.!C7</f>
        <v>9327818</v>
      </c>
      <c r="H8" s="122"/>
      <c r="I8" s="122"/>
      <c r="J8" s="122"/>
      <c r="K8" s="123"/>
      <c r="L8" s="122"/>
      <c r="M8" s="122"/>
    </row>
    <row r="9" spans="1:13" ht="18.75" customHeight="1">
      <c r="A9" s="367" t="s">
        <v>30</v>
      </c>
      <c r="B9" s="948">
        <f>+'III.3.2. Afil anual SFS RS '!D8</f>
        <v>1404225</v>
      </c>
      <c r="C9" s="949">
        <v>0.45200000000000001</v>
      </c>
      <c r="D9" s="950">
        <f t="shared" si="0"/>
        <v>4261697.1419999981</v>
      </c>
      <c r="E9" s="951">
        <f t="shared" si="1"/>
        <v>0.32949901253212999</v>
      </c>
      <c r="F9" s="1841">
        <f>+III.1.3.Afil.SFSPob.Nac.!C8</f>
        <v>9428533.4999999963</v>
      </c>
      <c r="G9" s="122"/>
      <c r="H9" s="122"/>
      <c r="I9" s="122"/>
      <c r="J9" s="122"/>
      <c r="K9" s="123"/>
    </row>
    <row r="10" spans="1:13" ht="20.25" customHeight="1">
      <c r="A10" s="367" t="s">
        <v>191</v>
      </c>
      <c r="B10" s="948">
        <f>+'III.3.2. Afil anual SFS RS '!D9</f>
        <v>2013786</v>
      </c>
      <c r="C10" s="949">
        <v>0.42499999999999999</v>
      </c>
      <c r="D10" s="950">
        <f t="shared" si="0"/>
        <v>4049951.4375000014</v>
      </c>
      <c r="E10" s="951">
        <f t="shared" si="1"/>
        <v>0.49723707335194417</v>
      </c>
      <c r="F10" s="1841">
        <f>+III.1.3.Afil.SFSPob.Nac.!C9</f>
        <v>9529297.5000000037</v>
      </c>
      <c r="G10" s="122"/>
      <c r="H10" s="122"/>
      <c r="I10" s="122"/>
      <c r="J10" s="122"/>
      <c r="K10" s="123"/>
      <c r="L10" s="127"/>
    </row>
    <row r="11" spans="1:13" ht="18.75">
      <c r="A11" s="367" t="s">
        <v>231</v>
      </c>
      <c r="B11" s="948">
        <f>+'III.3.2. Afil anual SFS RS '!D10</f>
        <v>2003427</v>
      </c>
      <c r="C11" s="949">
        <v>0.43</v>
      </c>
      <c r="D11" s="950">
        <f t="shared" si="0"/>
        <v>4141011.1549999998</v>
      </c>
      <c r="E11" s="951">
        <f t="shared" si="1"/>
        <v>0.48380140139950917</v>
      </c>
      <c r="F11" s="1841">
        <f>+III.1.3.Afil.SFSPob.Nac.!C10</f>
        <v>9630258.5</v>
      </c>
      <c r="G11" s="23"/>
      <c r="H11" s="122"/>
      <c r="I11" s="122"/>
      <c r="J11" s="23"/>
      <c r="K11" s="23"/>
    </row>
    <row r="12" spans="1:13" s="77" customFormat="1" ht="18.75">
      <c r="A12" s="367" t="s">
        <v>481</v>
      </c>
      <c r="B12" s="948">
        <f>+'III.3.2. Afil anual SFS RS '!D11</f>
        <v>2303351</v>
      </c>
      <c r="C12" s="949">
        <v>0.42199999999999999</v>
      </c>
      <c r="D12" s="950">
        <f t="shared" si="0"/>
        <v>4106329.4469999997</v>
      </c>
      <c r="E12" s="951">
        <f t="shared" si="1"/>
        <v>0.56092698594429169</v>
      </c>
      <c r="F12" s="1841">
        <f>+III.1.3.Afil.SFSPob.Nac.!C11</f>
        <v>9730638.5</v>
      </c>
      <c r="G12" s="23"/>
      <c r="H12" s="122"/>
      <c r="I12" s="122"/>
      <c r="J12" s="23"/>
      <c r="K12" s="23"/>
    </row>
    <row r="13" spans="1:13" s="77" customFormat="1" ht="18.75">
      <c r="A13" s="367" t="s">
        <v>557</v>
      </c>
      <c r="B13" s="948">
        <f>+'III.3.2. Afil anual SFS RS '!D12</f>
        <v>2751753</v>
      </c>
      <c r="C13" s="949">
        <v>0.42199999999999999</v>
      </c>
      <c r="D13" s="950">
        <f t="shared" si="0"/>
        <v>4148523.3279999997</v>
      </c>
      <c r="E13" s="951">
        <f t="shared" si="1"/>
        <v>0.6633090337054024</v>
      </c>
      <c r="F13" s="1841">
        <f>+III.1.3.Afil.SFSPob.Nac.!C12</f>
        <v>9830624</v>
      </c>
      <c r="G13" s="23"/>
      <c r="H13" s="122"/>
      <c r="I13" s="122"/>
      <c r="J13" s="23"/>
      <c r="K13" s="23"/>
    </row>
    <row r="14" spans="1:13" s="77" customFormat="1" ht="18.75">
      <c r="A14" s="367" t="s">
        <v>570</v>
      </c>
      <c r="B14" s="948">
        <f>+'III.3.2. Afil anual SFS RS '!D13</f>
        <v>3015646</v>
      </c>
      <c r="C14" s="949">
        <v>0.41799999999999998</v>
      </c>
      <c r="D14" s="950">
        <f t="shared" si="0"/>
        <v>4150896.3319999999</v>
      </c>
      <c r="E14" s="951">
        <f t="shared" si="1"/>
        <v>0.72650477362006061</v>
      </c>
      <c r="F14" s="1841">
        <f>+III.1.3.Afil.SFSPob.Nac.!C13</f>
        <v>9930374</v>
      </c>
      <c r="G14" s="23"/>
      <c r="H14" s="122"/>
      <c r="I14" s="23"/>
      <c r="J14" s="23"/>
      <c r="K14" s="23"/>
    </row>
    <row r="15" spans="1:13" ht="18.75">
      <c r="A15" s="368" t="s">
        <v>1003</v>
      </c>
      <c r="B15" s="1570">
        <f>+'III.3.2. Afil anual SFS RS '!D14</f>
        <v>3107676</v>
      </c>
      <c r="C15" s="1571">
        <v>0.32100000000000001</v>
      </c>
      <c r="D15" s="1572">
        <f>F15*C15</f>
        <v>3216436.0500000003</v>
      </c>
      <c r="E15" s="1573">
        <f t="shared" si="1"/>
        <v>0.96618616123270962</v>
      </c>
      <c r="F15" s="1842">
        <f>+III.1.3.Afil.SFSPob.Nac.!C14</f>
        <v>10020050</v>
      </c>
      <c r="G15" s="23"/>
      <c r="H15" s="122"/>
      <c r="I15" s="23"/>
      <c r="J15" s="23"/>
      <c r="K15" s="23"/>
    </row>
    <row r="16" spans="1:13" ht="37.5" customHeight="1">
      <c r="A16" s="2064" t="s">
        <v>1035</v>
      </c>
      <c r="B16" s="2064"/>
      <c r="C16" s="2064"/>
      <c r="D16" s="2064"/>
      <c r="E16" s="2064"/>
      <c r="F16" s="2064"/>
      <c r="G16" s="23"/>
      <c r="H16" s="23"/>
      <c r="I16" s="23"/>
      <c r="J16" s="23"/>
      <c r="K16" s="23"/>
    </row>
    <row r="17" spans="1:12" ht="23.25">
      <c r="A17" s="23"/>
      <c r="B17" s="23"/>
      <c r="C17" s="23"/>
      <c r="D17" s="34"/>
      <c r="E17" s="23"/>
      <c r="F17" s="23"/>
      <c r="G17" s="23"/>
      <c r="H17" s="23"/>
      <c r="I17" s="23"/>
      <c r="J17" s="23"/>
      <c r="K17" s="23"/>
      <c r="L17" t="s">
        <v>31</v>
      </c>
    </row>
    <row r="18" spans="1:12" ht="23.25">
      <c r="A18" s="23"/>
      <c r="B18" s="23"/>
      <c r="C18" s="23"/>
      <c r="D18" s="34"/>
      <c r="E18" s="23"/>
      <c r="F18" s="23"/>
      <c r="G18" s="23"/>
      <c r="H18" s="23"/>
      <c r="I18" s="23"/>
      <c r="J18" s="23"/>
      <c r="K18" s="23"/>
    </row>
    <row r="19" spans="1:12" ht="23.25">
      <c r="A19" s="23"/>
      <c r="B19" s="23"/>
      <c r="C19" s="23"/>
      <c r="D19" s="34"/>
      <c r="E19" s="23"/>
      <c r="F19" s="23"/>
      <c r="G19" s="23"/>
      <c r="H19" s="23"/>
      <c r="I19" s="23"/>
      <c r="J19" s="23"/>
      <c r="K19" s="23"/>
    </row>
    <row r="20" spans="1:12" ht="23.25">
      <c r="A20" s="23"/>
      <c r="B20" s="23"/>
      <c r="C20" s="23"/>
      <c r="D20" s="34"/>
      <c r="E20" s="23"/>
      <c r="F20" s="23"/>
      <c r="G20" s="23"/>
      <c r="H20" s="23"/>
      <c r="I20" s="23"/>
      <c r="J20" s="23"/>
      <c r="K20" s="23"/>
    </row>
    <row r="21" spans="1:12" ht="23.25">
      <c r="A21" s="23"/>
      <c r="B21" s="23"/>
      <c r="C21" s="23"/>
      <c r="D21" s="34"/>
      <c r="E21" s="23"/>
      <c r="F21" s="23"/>
      <c r="G21" s="23"/>
      <c r="H21" s="23"/>
      <c r="I21" s="23"/>
      <c r="J21" s="23"/>
      <c r="K21" s="23"/>
    </row>
    <row r="34" spans="1:1">
      <c r="A34" s="47"/>
    </row>
  </sheetData>
  <mergeCells count="3">
    <mergeCell ref="A1:K1"/>
    <mergeCell ref="A2:K3"/>
    <mergeCell ref="A16:F16"/>
  </mergeCells>
  <printOptions horizontalCentered="1" verticalCentered="1"/>
  <pageMargins left="0.4" right="0.4" top="0.25" bottom="0.25" header="0.31496062992126" footer="0.31496062992126"/>
  <pageSetup scale="54" orientation="landscape"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3">
    <tabColor theme="9" tint="-0.249977111117893"/>
    <pageSetUpPr fitToPage="1"/>
  </sheetPr>
  <dimension ref="A1"/>
  <sheetViews>
    <sheetView showGridLines="0" view="pageBreakPreview" zoomScale="70" zoomScaleNormal="100" zoomScaleSheetLayoutView="70" workbookViewId="0">
      <selection activeCell="Q27" sqref="Q27"/>
    </sheetView>
  </sheetViews>
  <sheetFormatPr baseColWidth="10" defaultColWidth="11.42578125" defaultRowHeight="15"/>
  <cols>
    <col min="1" max="6" width="11.42578125" style="77"/>
    <col min="7" max="7" width="15" style="77" customWidth="1"/>
    <col min="8" max="11" width="11.42578125" style="77"/>
    <col min="12" max="12" width="22.85546875" style="77" customWidth="1"/>
    <col min="13" max="16384" width="11.42578125" style="77"/>
  </cols>
  <sheetData/>
  <pageMargins left="0.7" right="0.7" top="0.75" bottom="0.75" header="0.3" footer="0.3"/>
  <pageSetup scale="75" orientation="landscape"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4">
    <tabColor theme="9" tint="-0.249977111117893"/>
    <pageSetUpPr fitToPage="1"/>
  </sheetPr>
  <dimension ref="D19:P40"/>
  <sheetViews>
    <sheetView showGridLines="0" view="pageBreakPreview" zoomScaleNormal="100" zoomScaleSheetLayoutView="100" workbookViewId="0">
      <selection activeCell="D34" sqref="D34"/>
    </sheetView>
  </sheetViews>
  <sheetFormatPr baseColWidth="10" defaultColWidth="11.42578125" defaultRowHeight="15"/>
  <cols>
    <col min="1" max="6" width="11.42578125" style="77"/>
    <col min="7" max="7" width="15" style="77" customWidth="1"/>
    <col min="8" max="16384" width="11.42578125" style="77"/>
  </cols>
  <sheetData>
    <row r="19" spans="16:16">
      <c r="P19" s="173"/>
    </row>
    <row r="20" spans="16:16">
      <c r="P20" s="173"/>
    </row>
    <row r="21" spans="16:16">
      <c r="P21" s="173"/>
    </row>
    <row r="22" spans="16:16">
      <c r="P22" s="173"/>
    </row>
    <row r="33" spans="4:8">
      <c r="E33" s="173"/>
    </row>
    <row r="34" spans="4:8">
      <c r="E34" s="173"/>
    </row>
    <row r="35" spans="4:8">
      <c r="E35" s="173"/>
      <c r="G35" s="156"/>
    </row>
    <row r="36" spans="4:8">
      <c r="D36" s="173"/>
    </row>
    <row r="37" spans="4:8">
      <c r="D37" s="173"/>
      <c r="F37" s="173"/>
    </row>
    <row r="38" spans="4:8">
      <c r="D38" s="173"/>
      <c r="F38" s="173"/>
      <c r="G38" s="173"/>
    </row>
    <row r="39" spans="4:8">
      <c r="D39" s="173"/>
      <c r="F39" s="173"/>
      <c r="G39" s="173"/>
      <c r="H39" s="173"/>
    </row>
    <row r="40" spans="4:8">
      <c r="F40" s="173"/>
      <c r="G40" s="173"/>
    </row>
  </sheetData>
  <pageMargins left="0.7" right="0.7" top="0.75" bottom="0.75" header="0.3" footer="0.3"/>
  <pageSetup scale="86"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tabColor theme="2" tint="-0.499984740745262"/>
    <pageSetUpPr fitToPage="1"/>
  </sheetPr>
  <dimension ref="A1"/>
  <sheetViews>
    <sheetView showGridLines="0" view="pageBreakPreview" zoomScale="70" zoomScaleNormal="100" zoomScaleSheetLayoutView="70" workbookViewId="0">
      <selection activeCell="O15" sqref="O15"/>
    </sheetView>
  </sheetViews>
  <sheetFormatPr baseColWidth="10" defaultColWidth="11.42578125" defaultRowHeight="15"/>
  <cols>
    <col min="1" max="6" width="11.42578125" style="77"/>
    <col min="7" max="7" width="13.42578125" style="77" customWidth="1"/>
    <col min="8" max="9" width="24.140625" style="77" customWidth="1"/>
    <col min="10" max="10" width="11.42578125" style="77"/>
    <col min="11" max="11" width="25.140625" style="77" customWidth="1"/>
    <col min="12" max="12" width="30.85546875" style="77" customWidth="1"/>
    <col min="13" max="13" width="27.85546875" style="77" customWidth="1"/>
    <col min="14" max="16384" width="11.42578125" style="77"/>
  </cols>
  <sheetData/>
  <pageMargins left="0.7" right="0.7" top="0.75" bottom="0.75" header="0.3" footer="0.3"/>
  <pageSetup scale="54" orientation="landscape" r:id="rId1"/>
  <rowBreaks count="1" manualBreakCount="1">
    <brk id="64" max="12"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5">
    <tabColor theme="9" tint="-0.249977111117893"/>
    <pageSetUpPr fitToPage="1"/>
  </sheetPr>
  <dimension ref="A1:N43"/>
  <sheetViews>
    <sheetView showGridLines="0" view="pageBreakPreview" zoomScale="55" zoomScaleNormal="100" zoomScaleSheetLayoutView="55" workbookViewId="0">
      <selection activeCell="A3" sqref="A3"/>
    </sheetView>
  </sheetViews>
  <sheetFormatPr baseColWidth="10" defaultColWidth="11.42578125" defaultRowHeight="15"/>
  <cols>
    <col min="1" max="1" width="12.85546875" style="39" bestFit="1" customWidth="1"/>
    <col min="2" max="2" width="17.7109375" style="187" customWidth="1"/>
    <col min="3" max="3" width="16.140625" style="187" customWidth="1"/>
    <col min="4" max="4" width="18.28515625" style="187" customWidth="1"/>
    <col min="5" max="5" width="15.5703125" style="187" customWidth="1"/>
    <col min="6" max="7" width="15.5703125" style="39" customWidth="1"/>
    <col min="8" max="8" width="26.5703125" style="39" customWidth="1"/>
    <col min="9" max="9" width="22" style="39" customWidth="1"/>
    <col min="10" max="10" width="15.5703125" style="39" customWidth="1"/>
    <col min="11" max="11" width="17.5703125" style="39" customWidth="1"/>
    <col min="12" max="12" width="4.42578125" style="39" customWidth="1"/>
    <col min="13" max="16384" width="11.42578125" style="39"/>
  </cols>
  <sheetData>
    <row r="1" spans="1:14" s="77" customFormat="1" ht="66.75" customHeight="1">
      <c r="A1" s="2062"/>
      <c r="B1" s="2062"/>
      <c r="C1" s="2062"/>
      <c r="D1" s="2062"/>
      <c r="E1" s="2062"/>
      <c r="F1" s="2062"/>
      <c r="G1" s="2062"/>
      <c r="H1" s="2062"/>
      <c r="I1" s="2062"/>
      <c r="J1" s="2062"/>
      <c r="K1" s="2062"/>
      <c r="L1" s="1453"/>
    </row>
    <row r="2" spans="1:14" s="77" customFormat="1" ht="12" customHeight="1">
      <c r="A2" s="153"/>
      <c r="B2" s="1336"/>
      <c r="C2" s="1336"/>
      <c r="D2" s="1336"/>
      <c r="E2" s="1336"/>
      <c r="F2" s="153"/>
      <c r="G2" s="153"/>
      <c r="H2" s="153"/>
      <c r="I2" s="153"/>
      <c r="J2" s="153"/>
    </row>
    <row r="3" spans="1:14" s="135" customFormat="1" ht="53.25" customHeight="1">
      <c r="A3" s="1339" t="s">
        <v>45</v>
      </c>
      <c r="B3" s="1340" t="s">
        <v>537</v>
      </c>
      <c r="C3" s="1340" t="s">
        <v>534</v>
      </c>
      <c r="D3" s="1340" t="s">
        <v>535</v>
      </c>
      <c r="E3" s="1341" t="s">
        <v>536</v>
      </c>
      <c r="F3" s="68"/>
      <c r="G3" s="68"/>
      <c r="H3" s="68"/>
      <c r="I3" s="68"/>
      <c r="J3" s="68"/>
      <c r="K3" s="68"/>
      <c r="L3" s="68"/>
      <c r="M3" s="1343"/>
      <c r="N3" s="1343"/>
    </row>
    <row r="4" spans="1:14" s="135" customFormat="1" ht="15.75">
      <c r="A4" s="1344" t="s">
        <v>30</v>
      </c>
      <c r="B4" s="1345">
        <f t="shared" ref="B4:B10" si="0">+C4+D4+E4</f>
        <v>21982</v>
      </c>
      <c r="C4" s="1346">
        <v>12775</v>
      </c>
      <c r="D4" s="1346">
        <v>7188</v>
      </c>
      <c r="E4" s="1347">
        <v>2019</v>
      </c>
      <c r="F4" s="68"/>
      <c r="G4" s="822"/>
      <c r="H4" s="68"/>
      <c r="I4" s="68"/>
      <c r="J4" s="68"/>
      <c r="K4" s="68"/>
      <c r="L4" s="68"/>
      <c r="M4" s="1343"/>
      <c r="N4" s="1343"/>
    </row>
    <row r="5" spans="1:14" s="135" customFormat="1" ht="15.75">
      <c r="A5" s="1344" t="s">
        <v>191</v>
      </c>
      <c r="B5" s="1345">
        <f t="shared" si="0"/>
        <v>27354</v>
      </c>
      <c r="C5" s="1346">
        <v>14927</v>
      </c>
      <c r="D5" s="1346">
        <v>9946</v>
      </c>
      <c r="E5" s="1347">
        <v>2481</v>
      </c>
      <c r="F5" s="1342"/>
      <c r="G5" s="822"/>
      <c r="H5" s="1342"/>
      <c r="I5" s="1342"/>
      <c r="J5" s="1342"/>
      <c r="K5" s="1342"/>
      <c r="L5" s="1342"/>
      <c r="M5" s="1343"/>
    </row>
    <row r="6" spans="1:14" s="135" customFormat="1" ht="15.75">
      <c r="A6" s="1344" t="s">
        <v>231</v>
      </c>
      <c r="B6" s="1345">
        <f t="shared" si="0"/>
        <v>29726</v>
      </c>
      <c r="C6" s="1346">
        <v>16317</v>
      </c>
      <c r="D6" s="1346">
        <v>10524</v>
      </c>
      <c r="E6" s="1347">
        <v>2885</v>
      </c>
      <c r="F6" s="1342"/>
      <c r="G6" s="822"/>
      <c r="H6" s="1342"/>
      <c r="I6" s="1342"/>
      <c r="J6" s="1342"/>
      <c r="K6" s="1342"/>
      <c r="L6" s="1342"/>
      <c r="M6" s="1343"/>
    </row>
    <row r="7" spans="1:14" s="135" customFormat="1" ht="15.75">
      <c r="A7" s="1348" t="s">
        <v>481</v>
      </c>
      <c r="B7" s="1345">
        <f t="shared" si="0"/>
        <v>30703</v>
      </c>
      <c r="C7" s="1346">
        <v>16189</v>
      </c>
      <c r="D7" s="1346">
        <v>10515</v>
      </c>
      <c r="E7" s="1347">
        <v>3999</v>
      </c>
      <c r="F7" s="68"/>
      <c r="G7" s="822"/>
      <c r="H7" s="68"/>
      <c r="I7" s="68"/>
      <c r="J7" s="68"/>
      <c r="K7" s="68"/>
      <c r="L7" s="68"/>
      <c r="M7" s="1343"/>
    </row>
    <row r="8" spans="1:14" s="135" customFormat="1" ht="15.75">
      <c r="A8" s="1348" t="s">
        <v>557</v>
      </c>
      <c r="B8" s="1345">
        <f t="shared" si="0"/>
        <v>27273</v>
      </c>
      <c r="C8" s="1346">
        <v>13249</v>
      </c>
      <c r="D8" s="1346">
        <v>10016</v>
      </c>
      <c r="E8" s="1347">
        <v>4008</v>
      </c>
      <c r="F8" s="68"/>
      <c r="G8" s="822"/>
      <c r="H8" s="68"/>
      <c r="I8" s="68"/>
      <c r="J8" s="68"/>
      <c r="K8" s="68"/>
      <c r="L8" s="68"/>
      <c r="N8" s="822"/>
    </row>
    <row r="9" spans="1:14" s="135" customFormat="1" ht="15.75">
      <c r="A9" s="1348" t="s">
        <v>570</v>
      </c>
      <c r="B9" s="1345">
        <f t="shared" si="0"/>
        <v>30370</v>
      </c>
      <c r="C9" s="1346">
        <v>15039</v>
      </c>
      <c r="D9" s="1346">
        <v>10509</v>
      </c>
      <c r="E9" s="1347">
        <v>4822</v>
      </c>
      <c r="F9" s="68"/>
      <c r="G9" s="822"/>
      <c r="H9" s="68"/>
      <c r="I9" s="68"/>
      <c r="J9" s="68"/>
      <c r="K9" s="68"/>
      <c r="L9" s="68"/>
      <c r="M9" s="1343"/>
    </row>
    <row r="10" spans="1:14" s="135" customFormat="1" ht="15.75">
      <c r="A10" s="1574" t="s">
        <v>1003</v>
      </c>
      <c r="B10" s="1575">
        <f t="shared" si="0"/>
        <v>30479</v>
      </c>
      <c r="C10" s="1576">
        <v>15001</v>
      </c>
      <c r="D10" s="1576">
        <v>10469</v>
      </c>
      <c r="E10" s="1577">
        <v>5009</v>
      </c>
      <c r="F10" s="68"/>
      <c r="G10" s="822"/>
      <c r="H10" s="68"/>
      <c r="I10" s="68"/>
      <c r="J10" s="68"/>
      <c r="K10" s="68"/>
      <c r="L10" s="68"/>
      <c r="M10" s="1343"/>
    </row>
    <row r="11" spans="1:14" s="135" customFormat="1" ht="15.75">
      <c r="B11" s="1349"/>
      <c r="C11" s="1350"/>
      <c r="D11" s="1350"/>
      <c r="E11" s="1350"/>
      <c r="F11" s="68"/>
      <c r="G11" s="68"/>
      <c r="H11" s="68"/>
      <c r="I11" s="68"/>
      <c r="J11" s="68"/>
      <c r="K11" s="68"/>
      <c r="L11" s="68"/>
      <c r="M11" s="1343"/>
    </row>
    <row r="12" spans="1:14" s="77" customFormat="1" ht="15.75">
      <c r="B12" s="1337"/>
      <c r="C12" s="1351"/>
      <c r="D12" s="1351"/>
      <c r="E12" s="1351"/>
      <c r="F12" s="68"/>
      <c r="G12" s="68"/>
      <c r="H12" s="68"/>
      <c r="I12" s="68"/>
      <c r="J12" s="68"/>
      <c r="K12" s="68"/>
      <c r="L12" s="68"/>
      <c r="M12" s="68"/>
      <c r="N12" s="94"/>
    </row>
    <row r="13" spans="1:14" s="77" customFormat="1" ht="15.75">
      <c r="B13" s="1337"/>
      <c r="C13" s="1351"/>
      <c r="D13" s="1351"/>
      <c r="E13" s="1351"/>
      <c r="F13" s="68"/>
      <c r="G13" s="68"/>
      <c r="H13" s="68"/>
      <c r="I13" s="68"/>
      <c r="J13" s="68"/>
      <c r="K13" s="68"/>
      <c r="L13" s="68"/>
      <c r="M13" s="68"/>
      <c r="N13" s="94"/>
    </row>
    <row r="14" spans="1:14" s="77" customFormat="1" ht="15.75">
      <c r="B14" s="1337"/>
      <c r="C14" s="1351"/>
      <c r="D14" s="1351"/>
      <c r="E14" s="1351"/>
      <c r="F14" s="68"/>
      <c r="G14" s="68"/>
      <c r="H14" s="68"/>
      <c r="I14" s="68"/>
      <c r="J14" s="68"/>
      <c r="K14" s="68"/>
      <c r="L14" s="68"/>
      <c r="M14" s="68"/>
      <c r="N14" s="94"/>
    </row>
    <row r="15" spans="1:14" s="77" customFormat="1" ht="15.75">
      <c r="B15" s="1337"/>
      <c r="C15" s="1352"/>
      <c r="D15" s="1352"/>
      <c r="E15" s="1352"/>
      <c r="F15" s="12"/>
      <c r="G15" s="12"/>
      <c r="H15" s="12"/>
      <c r="I15" s="12"/>
      <c r="J15" s="12"/>
      <c r="K15" s="12"/>
      <c r="L15" s="12"/>
      <c r="M15" s="12"/>
    </row>
    <row r="16" spans="1:14" s="77" customFormat="1" ht="15.75">
      <c r="B16" s="1337"/>
      <c r="C16" s="1352"/>
      <c r="D16" s="1352"/>
      <c r="E16" s="1352"/>
      <c r="F16" s="12"/>
      <c r="G16" s="12"/>
      <c r="H16" s="12"/>
      <c r="I16" s="12"/>
      <c r="J16" s="12"/>
      <c r="K16" s="12"/>
      <c r="L16" s="12"/>
      <c r="M16" s="12"/>
    </row>
    <row r="17" spans="2:13" s="77" customFormat="1" ht="15.75">
      <c r="B17" s="1337"/>
      <c r="C17" s="1352"/>
      <c r="D17" s="1352"/>
      <c r="E17" s="1352"/>
      <c r="F17" s="12"/>
      <c r="G17" s="12"/>
      <c r="H17" s="12"/>
      <c r="I17" s="12"/>
      <c r="J17" s="12"/>
      <c r="K17" s="12"/>
      <c r="L17" s="12"/>
      <c r="M17" s="12"/>
    </row>
    <row r="18" spans="2:13" s="77" customFormat="1" ht="15.75">
      <c r="B18" s="1337"/>
      <c r="C18" s="1352"/>
      <c r="D18" s="1352"/>
      <c r="E18" s="1352"/>
      <c r="F18" s="12"/>
      <c r="G18" s="12"/>
      <c r="H18" s="12"/>
      <c r="I18" s="12"/>
      <c r="J18" s="12"/>
      <c r="K18" s="12"/>
      <c r="L18" s="12"/>
      <c r="M18" s="12"/>
    </row>
    <row r="19" spans="2:13" s="77" customFormat="1" ht="15.75">
      <c r="B19" s="1337"/>
      <c r="C19" s="1352"/>
      <c r="D19" s="1352"/>
      <c r="E19" s="1352"/>
      <c r="F19" s="12"/>
      <c r="G19" s="12"/>
      <c r="H19" s="12"/>
      <c r="I19" s="12"/>
      <c r="J19" s="12"/>
      <c r="K19" s="12"/>
      <c r="L19" s="12"/>
      <c r="M19" s="12"/>
    </row>
    <row r="20" spans="2:13" s="77" customFormat="1" ht="15.75">
      <c r="B20" s="1337"/>
      <c r="C20" s="1352"/>
      <c r="D20" s="1352"/>
      <c r="E20" s="1352"/>
      <c r="F20" s="12"/>
      <c r="G20" s="12"/>
      <c r="H20" s="12"/>
      <c r="I20" s="12"/>
      <c r="J20" s="12"/>
      <c r="K20" s="12"/>
      <c r="L20" s="12"/>
      <c r="M20" s="12"/>
    </row>
    <row r="21" spans="2:13" s="77" customFormat="1" ht="15.75">
      <c r="B21" s="1337"/>
      <c r="C21" s="1352"/>
      <c r="D21" s="1352"/>
      <c r="E21" s="1352"/>
      <c r="F21" s="12"/>
      <c r="G21" s="12"/>
      <c r="H21" s="12"/>
      <c r="I21" s="12"/>
      <c r="J21" s="12"/>
      <c r="K21" s="12"/>
      <c r="L21" s="12"/>
      <c r="M21" s="12"/>
    </row>
    <row r="22" spans="2:13" s="77" customFormat="1">
      <c r="B22" s="1337"/>
      <c r="C22" s="1337"/>
      <c r="D22" s="1337"/>
      <c r="E22" s="1337"/>
    </row>
    <row r="23" spans="2:13" s="77" customFormat="1">
      <c r="B23" s="1337"/>
      <c r="C23" s="1337"/>
      <c r="D23" s="1337"/>
      <c r="E23" s="1337"/>
    </row>
    <row r="24" spans="2:13" s="77" customFormat="1">
      <c r="B24" s="1337"/>
      <c r="C24" s="1337"/>
      <c r="D24" s="1337"/>
      <c r="E24" s="1337"/>
    </row>
    <row r="25" spans="2:13" s="77" customFormat="1">
      <c r="B25" s="1337"/>
      <c r="C25" s="1337"/>
      <c r="D25" s="1337"/>
      <c r="E25" s="1337"/>
    </row>
    <row r="26" spans="2:13" s="77" customFormat="1">
      <c r="B26" s="1337"/>
      <c r="C26" s="1337"/>
      <c r="D26" s="1337"/>
      <c r="E26" s="1337"/>
    </row>
    <row r="27" spans="2:13" s="77" customFormat="1">
      <c r="B27" s="1337"/>
      <c r="C27" s="1337"/>
      <c r="D27" s="1337"/>
      <c r="E27" s="1337"/>
    </row>
    <row r="28" spans="2:13" s="77" customFormat="1">
      <c r="B28" s="1337"/>
      <c r="C28" s="1337"/>
      <c r="D28" s="1337"/>
      <c r="E28" s="1337"/>
    </row>
    <row r="29" spans="2:13" s="77" customFormat="1">
      <c r="B29" s="1337"/>
      <c r="C29" s="1337"/>
      <c r="D29" s="1337"/>
      <c r="E29" s="1337"/>
    </row>
    <row r="30" spans="2:13" s="77" customFormat="1">
      <c r="B30" s="1337"/>
      <c r="C30" s="1337"/>
      <c r="D30" s="1337"/>
      <c r="E30" s="1337"/>
    </row>
    <row r="31" spans="2:13" s="77" customFormat="1">
      <c r="B31" s="1337"/>
      <c r="C31" s="1337"/>
      <c r="D31" s="1337"/>
      <c r="E31" s="1337"/>
    </row>
    <row r="32" spans="2:13" s="77" customFormat="1">
      <c r="B32" s="1337"/>
      <c r="C32" s="1337"/>
      <c r="D32" s="1337"/>
      <c r="E32" s="1337"/>
    </row>
    <row r="33" spans="1:14" s="77" customFormat="1">
      <c r="B33" s="1337"/>
      <c r="C33" s="1337"/>
      <c r="D33" s="1337"/>
      <c r="E33" s="1337"/>
    </row>
    <row r="34" spans="1:14" s="77" customFormat="1">
      <c r="B34" s="1337"/>
      <c r="C34" s="1337"/>
      <c r="D34" s="1337"/>
      <c r="E34" s="1337"/>
    </row>
    <row r="35" spans="1:14" s="77" customFormat="1">
      <c r="B35" s="1337"/>
      <c r="C35" s="1337"/>
      <c r="D35" s="1337"/>
      <c r="E35" s="1337"/>
    </row>
    <row r="36" spans="1:14" s="77" customFormat="1">
      <c r="B36" s="1337"/>
      <c r="C36" s="1337"/>
      <c r="D36" s="1337"/>
      <c r="E36" s="1337"/>
    </row>
    <row r="37" spans="1:14" s="77" customFormat="1">
      <c r="B37" s="1337"/>
      <c r="C37" s="1337"/>
      <c r="D37" s="1337"/>
      <c r="E37" s="1337"/>
    </row>
    <row r="38" spans="1:14" s="77" customFormat="1">
      <c r="B38" s="1337"/>
      <c r="C38" s="1337"/>
      <c r="D38" s="1337"/>
      <c r="E38" s="1337"/>
    </row>
    <row r="39" spans="1:14" s="77" customFormat="1">
      <c r="B39" s="1337"/>
      <c r="C39" s="1337"/>
      <c r="D39" s="1337"/>
      <c r="E39" s="1337"/>
    </row>
    <row r="40" spans="1:14" s="77" customFormat="1">
      <c r="B40" s="1337"/>
      <c r="C40" s="1337"/>
      <c r="D40" s="1337"/>
      <c r="E40" s="1337"/>
    </row>
    <row r="41" spans="1:14" s="77" customFormat="1">
      <c r="B41" s="1337"/>
      <c r="C41" s="1337"/>
      <c r="D41" s="1337"/>
      <c r="E41" s="1337"/>
    </row>
    <row r="43" spans="1:14" ht="29.25" customHeight="1">
      <c r="A43" s="1481"/>
      <c r="B43" s="1481"/>
      <c r="C43" s="1481"/>
      <c r="D43" s="1481"/>
      <c r="E43" s="1481"/>
      <c r="F43" s="1481"/>
      <c r="G43" s="1481"/>
      <c r="H43" s="1481"/>
      <c r="I43" s="1481"/>
      <c r="J43" s="1481"/>
      <c r="K43" s="1481"/>
      <c r="L43" s="1481"/>
      <c r="M43" s="1481"/>
      <c r="N43" s="1481"/>
    </row>
  </sheetData>
  <mergeCells count="1">
    <mergeCell ref="A1:K1"/>
  </mergeCells>
  <printOptions horizontalCentered="1" verticalCentered="1"/>
  <pageMargins left="0.4" right="0.4" top="0.25" bottom="0.25" header="0.31496062992126" footer="0.31496062992126"/>
  <pageSetup scale="67" orientation="landscape"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8">
    <tabColor theme="9" tint="-0.249977111117893"/>
    <pageSetUpPr fitToPage="1"/>
  </sheetPr>
  <dimension ref="A1:N17"/>
  <sheetViews>
    <sheetView showGridLines="0" view="pageBreakPreview" zoomScale="70" zoomScaleNormal="100" zoomScaleSheetLayoutView="70" workbookViewId="0">
      <selection activeCell="D60" sqref="D60"/>
    </sheetView>
  </sheetViews>
  <sheetFormatPr baseColWidth="10" defaultColWidth="11.42578125" defaultRowHeight="15"/>
  <cols>
    <col min="1" max="1" width="11" style="39" customWidth="1"/>
    <col min="2" max="2" width="13.42578125" style="39" customWidth="1"/>
    <col min="3" max="3" width="21.5703125" style="39" customWidth="1"/>
    <col min="4" max="4" width="23.140625" style="39" customWidth="1"/>
    <col min="5" max="5" width="20.42578125" style="39" customWidth="1"/>
    <col min="6" max="6" width="13.42578125" style="39" customWidth="1"/>
    <col min="7" max="7" width="18.85546875" style="39" customWidth="1"/>
    <col min="8" max="8" width="15.5703125" style="39" customWidth="1"/>
    <col min="9" max="9" width="17" style="39" customWidth="1"/>
    <col min="10" max="10" width="32" style="39" customWidth="1"/>
    <col min="11" max="11" width="18.5703125" style="39" customWidth="1"/>
    <col min="12" max="12" width="18.42578125" style="39" customWidth="1"/>
    <col min="13" max="13" width="27.28515625" style="39" customWidth="1"/>
    <col min="14" max="16384" width="11.42578125" style="39"/>
  </cols>
  <sheetData>
    <row r="1" spans="1:14" s="77" customFormat="1" ht="78.75" customHeight="1">
      <c r="A1" s="2065"/>
      <c r="B1" s="2065"/>
      <c r="C1" s="2065"/>
      <c r="D1" s="2065"/>
      <c r="E1" s="2065"/>
      <c r="F1" s="2065"/>
      <c r="G1" s="2065"/>
      <c r="H1" s="2065"/>
      <c r="I1" s="2065"/>
      <c r="J1" s="2065"/>
      <c r="K1" s="2065"/>
      <c r="L1" s="2065"/>
    </row>
    <row r="2" spans="1:14" s="77" customFormat="1" ht="13.5" customHeight="1">
      <c r="A2" s="153"/>
      <c r="B2" s="153"/>
      <c r="C2" s="153"/>
      <c r="D2" s="153"/>
      <c r="E2" s="153"/>
      <c r="F2" s="153"/>
      <c r="G2" s="153"/>
      <c r="H2" s="153"/>
    </row>
    <row r="3" spans="1:14" s="77" customFormat="1" ht="42" customHeight="1">
      <c r="A3" s="1133" t="s">
        <v>237</v>
      </c>
      <c r="B3" s="1134" t="s">
        <v>533</v>
      </c>
      <c r="C3" s="1134" t="s">
        <v>534</v>
      </c>
      <c r="D3" s="1134" t="s">
        <v>535</v>
      </c>
      <c r="E3" s="1135" t="s">
        <v>536</v>
      </c>
      <c r="F3"/>
      <c r="G3"/>
      <c r="H3"/>
      <c r="I3" s="68"/>
      <c r="J3" s="68"/>
      <c r="K3" s="39"/>
      <c r="L3" s="39"/>
      <c r="M3" s="94"/>
      <c r="N3" s="94"/>
    </row>
    <row r="4" spans="1:14" ht="18.75">
      <c r="A4" s="1136" t="s">
        <v>576</v>
      </c>
      <c r="B4" s="1240">
        <v>30169</v>
      </c>
      <c r="C4" s="1241">
        <v>14899</v>
      </c>
      <c r="D4" s="1241">
        <v>10482</v>
      </c>
      <c r="E4" s="1242">
        <v>4788</v>
      </c>
      <c r="F4"/>
      <c r="G4"/>
      <c r="H4"/>
    </row>
    <row r="5" spans="1:14" ht="18.75">
      <c r="A5" s="1136" t="s">
        <v>574</v>
      </c>
      <c r="B5" s="1240">
        <v>30370</v>
      </c>
      <c r="C5" s="1241">
        <v>15039</v>
      </c>
      <c r="D5" s="1241">
        <v>10509</v>
      </c>
      <c r="E5" s="1242">
        <v>4822</v>
      </c>
      <c r="F5" s="77"/>
      <c r="G5" s="77"/>
      <c r="H5" s="77"/>
    </row>
    <row r="6" spans="1:14" ht="18.75">
      <c r="A6" s="1136" t="s">
        <v>575</v>
      </c>
      <c r="B6" s="1240">
        <v>30435</v>
      </c>
      <c r="C6" s="1241">
        <v>15082</v>
      </c>
      <c r="D6" s="1241">
        <v>10519</v>
      </c>
      <c r="E6" s="1242">
        <v>4834</v>
      </c>
      <c r="F6" s="77"/>
      <c r="G6" s="77"/>
      <c r="H6" s="77"/>
    </row>
    <row r="7" spans="1:14" ht="18.75">
      <c r="A7" s="1136" t="s">
        <v>711</v>
      </c>
      <c r="B7" s="1240">
        <v>30562</v>
      </c>
      <c r="C7" s="1241">
        <v>15138</v>
      </c>
      <c r="D7" s="1241">
        <v>10576</v>
      </c>
      <c r="E7" s="1242">
        <v>4848</v>
      </c>
      <c r="F7" s="77"/>
      <c r="G7" s="77"/>
      <c r="H7" s="77"/>
    </row>
    <row r="8" spans="1:14" ht="18.75">
      <c r="A8" s="1136" t="s">
        <v>732</v>
      </c>
      <c r="B8" s="1240">
        <v>30440</v>
      </c>
      <c r="C8" s="1241">
        <v>15090</v>
      </c>
      <c r="D8" s="1241">
        <v>10518</v>
      </c>
      <c r="E8" s="1242">
        <v>4832</v>
      </c>
      <c r="F8"/>
      <c r="G8"/>
      <c r="H8"/>
    </row>
    <row r="9" spans="1:14" ht="18.75">
      <c r="A9" s="1136" t="s">
        <v>738</v>
      </c>
      <c r="B9" s="1240">
        <v>30512</v>
      </c>
      <c r="C9" s="1241">
        <v>15135</v>
      </c>
      <c r="D9" s="1241">
        <v>10505</v>
      </c>
      <c r="E9" s="1242">
        <v>4872</v>
      </c>
      <c r="F9" s="77"/>
      <c r="G9" s="77"/>
      <c r="H9" s="77"/>
    </row>
    <row r="10" spans="1:14" ht="18.75">
      <c r="A10" s="1136" t="s">
        <v>746</v>
      </c>
      <c r="B10" s="1240">
        <v>30543</v>
      </c>
      <c r="C10" s="1241">
        <v>15143</v>
      </c>
      <c r="D10" s="1241">
        <v>10492</v>
      </c>
      <c r="E10" s="1242">
        <v>4908</v>
      </c>
      <c r="F10" s="77"/>
      <c r="G10" s="77"/>
      <c r="H10" s="77"/>
    </row>
    <row r="11" spans="1:14" ht="18.75">
      <c r="A11" s="1136" t="s">
        <v>760</v>
      </c>
      <c r="B11" s="1240">
        <v>30582</v>
      </c>
      <c r="C11" s="1241">
        <v>15129</v>
      </c>
      <c r="D11" s="1241">
        <v>10529</v>
      </c>
      <c r="E11" s="1242">
        <v>4924</v>
      </c>
      <c r="F11" s="77"/>
      <c r="G11" s="77"/>
      <c r="H11" s="77"/>
    </row>
    <row r="12" spans="1:14" ht="18.75">
      <c r="A12" s="1136" t="s">
        <v>769</v>
      </c>
      <c r="B12" s="1240">
        <v>30486</v>
      </c>
      <c r="C12" s="1241">
        <v>15067</v>
      </c>
      <c r="D12" s="1241">
        <v>10479</v>
      </c>
      <c r="E12" s="1242">
        <v>4940</v>
      </c>
      <c r="F12" s="77"/>
      <c r="G12" s="77"/>
      <c r="H12" s="77"/>
    </row>
    <row r="13" spans="1:14" ht="18.75">
      <c r="A13" s="1136" t="s">
        <v>779</v>
      </c>
      <c r="B13" s="1240">
        <v>30545</v>
      </c>
      <c r="C13" s="1241">
        <v>15041</v>
      </c>
      <c r="D13" s="1241">
        <v>10501</v>
      </c>
      <c r="E13" s="1242">
        <v>5003</v>
      </c>
      <c r="F13" s="77"/>
      <c r="G13" s="77"/>
      <c r="H13" s="77"/>
    </row>
    <row r="14" spans="1:14" ht="18.75">
      <c r="A14" s="1136" t="s">
        <v>783</v>
      </c>
      <c r="B14" s="1240">
        <v>30468</v>
      </c>
      <c r="C14" s="1241">
        <v>15004</v>
      </c>
      <c r="D14" s="1241">
        <v>10464</v>
      </c>
      <c r="E14" s="1242">
        <v>5000</v>
      </c>
      <c r="F14" s="77"/>
      <c r="G14" s="77"/>
      <c r="H14" s="77"/>
    </row>
    <row r="15" spans="1:14" ht="18.75">
      <c r="A15" s="1136" t="s">
        <v>970</v>
      </c>
      <c r="B15" s="1240">
        <v>30413</v>
      </c>
      <c r="C15" s="1241">
        <v>14956</v>
      </c>
      <c r="D15" s="1241">
        <v>10457</v>
      </c>
      <c r="E15" s="1242">
        <v>5000</v>
      </c>
      <c r="F15" s="77"/>
      <c r="G15" s="77"/>
      <c r="H15" s="77"/>
    </row>
    <row r="16" spans="1:14" ht="18.75">
      <c r="A16" s="1531" t="s">
        <v>1002</v>
      </c>
      <c r="B16" s="1578">
        <f>+C16+D16+E16</f>
        <v>30479</v>
      </c>
      <c r="C16" s="1579">
        <v>15001</v>
      </c>
      <c r="D16" s="1579">
        <v>10469</v>
      </c>
      <c r="E16" s="1580">
        <v>5009</v>
      </c>
      <c r="F16" s="208"/>
      <c r="G16" s="208"/>
      <c r="H16" s="208"/>
    </row>
    <row r="17" spans="1:5" ht="15.75">
      <c r="A17" s="2066" t="s">
        <v>716</v>
      </c>
      <c r="B17" s="2067"/>
      <c r="C17" s="2067"/>
      <c r="D17" s="2067"/>
      <c r="E17" s="2067"/>
    </row>
  </sheetData>
  <mergeCells count="2">
    <mergeCell ref="A1:L1"/>
    <mergeCell ref="A17:E17"/>
  </mergeCells>
  <printOptions horizontalCentered="1" verticalCentered="1"/>
  <pageMargins left="0.4" right="0.4" top="0.25" bottom="0.25" header="0.31496062992126" footer="0.31496062992126"/>
  <pageSetup scale="58" orientation="landscape"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9">
    <tabColor theme="9" tint="-0.249977111117893"/>
    <pageSetUpPr fitToPage="1"/>
  </sheetPr>
  <dimension ref="A1:R18"/>
  <sheetViews>
    <sheetView showGridLines="0" view="pageBreakPreview" zoomScale="85" zoomScaleNormal="100" zoomScaleSheetLayoutView="85" workbookViewId="0">
      <selection activeCell="J12" sqref="J12"/>
    </sheetView>
  </sheetViews>
  <sheetFormatPr baseColWidth="10" defaultColWidth="11.42578125" defaultRowHeight="15"/>
  <cols>
    <col min="1" max="1" width="13.28515625" style="39" customWidth="1"/>
    <col min="2" max="2" width="18" style="39" customWidth="1"/>
    <col min="3" max="3" width="15.85546875" style="39" customWidth="1"/>
    <col min="4" max="4" width="13.140625" style="39" customWidth="1"/>
    <col min="5" max="5" width="11.28515625" style="39" customWidth="1"/>
    <col min="6" max="6" width="13.5703125" style="39" customWidth="1"/>
    <col min="7" max="7" width="13.140625" style="39" customWidth="1"/>
    <col min="8" max="8" width="22.85546875" style="39" customWidth="1"/>
    <col min="9" max="9" width="19.85546875" style="39" customWidth="1"/>
    <col min="10" max="10" width="13.42578125" style="39" customWidth="1"/>
    <col min="11" max="11" width="14" style="39" customWidth="1"/>
    <col min="12" max="12" width="15.5703125" style="39" customWidth="1"/>
    <col min="13" max="13" width="17" style="39" customWidth="1"/>
    <col min="14" max="14" width="13.140625" style="39" bestFit="1" customWidth="1"/>
    <col min="15" max="15" width="7.140625" style="39" customWidth="1"/>
    <col min="16" max="16" width="18.42578125" style="39" customWidth="1"/>
    <col min="17" max="17" width="27.28515625" style="39" customWidth="1"/>
    <col min="18" max="16384" width="11.42578125" style="39"/>
  </cols>
  <sheetData>
    <row r="1" spans="1:18" s="77" customFormat="1" ht="72" customHeight="1">
      <c r="A1" s="2065"/>
      <c r="B1" s="2065"/>
      <c r="C1" s="2065"/>
      <c r="D1" s="2065"/>
      <c r="E1" s="2065"/>
      <c r="F1" s="2065"/>
      <c r="G1" s="2065"/>
      <c r="H1" s="2065"/>
      <c r="I1" s="2065"/>
      <c r="J1" s="2065"/>
      <c r="K1" s="2065"/>
      <c r="L1" s="2065"/>
      <c r="M1" s="2065"/>
    </row>
    <row r="2" spans="1:18" s="77" customFormat="1" ht="15" customHeight="1">
      <c r="A2" s="153"/>
      <c r="B2" s="153"/>
      <c r="C2" s="153"/>
      <c r="D2" s="153"/>
      <c r="E2" s="153"/>
      <c r="F2" s="153"/>
      <c r="G2" s="153"/>
      <c r="H2" s="153"/>
      <c r="I2" s="153"/>
      <c r="J2" s="153"/>
      <c r="K2" s="153"/>
      <c r="L2" s="153"/>
    </row>
    <row r="3" spans="1:18" s="77" customFormat="1" ht="46.5" customHeight="1">
      <c r="A3" s="1133" t="s">
        <v>237</v>
      </c>
      <c r="B3" s="1134" t="s">
        <v>743</v>
      </c>
      <c r="C3" s="1283" t="s">
        <v>577</v>
      </c>
      <c r="D3"/>
      <c r="E3"/>
      <c r="F3"/>
      <c r="G3"/>
      <c r="H3"/>
      <c r="I3"/>
      <c r="L3"/>
      <c r="M3" s="68"/>
      <c r="N3" s="68"/>
      <c r="O3" s="39"/>
      <c r="P3" s="39"/>
      <c r="Q3" s="94"/>
      <c r="R3" s="94"/>
    </row>
    <row r="4" spans="1:18" ht="16.5" hidden="1" customHeight="1">
      <c r="A4" s="1136" t="s">
        <v>542</v>
      </c>
      <c r="B4" s="1438">
        <v>30389</v>
      </c>
      <c r="C4" s="1843"/>
      <c r="D4" s="77"/>
      <c r="E4" s="77"/>
      <c r="F4" s="77"/>
      <c r="G4" s="77"/>
      <c r="H4" s="77"/>
      <c r="I4" s="77"/>
      <c r="L4" s="77"/>
    </row>
    <row r="5" spans="1:18" ht="16.5" customHeight="1">
      <c r="A5" s="1136" t="s">
        <v>576</v>
      </c>
      <c r="B5" s="1438">
        <v>30237</v>
      </c>
      <c r="C5" s="1284">
        <f>B5/B4-1</f>
        <v>-5.001809865411877E-3</v>
      </c>
      <c r="D5" s="77"/>
      <c r="E5" s="77"/>
      <c r="F5" s="77"/>
      <c r="G5" s="77"/>
      <c r="H5" s="77"/>
      <c r="I5" s="77"/>
      <c r="L5" s="77"/>
    </row>
    <row r="6" spans="1:18" ht="16.5" customHeight="1">
      <c r="A6" s="1136" t="s">
        <v>574</v>
      </c>
      <c r="B6" s="1438">
        <v>30470</v>
      </c>
      <c r="C6" s="1284">
        <f t="shared" ref="C6:C17" si="0">B6/B5-1</f>
        <v>7.7057909184112816E-3</v>
      </c>
      <c r="D6" s="77"/>
      <c r="E6" s="77"/>
      <c r="F6" s="77"/>
      <c r="G6" s="77"/>
      <c r="H6" s="77"/>
      <c r="I6" s="77"/>
      <c r="L6" s="77"/>
    </row>
    <row r="7" spans="1:18" ht="16.5" customHeight="1">
      <c r="A7" s="1136" t="s">
        <v>575</v>
      </c>
      <c r="B7" s="1438">
        <v>30485</v>
      </c>
      <c r="C7" s="1284">
        <f t="shared" si="0"/>
        <v>4.9228749589769194E-4</v>
      </c>
      <c r="D7"/>
      <c r="E7"/>
      <c r="F7"/>
      <c r="G7"/>
      <c r="H7"/>
      <c r="I7"/>
      <c r="L7"/>
    </row>
    <row r="8" spans="1:18" ht="16.5" customHeight="1">
      <c r="A8" s="1136" t="s">
        <v>711</v>
      </c>
      <c r="B8" s="1438">
        <v>30622</v>
      </c>
      <c r="C8" s="1284">
        <f t="shared" si="0"/>
        <v>4.4940134492372774E-3</v>
      </c>
      <c r="D8" s="77"/>
      <c r="E8" s="77"/>
      <c r="F8" s="77"/>
      <c r="G8" s="77"/>
      <c r="H8" s="77"/>
      <c r="I8" s="77"/>
      <c r="L8" s="77"/>
    </row>
    <row r="9" spans="1:18" ht="16.5" customHeight="1">
      <c r="A9" s="1136" t="s">
        <v>732</v>
      </c>
      <c r="B9" s="1438">
        <v>30655</v>
      </c>
      <c r="C9" s="1284">
        <f t="shared" si="0"/>
        <v>1.0776565867676169E-3</v>
      </c>
      <c r="D9" s="77"/>
      <c r="E9" s="77"/>
      <c r="F9" s="77"/>
      <c r="G9" s="77"/>
      <c r="H9" s="77"/>
      <c r="I9" s="77"/>
      <c r="L9" s="77"/>
    </row>
    <row r="10" spans="1:18" ht="16.5" customHeight="1">
      <c r="A10" s="1136" t="s">
        <v>738</v>
      </c>
      <c r="B10" s="1438">
        <v>30950</v>
      </c>
      <c r="C10" s="1284">
        <f t="shared" si="0"/>
        <v>9.6232262273689972E-3</v>
      </c>
      <c r="D10" s="77"/>
      <c r="E10" s="77"/>
      <c r="F10" s="77"/>
      <c r="G10" s="77"/>
      <c r="H10" s="77"/>
      <c r="I10" s="77"/>
      <c r="L10" s="77"/>
    </row>
    <row r="11" spans="1:18" ht="16.5" customHeight="1">
      <c r="A11" s="1136" t="s">
        <v>746</v>
      </c>
      <c r="B11" s="1438">
        <v>30599</v>
      </c>
      <c r="C11" s="1284">
        <f t="shared" si="0"/>
        <v>-1.1340872374798083E-2</v>
      </c>
      <c r="D11" s="77"/>
      <c r="E11" s="77"/>
      <c r="F11" s="77"/>
      <c r="G11" s="77"/>
      <c r="H11" s="77"/>
      <c r="I11" s="77"/>
      <c r="L11" s="77"/>
    </row>
    <row r="12" spans="1:18" ht="16.5" customHeight="1">
      <c r="A12" s="1136" t="s">
        <v>760</v>
      </c>
      <c r="B12" s="1438">
        <v>30733</v>
      </c>
      <c r="C12" s="1284">
        <f t="shared" si="0"/>
        <v>4.3792280793490956E-3</v>
      </c>
      <c r="D12" s="77"/>
      <c r="E12" s="77"/>
      <c r="F12" s="77"/>
      <c r="G12" s="77"/>
      <c r="H12" s="77"/>
      <c r="I12" s="77"/>
      <c r="L12" s="77"/>
    </row>
    <row r="13" spans="1:18" ht="16.5" customHeight="1">
      <c r="A13" s="1136" t="s">
        <v>769</v>
      </c>
      <c r="B13" s="1438">
        <v>30690</v>
      </c>
      <c r="C13" s="1284">
        <f t="shared" si="0"/>
        <v>-1.3991474961767558E-3</v>
      </c>
      <c r="D13" s="77"/>
      <c r="E13" s="77"/>
      <c r="F13" s="77"/>
      <c r="G13" s="77"/>
      <c r="H13" s="77"/>
      <c r="I13" s="77"/>
      <c r="L13" s="77"/>
    </row>
    <row r="14" spans="1:18" ht="16.5" customHeight="1">
      <c r="A14" s="1136" t="s">
        <v>779</v>
      </c>
      <c r="B14" s="1438">
        <v>30597</v>
      </c>
      <c r="C14" s="1284">
        <f t="shared" si="0"/>
        <v>-3.0303030303030498E-3</v>
      </c>
      <c r="D14" s="77"/>
      <c r="E14" s="77"/>
      <c r="F14" s="77"/>
      <c r="G14" s="77"/>
      <c r="H14" s="77"/>
      <c r="I14" s="77"/>
      <c r="L14" s="77"/>
    </row>
    <row r="15" spans="1:18" ht="16.5" customHeight="1">
      <c r="A15" s="1136" t="s">
        <v>783</v>
      </c>
      <c r="B15" s="1438">
        <v>30640</v>
      </c>
      <c r="C15" s="1284">
        <f t="shared" si="0"/>
        <v>1.4053665392030901E-3</v>
      </c>
      <c r="D15" s="77"/>
      <c r="E15" s="77"/>
      <c r="F15" s="77"/>
      <c r="G15" s="77"/>
      <c r="H15" s="77"/>
      <c r="I15" s="77"/>
      <c r="L15" s="77"/>
    </row>
    <row r="16" spans="1:18" ht="16.5" customHeight="1">
      <c r="A16" s="1136" t="s">
        <v>970</v>
      </c>
      <c r="B16" s="1438">
        <v>30504</v>
      </c>
      <c r="C16" s="1284">
        <f t="shared" si="0"/>
        <v>-4.4386422976501194E-3</v>
      </c>
      <c r="D16" s="1777"/>
      <c r="E16" s="1777"/>
      <c r="F16" s="1777"/>
      <c r="G16" s="1777"/>
      <c r="H16" s="1777"/>
      <c r="I16" s="1777"/>
      <c r="L16" s="1777"/>
    </row>
    <row r="17" spans="1:4" ht="16.5" customHeight="1">
      <c r="A17" s="1531" t="s">
        <v>1002</v>
      </c>
      <c r="B17" s="1439">
        <v>30522</v>
      </c>
      <c r="C17" s="1285">
        <f t="shared" si="0"/>
        <v>5.90086546026658E-4</v>
      </c>
    </row>
    <row r="18" spans="1:4" ht="15.75">
      <c r="A18" s="2068" t="s">
        <v>717</v>
      </c>
      <c r="B18" s="2068"/>
      <c r="C18" s="2068"/>
      <c r="D18" s="2068"/>
    </row>
  </sheetData>
  <mergeCells count="2">
    <mergeCell ref="A1:M1"/>
    <mergeCell ref="A18:D18"/>
  </mergeCells>
  <printOptions horizontalCentered="1" verticalCentered="1"/>
  <pageMargins left="0.4" right="0.4" top="0.25" bottom="0.25" header="0.31496062992126" footer="0.31496062992126"/>
  <pageSetup scale="65" orientation="landscape"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0">
    <tabColor theme="9" tint="-0.499984740745262"/>
  </sheetPr>
  <dimension ref="L1:M1"/>
  <sheetViews>
    <sheetView showGridLines="0" view="pageBreakPreview" topLeftCell="A4" zoomScale="70" zoomScaleNormal="100" zoomScaleSheetLayoutView="70" workbookViewId="0">
      <selection activeCell="R53" sqref="R53"/>
    </sheetView>
  </sheetViews>
  <sheetFormatPr baseColWidth="10" defaultColWidth="11.42578125" defaultRowHeight="15"/>
  <cols>
    <col min="1" max="6" width="11.42578125" style="77"/>
    <col min="7" max="7" width="35.7109375" style="77" customWidth="1"/>
    <col min="8" max="10" width="11.42578125" style="77"/>
    <col min="11" max="11" width="11.28515625" style="77" customWidth="1"/>
    <col min="12" max="13" width="11.42578125" style="77" hidden="1" customWidth="1"/>
    <col min="14" max="16384" width="11.42578125" style="77"/>
  </cols>
  <sheetData/>
  <pageMargins left="0.7" right="0.7" top="0.75" bottom="0.75" header="0.3" footer="0.3"/>
  <pageSetup scale="65" orientation="landscape"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1">
    <tabColor theme="9" tint="-0.249977111117893"/>
    <pageSetUpPr fitToPage="1"/>
  </sheetPr>
  <dimension ref="A1"/>
  <sheetViews>
    <sheetView showGridLines="0" view="pageBreakPreview" zoomScale="85" zoomScaleNormal="100" zoomScaleSheetLayoutView="85" workbookViewId="0">
      <selection activeCell="P26" sqref="P26"/>
    </sheetView>
  </sheetViews>
  <sheetFormatPr baseColWidth="10" defaultColWidth="11.42578125" defaultRowHeight="15"/>
  <cols>
    <col min="1" max="6" width="11.42578125" style="77"/>
    <col min="7" max="7" width="13.42578125" style="77" customWidth="1"/>
    <col min="8" max="10" width="11.42578125" style="77"/>
    <col min="11" max="11" width="15.5703125" style="77" customWidth="1"/>
    <col min="12" max="12" width="13.140625" style="77" customWidth="1"/>
    <col min="13" max="16384" width="11.42578125" style="77"/>
  </cols>
  <sheetData/>
  <pageMargins left="0.70866141732283472" right="0.70866141732283472" top="0.74803149606299213" bottom="0.74803149606299213" header="0.31496062992125984" footer="0.31496062992125984"/>
  <pageSetup scale="75" orientation="landscape"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2">
    <tabColor theme="9" tint="-0.249977111117893"/>
    <pageSetUpPr fitToPage="1"/>
  </sheetPr>
  <dimension ref="I5:Q49"/>
  <sheetViews>
    <sheetView showGridLines="0" view="pageBreakPreview" zoomScaleNormal="100" zoomScaleSheetLayoutView="100" workbookViewId="0">
      <selection activeCell="N18" sqref="N18"/>
    </sheetView>
  </sheetViews>
  <sheetFormatPr baseColWidth="10" defaultColWidth="11.42578125" defaultRowHeight="15"/>
  <cols>
    <col min="1" max="6" width="11.42578125" style="77"/>
    <col min="7" max="7" width="13.42578125" style="77" customWidth="1"/>
    <col min="8" max="10" width="11.42578125" style="77"/>
    <col min="11" max="11" width="15.5703125" style="77" customWidth="1"/>
    <col min="12" max="12" width="13.140625" style="77" customWidth="1"/>
    <col min="13" max="13" width="11.42578125" style="77"/>
    <col min="14" max="14" width="7.85546875" style="77" customWidth="1"/>
    <col min="15" max="15" width="8.7109375" style="77" customWidth="1"/>
    <col min="16" max="16" width="29" style="77" customWidth="1"/>
    <col min="17" max="17" width="24.85546875" style="77" customWidth="1"/>
    <col min="18" max="16384" width="11.42578125" style="77"/>
  </cols>
  <sheetData>
    <row r="5" spans="14:17" ht="15" customHeight="1"/>
    <row r="8" spans="14:17" ht="19.5">
      <c r="N8" s="929"/>
    </row>
    <row r="13" spans="14:17">
      <c r="P13" s="50"/>
      <c r="Q13" s="50"/>
    </row>
    <row r="14" spans="14:17">
      <c r="P14" s="50"/>
      <c r="Q14" s="50"/>
    </row>
    <row r="15" spans="14:17">
      <c r="P15" s="50"/>
      <c r="Q15" s="824"/>
    </row>
    <row r="19" spans="14:16">
      <c r="N19" s="173"/>
      <c r="O19" s="173"/>
    </row>
    <row r="20" spans="14:16">
      <c r="N20" s="173"/>
      <c r="O20" s="173"/>
    </row>
    <row r="21" spans="14:16">
      <c r="P21" s="144"/>
    </row>
    <row r="22" spans="14:16">
      <c r="O22" s="144"/>
    </row>
    <row r="23" spans="14:16">
      <c r="O23" s="144"/>
    </row>
    <row r="45" spans="9:12">
      <c r="L45" s="277"/>
    </row>
    <row r="47" spans="9:12">
      <c r="I47" s="277"/>
    </row>
    <row r="49" spans="9:9">
      <c r="I49" s="144"/>
    </row>
  </sheetData>
  <pageMargins left="0.70866141732283472" right="0.70866141732283472" top="0.74803149606299213" bottom="0.74803149606299213" header="0.31496062992125984" footer="0.31496062992125984"/>
  <pageSetup scale="77" orientation="landscape"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3">
    <tabColor theme="9" tint="-0.249977111117893"/>
  </sheetPr>
  <dimension ref="A1:U34"/>
  <sheetViews>
    <sheetView showGridLines="0" view="pageBreakPreview" topLeftCell="B1" zoomScale="70" zoomScaleNormal="100" zoomScaleSheetLayoutView="70" workbookViewId="0">
      <pane ySplit="1" topLeftCell="A2" activePane="bottomLeft" state="frozen"/>
      <selection pane="bottomLeft" activeCell="O1" sqref="O1:R1048576"/>
    </sheetView>
  </sheetViews>
  <sheetFormatPr baseColWidth="10" defaultColWidth="11.42578125" defaultRowHeight="15"/>
  <cols>
    <col min="1" max="1" width="12.5703125" style="77" customWidth="1"/>
    <col min="2" max="2" width="15" style="77" customWidth="1"/>
    <col min="3" max="3" width="13.28515625" style="77" customWidth="1"/>
    <col min="4" max="4" width="15.42578125" style="77" customWidth="1"/>
    <col min="5" max="5" width="13.85546875" style="77" customWidth="1"/>
    <col min="6" max="6" width="14.28515625" style="77" customWidth="1"/>
    <col min="7" max="7" width="23" style="77" customWidth="1"/>
    <col min="8" max="8" width="17" style="77" customWidth="1"/>
    <col min="9" max="9" width="16.28515625" style="77" customWidth="1"/>
    <col min="10" max="10" width="12.42578125" style="77" customWidth="1"/>
    <col min="11" max="11" width="13" style="77" customWidth="1"/>
    <col min="12" max="12" width="10.85546875" style="77" customWidth="1"/>
    <col min="13" max="13" width="22" style="77" customWidth="1"/>
    <col min="14" max="14" width="6.85546875" style="77" customWidth="1"/>
    <col min="15" max="15" width="6.7109375" style="77" customWidth="1"/>
    <col min="16" max="16" width="15.28515625" style="77" customWidth="1"/>
    <col min="17" max="17" width="12.7109375" style="77" customWidth="1"/>
    <col min="18" max="16384" width="11.42578125" style="77"/>
  </cols>
  <sheetData>
    <row r="1" spans="1:21" ht="75.75" customHeight="1">
      <c r="A1" s="2069"/>
      <c r="B1" s="2069"/>
      <c r="C1" s="2069"/>
      <c r="D1" s="2069"/>
      <c r="E1" s="2069"/>
      <c r="F1" s="2069"/>
      <c r="G1" s="2069"/>
      <c r="H1" s="2069"/>
      <c r="I1" s="2069"/>
      <c r="J1" s="2069"/>
      <c r="K1" s="2069"/>
      <c r="L1" s="2069"/>
      <c r="M1" s="2069"/>
      <c r="N1" s="2069"/>
    </row>
    <row r="2" spans="1:21" ht="9" customHeight="1">
      <c r="A2" s="2070" t="s">
        <v>622</v>
      </c>
      <c r="B2" s="2070"/>
      <c r="C2" s="2070"/>
      <c r="D2" s="2070"/>
      <c r="E2" s="2070"/>
      <c r="F2" s="2070"/>
      <c r="G2" s="2070"/>
      <c r="H2" s="2070"/>
      <c r="I2" s="2070"/>
      <c r="J2" s="2070"/>
      <c r="K2" s="2070"/>
      <c r="L2" s="2070"/>
      <c r="M2" s="2070"/>
      <c r="N2" s="2070"/>
    </row>
    <row r="3" spans="1:21" ht="37.5" customHeight="1">
      <c r="A3" s="1183" t="s">
        <v>25</v>
      </c>
      <c r="B3" s="971" t="s">
        <v>44</v>
      </c>
      <c r="C3" s="971" t="s">
        <v>526</v>
      </c>
      <c r="D3" s="1184" t="s">
        <v>218</v>
      </c>
      <c r="P3" s="156"/>
      <c r="T3" s="170"/>
      <c r="U3" s="170"/>
    </row>
    <row r="4" spans="1:21" ht="15.75">
      <c r="A4" s="1188">
        <v>2003</v>
      </c>
      <c r="B4" s="823">
        <v>576869</v>
      </c>
      <c r="C4" s="823">
        <v>986538</v>
      </c>
      <c r="D4" s="1185">
        <f t="shared" ref="D4:D16" si="0">B4/C4</f>
        <v>0.58474078038555033</v>
      </c>
      <c r="T4" s="170"/>
      <c r="U4" s="170"/>
    </row>
    <row r="5" spans="1:21" ht="15.75">
      <c r="A5" s="320">
        <v>2004</v>
      </c>
      <c r="B5" s="264">
        <v>593286</v>
      </c>
      <c r="C5" s="264">
        <v>1190202</v>
      </c>
      <c r="D5" s="1186">
        <f t="shared" si="0"/>
        <v>0.49847504877323345</v>
      </c>
      <c r="T5" s="170"/>
      <c r="U5" s="170"/>
    </row>
    <row r="6" spans="1:21" ht="15.75">
      <c r="A6" s="320">
        <v>2005</v>
      </c>
      <c r="B6" s="264">
        <v>626615</v>
      </c>
      <c r="C6" s="265">
        <v>1429521</v>
      </c>
      <c r="D6" s="1186">
        <f t="shared" si="0"/>
        <v>0.43833913597631652</v>
      </c>
      <c r="O6" s="156"/>
      <c r="T6" s="170"/>
      <c r="U6" s="170"/>
    </row>
    <row r="7" spans="1:21" ht="15.75">
      <c r="A7" s="320">
        <v>2006</v>
      </c>
      <c r="B7" s="264">
        <v>808496</v>
      </c>
      <c r="C7" s="264">
        <v>1588621</v>
      </c>
      <c r="D7" s="1186">
        <f t="shared" si="0"/>
        <v>0.50892944257944472</v>
      </c>
      <c r="P7" s="263"/>
      <c r="T7" s="170"/>
      <c r="U7" s="170"/>
    </row>
    <row r="8" spans="1:21" ht="15.75">
      <c r="A8" s="320">
        <v>2007</v>
      </c>
      <c r="B8" s="264">
        <v>913203</v>
      </c>
      <c r="C8" s="264">
        <v>1797027</v>
      </c>
      <c r="D8" s="1186">
        <f t="shared" si="0"/>
        <v>0.5081743346093297</v>
      </c>
      <c r="T8" s="170"/>
      <c r="U8" s="170"/>
    </row>
    <row r="9" spans="1:21" ht="15.75">
      <c r="A9" s="320">
        <v>2008</v>
      </c>
      <c r="B9" s="264">
        <v>929743</v>
      </c>
      <c r="C9" s="264">
        <v>1983720</v>
      </c>
      <c r="D9" s="1186">
        <f t="shared" si="0"/>
        <v>0.46868660899723752</v>
      </c>
      <c r="P9" s="156"/>
      <c r="T9" s="170"/>
      <c r="U9" s="170"/>
    </row>
    <row r="10" spans="1:21" ht="15.75">
      <c r="A10" s="320">
        <v>2009</v>
      </c>
      <c r="B10" s="264">
        <v>1118293</v>
      </c>
      <c r="C10" s="264">
        <v>2193890</v>
      </c>
      <c r="D10" s="1186">
        <f t="shared" si="0"/>
        <v>0.50973066106322562</v>
      </c>
      <c r="O10" s="173"/>
      <c r="P10" s="1625"/>
      <c r="Q10" s="1626"/>
      <c r="T10" s="170"/>
      <c r="U10" s="170"/>
    </row>
    <row r="11" spans="1:21" ht="15.75">
      <c r="A11" s="320">
        <v>2010</v>
      </c>
      <c r="B11" s="264">
        <v>1189601</v>
      </c>
      <c r="C11" s="264">
        <v>2374783</v>
      </c>
      <c r="D11" s="1186">
        <f t="shared" si="0"/>
        <v>0.50093040079872564</v>
      </c>
      <c r="P11" s="1627"/>
      <c r="Q11" s="1628"/>
      <c r="T11" s="170"/>
      <c r="U11" s="170"/>
    </row>
    <row r="12" spans="1:21" ht="15.75">
      <c r="A12" s="320">
        <v>2011</v>
      </c>
      <c r="B12" s="264">
        <v>1242780</v>
      </c>
      <c r="C12" s="264">
        <v>2552974</v>
      </c>
      <c r="D12" s="1186">
        <f t="shared" si="0"/>
        <v>0.4867969669883046</v>
      </c>
      <c r="P12" s="1627"/>
      <c r="Q12" s="1628"/>
      <c r="T12" s="170"/>
      <c r="U12" s="170"/>
    </row>
    <row r="13" spans="1:21" ht="15.75">
      <c r="A13" s="320">
        <v>2012</v>
      </c>
      <c r="B13" s="264">
        <v>1291137</v>
      </c>
      <c r="C13" s="264">
        <v>2714449</v>
      </c>
      <c r="D13" s="1186">
        <f t="shared" si="0"/>
        <v>0.47565343832210516</v>
      </c>
      <c r="O13" s="210"/>
      <c r="P13" s="1627"/>
      <c r="Q13" s="1628"/>
      <c r="T13" s="170"/>
      <c r="U13" s="170"/>
    </row>
    <row r="14" spans="1:21" ht="15.75">
      <c r="A14" s="320">
        <v>2013</v>
      </c>
      <c r="B14" s="264">
        <v>1376966</v>
      </c>
      <c r="C14" s="264">
        <v>2881130</v>
      </c>
      <c r="D14" s="1186">
        <f t="shared" si="0"/>
        <v>0.47792567499557465</v>
      </c>
      <c r="P14" s="1627"/>
      <c r="Q14" s="1628"/>
      <c r="T14" s="170"/>
      <c r="U14" s="170"/>
    </row>
    <row r="15" spans="1:21" ht="15.75">
      <c r="A15" s="320">
        <v>2014</v>
      </c>
      <c r="B15" s="264">
        <v>1508392</v>
      </c>
      <c r="C15" s="264">
        <v>3069900</v>
      </c>
      <c r="D15" s="1186">
        <f t="shared" si="0"/>
        <v>0.49134890387309033</v>
      </c>
      <c r="G15" s="277"/>
      <c r="P15" s="1627"/>
      <c r="Q15" s="1628"/>
      <c r="T15" s="170"/>
      <c r="U15" s="170"/>
    </row>
    <row r="16" spans="1:21" ht="15.75">
      <c r="A16" s="1735">
        <v>42309</v>
      </c>
      <c r="B16" s="1737">
        <v>1569766</v>
      </c>
      <c r="C16" s="1737">
        <v>3253374</v>
      </c>
      <c r="D16" s="1187">
        <f t="shared" si="0"/>
        <v>0.4825040096834855</v>
      </c>
      <c r="E16" s="48"/>
      <c r="F16" s="1381"/>
      <c r="G16" s="14" t="s">
        <v>466</v>
      </c>
      <c r="H16" s="14"/>
      <c r="I16" s="1"/>
      <c r="J16" s="15"/>
      <c r="K16" s="1"/>
      <c r="L16" s="1"/>
      <c r="P16" s="1627"/>
      <c r="Q16" s="1628"/>
      <c r="T16" s="170"/>
      <c r="U16" s="170"/>
    </row>
    <row r="17" spans="1:21" ht="15.75">
      <c r="A17" s="77" t="s">
        <v>971</v>
      </c>
      <c r="B17" s="1"/>
      <c r="C17" s="1"/>
      <c r="D17" s="1"/>
      <c r="E17" s="7"/>
      <c r="F17" s="13"/>
      <c r="G17" s="13"/>
      <c r="H17" s="13"/>
      <c r="I17" s="1"/>
      <c r="J17" s="15"/>
      <c r="K17" s="1"/>
      <c r="L17" s="1"/>
      <c r="P17" s="1627"/>
      <c r="Q17" s="1628"/>
      <c r="T17" s="170"/>
      <c r="U17" s="170"/>
    </row>
    <row r="18" spans="1:21" ht="15.75">
      <c r="B18" s="1"/>
      <c r="C18" s="1"/>
      <c r="D18" s="1"/>
      <c r="E18" s="1"/>
      <c r="F18" s="5"/>
      <c r="G18" s="5"/>
      <c r="H18" s="5"/>
      <c r="I18" s="1"/>
      <c r="J18" s="1"/>
      <c r="K18" s="1"/>
      <c r="L18" s="1"/>
      <c r="P18" s="1627"/>
      <c r="Q18" s="1628"/>
      <c r="T18" s="170"/>
      <c r="U18" s="170"/>
    </row>
    <row r="19" spans="1:21" ht="15.75">
      <c r="B19" s="1"/>
      <c r="C19" s="1"/>
      <c r="D19" s="1"/>
      <c r="E19" s="1"/>
      <c r="F19" s="1"/>
      <c r="G19" s="1"/>
      <c r="H19" s="1"/>
      <c r="I19" s="1"/>
      <c r="J19" s="1"/>
      <c r="K19" s="1"/>
      <c r="L19" s="1"/>
      <c r="P19" s="1627"/>
      <c r="Q19" s="1628"/>
      <c r="T19" s="170"/>
      <c r="U19" s="170"/>
    </row>
    <row r="20" spans="1:21">
      <c r="B20" s="1"/>
      <c r="C20" s="1"/>
      <c r="D20" s="1"/>
      <c r="E20" s="1"/>
      <c r="F20" s="1"/>
      <c r="G20" s="1"/>
      <c r="H20" s="1"/>
      <c r="I20" s="1"/>
      <c r="J20" s="1"/>
      <c r="K20" s="1"/>
      <c r="L20" s="1"/>
      <c r="P20" s="1627"/>
      <c r="Q20" s="1628"/>
    </row>
    <row r="21" spans="1:21">
      <c r="B21" s="1"/>
      <c r="C21" s="1"/>
      <c r="D21" s="1"/>
      <c r="E21" s="1"/>
      <c r="F21" s="1"/>
      <c r="G21" s="1"/>
      <c r="H21" s="1"/>
      <c r="I21" s="1"/>
      <c r="J21" s="1"/>
      <c r="K21" s="1"/>
      <c r="L21" s="1"/>
      <c r="P21" s="1627"/>
      <c r="Q21" s="1628"/>
    </row>
    <row r="22" spans="1:21">
      <c r="B22" s="1"/>
      <c r="C22" s="1"/>
      <c r="D22" s="1"/>
      <c r="E22" s="1"/>
      <c r="F22" s="1"/>
      <c r="G22" s="1"/>
      <c r="H22" s="1"/>
      <c r="I22" s="1"/>
      <c r="J22" s="1"/>
      <c r="K22" s="1"/>
      <c r="L22" s="1"/>
      <c r="P22" s="1627"/>
      <c r="Q22" s="1628"/>
    </row>
    <row r="23" spans="1:21">
      <c r="B23" s="1"/>
      <c r="C23" s="1"/>
      <c r="D23" s="1"/>
      <c r="E23" s="1"/>
      <c r="F23" s="1"/>
      <c r="G23" s="1"/>
      <c r="H23" s="1"/>
      <c r="I23" s="1"/>
      <c r="J23" s="1"/>
      <c r="K23" s="1"/>
      <c r="L23" s="1"/>
      <c r="P23" s="1629"/>
      <c r="Q23" s="1630"/>
    </row>
    <row r="24" spans="1:21">
      <c r="B24" s="1"/>
      <c r="C24" s="1"/>
      <c r="D24" s="1"/>
      <c r="E24" s="1"/>
      <c r="F24" s="1"/>
      <c r="G24" s="1"/>
      <c r="H24" s="1"/>
      <c r="I24" s="1"/>
      <c r="J24" s="1"/>
      <c r="K24" s="1"/>
      <c r="L24" s="1"/>
      <c r="M24" s="77" t="s">
        <v>31</v>
      </c>
    </row>
    <row r="25" spans="1:21">
      <c r="B25" s="1"/>
      <c r="C25" s="1"/>
      <c r="D25" s="1"/>
      <c r="E25" s="1"/>
      <c r="F25" s="1"/>
      <c r="G25" s="1"/>
      <c r="H25" s="1"/>
      <c r="I25" s="1"/>
      <c r="J25" s="1"/>
      <c r="K25" s="1"/>
      <c r="L25" s="1"/>
      <c r="P25" s="156"/>
    </row>
    <row r="26" spans="1:21">
      <c r="B26" s="1"/>
      <c r="C26" s="1"/>
      <c r="D26" s="1"/>
      <c r="E26" s="1"/>
      <c r="F26" s="1"/>
      <c r="G26" s="1"/>
      <c r="H26" s="1"/>
      <c r="I26" s="1"/>
      <c r="J26" s="1"/>
      <c r="K26" s="1"/>
      <c r="L26" s="1"/>
    </row>
    <row r="27" spans="1:21">
      <c r="B27" s="1"/>
      <c r="C27" s="1"/>
      <c r="D27" s="1"/>
      <c r="E27" s="1"/>
      <c r="F27" s="1"/>
      <c r="G27" s="1"/>
      <c r="H27" s="1"/>
      <c r="I27" s="1"/>
      <c r="J27" s="1"/>
      <c r="K27" s="1"/>
      <c r="L27" s="1"/>
      <c r="P27" s="156"/>
    </row>
    <row r="28" spans="1:21">
      <c r="B28" s="1"/>
      <c r="C28" s="1"/>
      <c r="D28" s="1"/>
      <c r="E28" s="1"/>
      <c r="F28" s="1"/>
      <c r="G28" s="1"/>
      <c r="H28" s="1"/>
      <c r="I28" s="1"/>
      <c r="J28" s="1"/>
      <c r="K28" s="1"/>
      <c r="L28" s="1"/>
      <c r="P28" s="156"/>
    </row>
    <row r="29" spans="1:21">
      <c r="B29" s="1"/>
      <c r="C29" s="1"/>
      <c r="D29" s="1"/>
      <c r="E29" s="1"/>
      <c r="F29" s="1"/>
      <c r="G29" s="1"/>
      <c r="H29" s="1"/>
      <c r="I29" s="1"/>
      <c r="J29" s="1"/>
      <c r="K29" s="1"/>
      <c r="L29" s="1"/>
      <c r="P29" s="156"/>
    </row>
    <row r="30" spans="1:21">
      <c r="B30" s="1"/>
      <c r="C30" s="1"/>
      <c r="D30" s="1"/>
      <c r="E30" s="1"/>
      <c r="F30" s="1"/>
      <c r="G30" s="1"/>
      <c r="H30" s="1"/>
      <c r="I30" s="1"/>
      <c r="J30" s="1"/>
      <c r="K30" s="1"/>
      <c r="L30" s="1"/>
    </row>
    <row r="31" spans="1:21">
      <c r="B31" s="1"/>
      <c r="C31" s="1"/>
      <c r="D31" s="1"/>
      <c r="E31" s="1"/>
      <c r="F31" s="1"/>
      <c r="G31" s="1"/>
      <c r="H31" s="1"/>
      <c r="I31" s="1"/>
      <c r="J31" s="1"/>
      <c r="K31" s="1"/>
      <c r="L31" s="1"/>
    </row>
    <row r="32" spans="1:21">
      <c r="B32" s="1"/>
      <c r="C32" s="1"/>
      <c r="D32" s="1"/>
      <c r="E32" s="1"/>
      <c r="F32" s="1"/>
      <c r="G32" s="1"/>
      <c r="H32" s="1"/>
      <c r="I32" s="1"/>
      <c r="J32" s="1"/>
      <c r="K32" s="1"/>
      <c r="L32" s="1"/>
    </row>
    <row r="33" spans="2:12">
      <c r="B33" s="1"/>
      <c r="C33" s="1"/>
      <c r="D33" s="1"/>
      <c r="E33" s="1"/>
      <c r="F33" s="1"/>
      <c r="G33" s="1"/>
      <c r="H33" s="1"/>
      <c r="I33" s="1"/>
      <c r="J33" s="1"/>
      <c r="K33" s="1"/>
      <c r="L33" s="1"/>
    </row>
    <row r="34" spans="2:12">
      <c r="B34" s="1"/>
      <c r="C34" s="1"/>
      <c r="D34" s="1"/>
      <c r="E34" s="1"/>
      <c r="F34" s="1"/>
      <c r="G34" s="1"/>
      <c r="H34" s="1"/>
      <c r="I34" s="1"/>
      <c r="J34" s="1"/>
      <c r="K34" s="1"/>
      <c r="L34" s="1"/>
    </row>
  </sheetData>
  <mergeCells count="2">
    <mergeCell ref="A1:N1"/>
    <mergeCell ref="A2:N2"/>
  </mergeCells>
  <printOptions horizontalCentered="1" verticalCentered="1"/>
  <pageMargins left="0.4" right="0.4" top="0.25" bottom="0.25" header="0.31496062992126" footer="0.31496062992126"/>
  <pageSetup scale="56" orientation="landscape"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4">
    <tabColor theme="9" tint="-0.249977111117893"/>
    <pageSetUpPr fitToPage="1"/>
  </sheetPr>
  <dimension ref="A1:N16"/>
  <sheetViews>
    <sheetView showGridLines="0" view="pageBreakPreview" zoomScale="70" zoomScaleNormal="70" zoomScaleSheetLayoutView="70" workbookViewId="0">
      <selection activeCell="I11" sqref="I11"/>
    </sheetView>
  </sheetViews>
  <sheetFormatPr baseColWidth="10" defaultColWidth="11.42578125" defaultRowHeight="15"/>
  <cols>
    <col min="1" max="1" width="15.85546875" style="77" customWidth="1"/>
    <col min="2" max="2" width="21.28515625" style="77" customWidth="1"/>
    <col min="3" max="3" width="18.140625" style="77" customWidth="1"/>
    <col min="4" max="4" width="20.5703125" style="77" customWidth="1"/>
    <col min="5" max="5" width="11.42578125" style="77"/>
    <col min="6" max="6" width="19.140625" style="77" customWidth="1"/>
    <col min="7" max="7" width="15.7109375" style="77" customWidth="1"/>
    <col min="8" max="9" width="11.42578125" style="77"/>
    <col min="10" max="10" width="17.140625" style="77" customWidth="1"/>
    <col min="11" max="11" width="24" style="77" customWidth="1"/>
    <col min="12" max="12" width="22.28515625" style="77" customWidth="1"/>
    <col min="13" max="13" width="21.28515625" style="77" customWidth="1"/>
    <col min="14" max="14" width="21.5703125" style="77" customWidth="1"/>
    <col min="15" max="16384" width="11.42578125" style="77"/>
  </cols>
  <sheetData>
    <row r="1" spans="1:14" ht="73.5" customHeight="1">
      <c r="A1" s="2071"/>
      <c r="B1" s="2071"/>
      <c r="C1" s="2071"/>
      <c r="D1" s="2071"/>
      <c r="E1" s="2071"/>
      <c r="F1" s="2071"/>
      <c r="G1" s="2071"/>
      <c r="H1" s="2071"/>
      <c r="I1" s="2071"/>
      <c r="J1" s="2071"/>
      <c r="K1" s="2071"/>
      <c r="L1" s="2071"/>
      <c r="M1" s="2071"/>
      <c r="N1" s="2071"/>
    </row>
    <row r="2" spans="1:14" ht="28.5" customHeight="1">
      <c r="A2" s="96"/>
      <c r="B2" s="96"/>
      <c r="C2" s="96"/>
      <c r="D2" s="96"/>
      <c r="E2" s="96"/>
      <c r="F2" s="96"/>
      <c r="G2" s="96"/>
      <c r="H2" s="96"/>
      <c r="I2" s="96"/>
      <c r="J2" s="96"/>
      <c r="K2" s="96"/>
      <c r="L2" s="96"/>
    </row>
    <row r="3" spans="1:14" ht="42" customHeight="1">
      <c r="A3" s="1532" t="s">
        <v>46</v>
      </c>
      <c r="B3" s="1533" t="s">
        <v>527</v>
      </c>
      <c r="C3" s="1533" t="s">
        <v>526</v>
      </c>
      <c r="D3" s="1534" t="s">
        <v>218</v>
      </c>
      <c r="F3" s="95"/>
      <c r="G3" s="96"/>
      <c r="H3" s="96"/>
      <c r="I3" s="96"/>
      <c r="J3" s="96"/>
      <c r="K3" s="96"/>
      <c r="L3" s="96"/>
      <c r="M3" s="96"/>
    </row>
    <row r="4" spans="1:14" ht="21">
      <c r="A4" s="1176" t="s">
        <v>576</v>
      </c>
      <c r="B4" s="1177">
        <v>1444579</v>
      </c>
      <c r="C4" s="1177">
        <v>3053477</v>
      </c>
      <c r="D4" s="804">
        <f t="shared" ref="D4:D7" si="0">B4/C4</f>
        <v>0.47309313284495019</v>
      </c>
    </row>
    <row r="5" spans="1:14" ht="21">
      <c r="A5" s="1178" t="s">
        <v>574</v>
      </c>
      <c r="B5" s="1177">
        <v>1508392</v>
      </c>
      <c r="C5" s="1177">
        <v>3069900</v>
      </c>
      <c r="D5" s="806">
        <f t="shared" si="0"/>
        <v>0.49134890387309033</v>
      </c>
    </row>
    <row r="6" spans="1:14" ht="21">
      <c r="A6" s="1176" t="s">
        <v>575</v>
      </c>
      <c r="B6" s="1179">
        <v>1423196</v>
      </c>
      <c r="C6" s="1179">
        <v>3082709</v>
      </c>
      <c r="D6" s="1180">
        <f t="shared" si="0"/>
        <v>0.46167056313132376</v>
      </c>
    </row>
    <row r="7" spans="1:14" ht="21">
      <c r="A7" s="1176" t="s">
        <v>711</v>
      </c>
      <c r="B7" s="1179">
        <v>1490792</v>
      </c>
      <c r="C7" s="1179">
        <v>3096282</v>
      </c>
      <c r="D7" s="1180">
        <f t="shared" si="0"/>
        <v>0.48147810826016496</v>
      </c>
    </row>
    <row r="8" spans="1:14" ht="21">
      <c r="A8" s="1176" t="s">
        <v>732</v>
      </c>
      <c r="B8" s="1179">
        <v>1539313</v>
      </c>
      <c r="C8" s="1179">
        <v>3113536</v>
      </c>
      <c r="D8" s="1180">
        <v>0.49439383389175523</v>
      </c>
    </row>
    <row r="9" spans="1:14" ht="21">
      <c r="A9" s="1176" t="s">
        <v>738</v>
      </c>
      <c r="B9" s="1179">
        <v>1513581</v>
      </c>
      <c r="C9" s="1179">
        <v>3130659</v>
      </c>
      <c r="D9" s="1180">
        <v>0.4834704130983285</v>
      </c>
    </row>
    <row r="10" spans="1:14" ht="21">
      <c r="A10" s="1176" t="s">
        <v>746</v>
      </c>
      <c r="B10" s="1179">
        <v>1530988</v>
      </c>
      <c r="C10" s="1179">
        <v>3148124</v>
      </c>
      <c r="D10" s="1180">
        <v>0.48631756563591522</v>
      </c>
    </row>
    <row r="11" spans="1:14" ht="21">
      <c r="A11" s="1176" t="s">
        <v>760</v>
      </c>
      <c r="B11" s="1177">
        <v>1553760</v>
      </c>
      <c r="C11" s="1177">
        <v>3164622</v>
      </c>
      <c r="D11" s="1180">
        <f>B11/C11</f>
        <v>0.4909780694187173</v>
      </c>
    </row>
    <row r="12" spans="1:14" ht="21">
      <c r="A12" s="1176" t="s">
        <v>769</v>
      </c>
      <c r="B12" s="1177">
        <v>1571146</v>
      </c>
      <c r="C12" s="1177">
        <v>3180386</v>
      </c>
      <c r="D12" s="1180">
        <v>0.4940111043124954</v>
      </c>
    </row>
    <row r="13" spans="1:14" ht="21">
      <c r="A13" s="1176" t="s">
        <v>779</v>
      </c>
      <c r="B13" s="1177">
        <v>1520245</v>
      </c>
      <c r="C13" s="1177">
        <v>3199322</v>
      </c>
      <c r="D13" s="1180">
        <f>B13/C13</f>
        <v>0.47517724067786865</v>
      </c>
    </row>
    <row r="14" spans="1:14" ht="21">
      <c r="A14" s="1176" t="s">
        <v>783</v>
      </c>
      <c r="B14" s="1177">
        <v>1562475</v>
      </c>
      <c r="C14" s="1177">
        <v>3215452</v>
      </c>
      <c r="D14" s="1180">
        <f>B14/C14</f>
        <v>0.48592701741465899</v>
      </c>
    </row>
    <row r="15" spans="1:14" s="1777" customFormat="1" ht="21">
      <c r="A15" s="1176" t="s">
        <v>970</v>
      </c>
      <c r="B15" s="1177">
        <v>1578120</v>
      </c>
      <c r="C15" s="1177">
        <v>3234981</v>
      </c>
      <c r="D15" s="1180">
        <v>0.48782975850553684</v>
      </c>
    </row>
    <row r="16" spans="1:14" ht="21">
      <c r="A16" s="1181" t="s">
        <v>1002</v>
      </c>
      <c r="B16" s="1189">
        <v>1569766</v>
      </c>
      <c r="C16" s="1189">
        <v>3253374</v>
      </c>
      <c r="D16" s="1182">
        <f>B16/C16</f>
        <v>0.4825040096834855</v>
      </c>
    </row>
  </sheetData>
  <mergeCells count="1">
    <mergeCell ref="A1:N1"/>
  </mergeCells>
  <printOptions horizontalCentered="1" verticalCentered="1"/>
  <pageMargins left="0.4" right="0.4" top="0.25" bottom="0.25" header="0.31496062992126" footer="0.31496062992126"/>
  <pageSetup scale="52" orientation="landscape"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5">
    <tabColor theme="9" tint="-0.249977111117893"/>
    <pageSetUpPr fitToPage="1"/>
  </sheetPr>
  <dimension ref="A1:O20"/>
  <sheetViews>
    <sheetView showGridLines="0" view="pageBreakPreview" zoomScale="85" zoomScaleNormal="85" zoomScaleSheetLayoutView="85" workbookViewId="0">
      <selection activeCell="D15" sqref="D15"/>
    </sheetView>
  </sheetViews>
  <sheetFormatPr baseColWidth="10" defaultColWidth="11.42578125" defaultRowHeight="15"/>
  <cols>
    <col min="1" max="1" width="11.28515625" style="77" customWidth="1"/>
    <col min="2" max="2" width="14.28515625" style="77" hidden="1" customWidth="1"/>
    <col min="3" max="3" width="17" style="77" customWidth="1"/>
    <col min="4" max="4" width="17.85546875" style="77" customWidth="1"/>
    <col min="5" max="5" width="21.28515625" style="77" customWidth="1"/>
    <col min="6" max="16384" width="11.42578125" style="77"/>
  </cols>
  <sheetData>
    <row r="1" spans="1:15" ht="72.75" customHeight="1">
      <c r="A1" s="2062"/>
      <c r="B1" s="2062"/>
      <c r="C1" s="2062"/>
      <c r="D1" s="2062"/>
      <c r="E1" s="2062"/>
      <c r="F1" s="2062"/>
      <c r="G1" s="2062"/>
      <c r="H1" s="2062"/>
      <c r="I1" s="2062"/>
      <c r="J1" s="2062"/>
      <c r="K1" s="2062"/>
      <c r="L1" s="2062"/>
      <c r="M1" s="2062"/>
      <c r="N1" s="2062"/>
      <c r="O1" s="2062"/>
    </row>
    <row r="2" spans="1:15" ht="36.75" customHeight="1">
      <c r="A2" s="385" t="s">
        <v>25</v>
      </c>
      <c r="B2" s="312" t="s">
        <v>521</v>
      </c>
      <c r="C2" s="312" t="s">
        <v>747</v>
      </c>
      <c r="D2" s="312" t="s">
        <v>560</v>
      </c>
      <c r="E2" s="313" t="s">
        <v>203</v>
      </c>
      <c r="F2" s="94"/>
      <c r="G2" s="94"/>
      <c r="H2" s="307"/>
      <c r="I2" s="262"/>
      <c r="J2" s="262"/>
      <c r="K2" s="262"/>
      <c r="L2" s="262"/>
    </row>
    <row r="3" spans="1:15" ht="17.25" hidden="1">
      <c r="A3" s="387" t="s">
        <v>221</v>
      </c>
      <c r="B3" s="266">
        <v>986538</v>
      </c>
      <c r="C3" s="1846">
        <v>576869</v>
      </c>
      <c r="D3" s="1847">
        <v>1420224</v>
      </c>
      <c r="E3" s="1848">
        <f t="shared" ref="E3:E15" si="0">C3/D3</f>
        <v>0.40618170091478528</v>
      </c>
      <c r="F3" s="94"/>
      <c r="G3" s="94"/>
      <c r="H3" s="269"/>
      <c r="I3" s="266"/>
      <c r="J3" s="267"/>
      <c r="K3" s="270"/>
      <c r="L3" s="271"/>
    </row>
    <row r="4" spans="1:15" ht="17.25" hidden="1">
      <c r="A4" s="387">
        <v>2004</v>
      </c>
      <c r="B4" s="267">
        <v>1190202</v>
      </c>
      <c r="C4" s="1846">
        <v>593286</v>
      </c>
      <c r="D4" s="1847">
        <v>1481853.5</v>
      </c>
      <c r="E4" s="1848">
        <f t="shared" si="0"/>
        <v>0.40036751271296389</v>
      </c>
      <c r="F4" s="94"/>
      <c r="G4" s="94"/>
      <c r="H4" s="269"/>
      <c r="I4" s="267"/>
      <c r="J4" s="267"/>
      <c r="K4" s="270"/>
      <c r="L4" s="271"/>
    </row>
    <row r="5" spans="1:15" ht="17.25">
      <c r="A5" s="1844">
        <v>2005</v>
      </c>
      <c r="B5" s="268">
        <v>1429521</v>
      </c>
      <c r="C5" s="1846">
        <v>626615</v>
      </c>
      <c r="D5" s="1847">
        <v>1437260</v>
      </c>
      <c r="E5" s="1848">
        <f t="shared" si="0"/>
        <v>0.43597887647328948</v>
      </c>
      <c r="F5" s="94"/>
      <c r="G5" s="94"/>
      <c r="H5" s="269"/>
      <c r="I5" s="268"/>
      <c r="J5" s="267"/>
      <c r="K5" s="270"/>
      <c r="L5" s="271"/>
    </row>
    <row r="6" spans="1:15" ht="17.25">
      <c r="A6" s="1844">
        <v>2006</v>
      </c>
      <c r="B6" s="267">
        <v>1588621</v>
      </c>
      <c r="C6" s="1846">
        <v>808496</v>
      </c>
      <c r="D6" s="1847">
        <v>1505582.5</v>
      </c>
      <c r="E6" s="1848">
        <f t="shared" si="0"/>
        <v>0.53699880278895373</v>
      </c>
      <c r="F6" s="94"/>
      <c r="G6" s="94"/>
      <c r="H6" s="269"/>
      <c r="I6" s="267"/>
      <c r="J6" s="267"/>
      <c r="K6" s="270"/>
      <c r="L6" s="271"/>
    </row>
    <row r="7" spans="1:15" ht="17.25">
      <c r="A7" s="1844">
        <v>2007</v>
      </c>
      <c r="B7" s="267">
        <v>1797027</v>
      </c>
      <c r="C7" s="1846">
        <v>913203</v>
      </c>
      <c r="D7" s="1847">
        <v>1571911.5</v>
      </c>
      <c r="E7" s="1848">
        <f t="shared" si="0"/>
        <v>0.58095064512219674</v>
      </c>
      <c r="F7" s="94"/>
      <c r="G7" s="94"/>
      <c r="H7" s="269"/>
      <c r="I7" s="267"/>
      <c r="J7" s="267"/>
      <c r="K7" s="270"/>
      <c r="L7" s="271"/>
    </row>
    <row r="8" spans="1:15" ht="17.25">
      <c r="A8" s="1844">
        <v>2008</v>
      </c>
      <c r="B8" s="267">
        <v>1983720</v>
      </c>
      <c r="C8" s="1846">
        <v>929743</v>
      </c>
      <c r="D8" s="1847">
        <v>1566047</v>
      </c>
      <c r="E8" s="1848">
        <f t="shared" si="0"/>
        <v>0.59368780119626041</v>
      </c>
      <c r="H8" s="269"/>
      <c r="I8" s="267"/>
      <c r="J8" s="267"/>
      <c r="K8" s="270"/>
      <c r="L8" s="271"/>
    </row>
    <row r="9" spans="1:15" ht="17.25">
      <c r="A9" s="1844">
        <v>2009</v>
      </c>
      <c r="B9" s="267">
        <v>2193890</v>
      </c>
      <c r="C9" s="1846">
        <v>1118293</v>
      </c>
      <c r="D9" s="1847">
        <v>1560994</v>
      </c>
      <c r="E9" s="1848">
        <f t="shared" si="0"/>
        <v>0.71639801306090867</v>
      </c>
      <c r="H9" s="269"/>
      <c r="I9" s="267"/>
      <c r="J9" s="267"/>
      <c r="K9" s="270"/>
      <c r="L9" s="271"/>
    </row>
    <row r="10" spans="1:15" ht="17.25">
      <c r="A10" s="1844">
        <v>2010</v>
      </c>
      <c r="B10" s="267">
        <v>2374783</v>
      </c>
      <c r="C10" s="1846">
        <v>1189601</v>
      </c>
      <c r="D10" s="1847">
        <v>1631129</v>
      </c>
      <c r="E10" s="1848">
        <f t="shared" si="0"/>
        <v>0.72931141559006063</v>
      </c>
      <c r="H10" s="269"/>
      <c r="I10" s="267"/>
      <c r="J10" s="267"/>
      <c r="K10" s="270"/>
      <c r="L10" s="271"/>
    </row>
    <row r="11" spans="1:15" ht="17.25">
      <c r="A11" s="1844" t="s">
        <v>224</v>
      </c>
      <c r="B11" s="267">
        <v>2552974</v>
      </c>
      <c r="C11" s="1846">
        <v>1242780</v>
      </c>
      <c r="D11" s="1847">
        <v>1686216</v>
      </c>
      <c r="E11" s="1848">
        <f t="shared" si="0"/>
        <v>0.73702301484507327</v>
      </c>
      <c r="H11" s="269"/>
      <c r="I11" s="267"/>
      <c r="J11" s="267"/>
      <c r="K11" s="270"/>
      <c r="L11" s="271"/>
    </row>
    <row r="12" spans="1:15" ht="16.5" customHeight="1">
      <c r="A12" s="1844" t="s">
        <v>482</v>
      </c>
      <c r="B12" s="267">
        <v>2714449</v>
      </c>
      <c r="C12" s="1846">
        <v>1291137</v>
      </c>
      <c r="D12" s="1847">
        <v>1716228</v>
      </c>
      <c r="E12" s="1848">
        <f t="shared" si="0"/>
        <v>0.75231088177095351</v>
      </c>
      <c r="F12" s="13"/>
      <c r="G12" s="14"/>
      <c r="H12" s="269"/>
      <c r="I12" s="267"/>
      <c r="J12" s="267"/>
      <c r="K12" s="270"/>
      <c r="L12" s="271"/>
    </row>
    <row r="13" spans="1:15" ht="17.25">
      <c r="A13" s="1844" t="s">
        <v>561</v>
      </c>
      <c r="B13" s="267">
        <v>2881130</v>
      </c>
      <c r="C13" s="1846">
        <v>1376966</v>
      </c>
      <c r="D13" s="1847">
        <v>1769801</v>
      </c>
      <c r="E13" s="1848">
        <f t="shared" si="0"/>
        <v>0.77803436657567715</v>
      </c>
      <c r="F13" s="14"/>
      <c r="G13" s="14"/>
      <c r="H13" s="269"/>
      <c r="I13" s="267"/>
      <c r="J13" s="267"/>
      <c r="K13" s="270"/>
      <c r="L13" s="271"/>
    </row>
    <row r="14" spans="1:15" ht="17.25">
      <c r="A14" s="1844" t="s">
        <v>569</v>
      </c>
      <c r="B14" s="267">
        <v>3032720</v>
      </c>
      <c r="C14" s="1846">
        <v>1508392</v>
      </c>
      <c r="D14" s="1847">
        <v>1865496</v>
      </c>
      <c r="E14" s="1848">
        <f t="shared" si="0"/>
        <v>0.80857423441272458</v>
      </c>
      <c r="F14" s="14"/>
      <c r="G14" s="14"/>
      <c r="H14" s="14"/>
      <c r="I14" s="96"/>
      <c r="J14" s="15"/>
    </row>
    <row r="15" spans="1:15" ht="17.25">
      <c r="A15" s="1845" t="s">
        <v>1003</v>
      </c>
      <c r="B15" s="386">
        <v>3032720</v>
      </c>
      <c r="C15" s="1849">
        <f>+'III.5.3.Afil. SVDS'!B16</f>
        <v>1569766</v>
      </c>
      <c r="D15" s="1850">
        <v>1965498</v>
      </c>
      <c r="E15" s="1851">
        <f t="shared" si="0"/>
        <v>0.79866069566084519</v>
      </c>
      <c r="F15" s="14"/>
      <c r="G15" s="14"/>
      <c r="H15" s="14"/>
      <c r="I15" s="96"/>
      <c r="J15" s="15"/>
    </row>
    <row r="16" spans="1:15">
      <c r="B16" s="96"/>
      <c r="C16" s="96"/>
      <c r="D16" s="23"/>
      <c r="E16" s="96"/>
      <c r="F16" s="14"/>
      <c r="G16" s="14"/>
      <c r="H16" s="14"/>
      <c r="I16" s="96"/>
      <c r="J16" s="15"/>
    </row>
    <row r="17" spans="2:10">
      <c r="B17" s="96"/>
      <c r="C17" s="96"/>
      <c r="D17" s="96"/>
      <c r="E17" s="96"/>
      <c r="F17" s="13"/>
      <c r="G17" s="13"/>
      <c r="H17" s="13"/>
      <c r="I17" s="96"/>
      <c r="J17" s="15"/>
    </row>
    <row r="18" spans="2:10">
      <c r="B18" s="96"/>
      <c r="C18" s="96"/>
      <c r="D18" s="96"/>
      <c r="E18" s="96"/>
      <c r="F18" s="111"/>
      <c r="G18" s="111"/>
      <c r="H18" s="111"/>
      <c r="I18" s="96"/>
      <c r="J18" s="96"/>
    </row>
    <row r="19" spans="2:10">
      <c r="B19" s="96"/>
      <c r="C19" s="96"/>
      <c r="D19" s="96"/>
      <c r="E19" s="96"/>
      <c r="F19" s="96"/>
      <c r="G19" s="96"/>
      <c r="H19" s="96"/>
      <c r="I19" s="96"/>
      <c r="J19" s="96"/>
    </row>
    <row r="20" spans="2:10">
      <c r="B20" s="96"/>
      <c r="C20" s="96"/>
      <c r="D20" s="96"/>
      <c r="E20" s="96"/>
      <c r="F20" s="96"/>
      <c r="G20" s="96"/>
      <c r="H20" s="96"/>
      <c r="I20" s="96"/>
      <c r="J20" s="96"/>
    </row>
  </sheetData>
  <mergeCells count="1">
    <mergeCell ref="A1:O1"/>
  </mergeCells>
  <printOptions horizontalCentered="1" verticalCentered="1"/>
  <pageMargins left="0.4" right="0.4" top="0.25" bottom="0.25" header="0.314" footer="0.31496062992126"/>
  <pageSetup scale="66" orientation="landscape"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6">
    <tabColor theme="9" tint="-0.249977111117893"/>
    <pageSetUpPr fitToPage="1"/>
  </sheetPr>
  <dimension ref="A1:P45"/>
  <sheetViews>
    <sheetView showGridLines="0" view="pageBreakPreview" zoomScale="70" zoomScaleNormal="100" zoomScaleSheetLayoutView="70" workbookViewId="0">
      <selection activeCell="M5" sqref="M1:M1048576"/>
    </sheetView>
  </sheetViews>
  <sheetFormatPr baseColWidth="10" defaultColWidth="11.42578125" defaultRowHeight="23.25" customHeight="1"/>
  <cols>
    <col min="1" max="1" width="18.7109375" style="77" customWidth="1"/>
    <col min="2" max="2" width="21.5703125" style="77" customWidth="1"/>
    <col min="3" max="3" width="17.28515625" style="77" customWidth="1"/>
    <col min="4" max="4" width="14.28515625" style="77" customWidth="1"/>
    <col min="5" max="5" width="16.28515625" style="96" bestFit="1" customWidth="1"/>
    <col min="6" max="6" width="14.28515625" style="77" bestFit="1" customWidth="1"/>
    <col min="7" max="7" width="11.7109375" style="77" bestFit="1" customWidth="1"/>
    <col min="8" max="8" width="12.85546875" style="77" bestFit="1" customWidth="1"/>
    <col min="9" max="9" width="23.140625" style="77" customWidth="1"/>
    <col min="10" max="10" width="11.140625" style="77" bestFit="1" customWidth="1"/>
    <col min="11" max="11" width="17.42578125" style="77" customWidth="1"/>
    <col min="12" max="12" width="37.28515625" style="77" customWidth="1"/>
    <col min="13" max="13" width="11.5703125" style="77" bestFit="1" customWidth="1"/>
    <col min="14" max="14" width="11.5703125" style="77" customWidth="1"/>
    <col min="15" max="15" width="15.28515625" style="77" customWidth="1"/>
    <col min="16" max="16" width="11.5703125" style="77" customWidth="1"/>
    <col min="17" max="16384" width="11.42578125" style="77"/>
  </cols>
  <sheetData>
    <row r="1" spans="1:16" ht="84.75" customHeight="1">
      <c r="A1" s="2072"/>
      <c r="B1" s="2072"/>
      <c r="C1" s="2072"/>
      <c r="D1" s="2072"/>
      <c r="E1" s="2072"/>
      <c r="F1" s="2072"/>
      <c r="G1" s="2072"/>
      <c r="H1" s="2072"/>
      <c r="I1" s="2072"/>
      <c r="J1" s="2072"/>
      <c r="K1" s="2072"/>
      <c r="L1" s="2072"/>
    </row>
    <row r="2" spans="1:16" s="39" customFormat="1" ht="15" customHeight="1">
      <c r="A2" s="2073"/>
      <c r="B2" s="2073"/>
      <c r="C2" s="2073"/>
      <c r="D2" s="2073"/>
      <c r="E2" s="2073"/>
      <c r="F2" s="2073"/>
      <c r="G2" s="2073"/>
      <c r="H2" s="2073"/>
      <c r="I2" s="2073"/>
      <c r="J2" s="2073"/>
      <c r="K2" s="2073"/>
      <c r="L2" s="2073"/>
    </row>
    <row r="3" spans="1:16" s="325" customFormat="1" ht="29.25" customHeight="1">
      <c r="A3" s="370" t="s">
        <v>183</v>
      </c>
      <c r="B3" s="327" t="s">
        <v>44</v>
      </c>
      <c r="C3" s="326" t="s">
        <v>42</v>
      </c>
      <c r="D3" s="323"/>
      <c r="G3" s="324"/>
      <c r="H3" s="324"/>
      <c r="I3" s="324"/>
      <c r="J3" s="324"/>
      <c r="K3" s="324"/>
      <c r="L3" s="324"/>
      <c r="M3" s="324"/>
      <c r="N3" s="124"/>
      <c r="O3" s="324"/>
      <c r="P3" s="324"/>
    </row>
    <row r="4" spans="1:16" ht="17.25" customHeight="1">
      <c r="A4" s="328" t="s">
        <v>212</v>
      </c>
      <c r="B4" s="1582">
        <v>22061</v>
      </c>
      <c r="C4" s="1583">
        <f>+B4/$B$14</f>
        <v>1.4053686982645822E-2</v>
      </c>
      <c r="D4" s="171"/>
      <c r="E4" s="171"/>
      <c r="F4" s="171"/>
      <c r="G4" s="171"/>
      <c r="H4" s="171"/>
      <c r="I4" s="171"/>
      <c r="J4" s="171"/>
      <c r="K4" s="171"/>
      <c r="L4" s="171"/>
      <c r="M4" s="171"/>
      <c r="N4" s="171"/>
      <c r="O4" s="171"/>
    </row>
    <row r="5" spans="1:16" ht="21">
      <c r="A5" s="329" t="s">
        <v>60</v>
      </c>
      <c r="B5" s="1582">
        <v>197199</v>
      </c>
      <c r="C5" s="1583">
        <f t="shared" ref="C5:C13" si="0">+B5/$B$14</f>
        <v>0.12562318205388573</v>
      </c>
      <c r="D5" s="171"/>
      <c r="G5" s="124"/>
      <c r="H5" s="124"/>
      <c r="N5" s="124"/>
      <c r="O5" s="1104"/>
    </row>
    <row r="6" spans="1:16" ht="21">
      <c r="A6" s="329" t="s">
        <v>61</v>
      </c>
      <c r="B6" s="1582">
        <v>249888</v>
      </c>
      <c r="C6" s="1583">
        <f t="shared" si="0"/>
        <v>0.15918805732828969</v>
      </c>
      <c r="D6" s="171"/>
      <c r="G6" s="124"/>
      <c r="H6" s="124"/>
      <c r="N6" s="124"/>
      <c r="O6" s="124"/>
    </row>
    <row r="7" spans="1:16" ht="21">
      <c r="A7" s="329" t="s">
        <v>179</v>
      </c>
      <c r="B7" s="1582">
        <v>232644</v>
      </c>
      <c r="C7" s="1583">
        <f t="shared" si="0"/>
        <v>0.14820298057162659</v>
      </c>
      <c r="D7" s="171"/>
    </row>
    <row r="8" spans="1:16" ht="21">
      <c r="A8" s="329" t="s">
        <v>180</v>
      </c>
      <c r="B8" s="1582">
        <v>215294</v>
      </c>
      <c r="C8" s="1583">
        <f t="shared" si="0"/>
        <v>0.1371503778270137</v>
      </c>
      <c r="D8" s="171"/>
      <c r="E8" s="77"/>
      <c r="O8" s="156"/>
    </row>
    <row r="9" spans="1:16" ht="21">
      <c r="A9" s="329" t="s">
        <v>62</v>
      </c>
      <c r="B9" s="1582">
        <v>179746</v>
      </c>
      <c r="C9" s="1583">
        <f t="shared" si="0"/>
        <v>0.11450496443418956</v>
      </c>
      <c r="D9" s="171"/>
      <c r="E9" s="124"/>
    </row>
    <row r="10" spans="1:16" ht="21">
      <c r="A10" s="329" t="s">
        <v>63</v>
      </c>
      <c r="B10" s="1582">
        <v>153512</v>
      </c>
      <c r="C10" s="1583">
        <f t="shared" si="0"/>
        <v>9.7792919454237126E-2</v>
      </c>
      <c r="D10" s="171"/>
      <c r="E10" s="124"/>
    </row>
    <row r="11" spans="1:16" ht="21">
      <c r="A11" s="329" t="s">
        <v>64</v>
      </c>
      <c r="B11" s="1582">
        <v>121255</v>
      </c>
      <c r="C11" s="1583">
        <f t="shared" si="0"/>
        <v>7.7243996875967502E-2</v>
      </c>
      <c r="D11" s="174"/>
      <c r="E11" s="77"/>
      <c r="O11" s="211"/>
    </row>
    <row r="12" spans="1:16" ht="21">
      <c r="A12" s="329" t="s">
        <v>65</v>
      </c>
      <c r="B12" s="1582">
        <v>85110</v>
      </c>
      <c r="C12" s="1583">
        <f t="shared" si="0"/>
        <v>5.4218272022709117E-2</v>
      </c>
      <c r="D12" s="171"/>
      <c r="E12" s="77"/>
    </row>
    <row r="13" spans="1:16" ht="21">
      <c r="A13" s="329" t="s">
        <v>181</v>
      </c>
      <c r="B13" s="1582">
        <v>113057</v>
      </c>
      <c r="C13" s="1583">
        <f t="shared" si="0"/>
        <v>7.2021562449435139E-2</v>
      </c>
      <c r="D13" s="171"/>
      <c r="E13" s="77"/>
    </row>
    <row r="14" spans="1:16" ht="16.5" customHeight="1">
      <c r="A14" s="330" t="s">
        <v>23</v>
      </c>
      <c r="B14" s="1581">
        <f>SUM(B4:B13)</f>
        <v>1569766</v>
      </c>
      <c r="C14" s="1584">
        <f>SUM(C4:C13)</f>
        <v>1</v>
      </c>
      <c r="D14" s="171"/>
      <c r="E14" s="77"/>
    </row>
    <row r="15" spans="1:16" ht="23.25" customHeight="1">
      <c r="C15" s="125"/>
      <c r="D15" s="47"/>
      <c r="E15" s="77"/>
    </row>
    <row r="16" spans="1:16" ht="23.25" customHeight="1">
      <c r="B16" s="96"/>
      <c r="C16" s="96"/>
      <c r="D16" s="96"/>
      <c r="E16" s="124"/>
      <c r="F16" s="97"/>
      <c r="G16" s="97"/>
      <c r="H16" s="97"/>
      <c r="I16" s="97"/>
      <c r="J16" s="97"/>
      <c r="K16" s="97"/>
      <c r="L16" s="47"/>
    </row>
    <row r="17" spans="1:11" ht="23.25" customHeight="1">
      <c r="B17" s="96"/>
      <c r="C17" s="96"/>
      <c r="D17" s="96"/>
      <c r="F17" s="96"/>
      <c r="G17" s="96"/>
      <c r="H17" s="96"/>
      <c r="I17" s="96"/>
      <c r="J17" s="96"/>
      <c r="K17" s="96"/>
    </row>
    <row r="18" spans="1:11" ht="23.25" customHeight="1">
      <c r="B18" s="96"/>
      <c r="C18" s="96"/>
      <c r="D18" s="96"/>
      <c r="F18" s="96"/>
      <c r="G18" s="96"/>
      <c r="H18" s="96"/>
      <c r="I18" s="96"/>
      <c r="J18" s="96"/>
      <c r="K18" s="96"/>
    </row>
    <row r="19" spans="1:11" ht="23.25" customHeight="1">
      <c r="B19" s="96"/>
      <c r="C19" s="96"/>
      <c r="D19" s="96"/>
      <c r="F19" s="96"/>
      <c r="G19" s="96"/>
      <c r="H19" s="96"/>
      <c r="I19" s="96"/>
      <c r="J19" s="96"/>
      <c r="K19" s="96"/>
    </row>
    <row r="20" spans="1:11" ht="23.25" customHeight="1">
      <c r="B20" s="96"/>
      <c r="C20" s="96"/>
      <c r="D20" s="96"/>
      <c r="F20" s="96"/>
      <c r="G20" s="96"/>
      <c r="H20" s="96"/>
      <c r="I20" s="96"/>
      <c r="J20" s="96"/>
      <c r="K20" s="96"/>
    </row>
    <row r="21" spans="1:11" ht="23.25" customHeight="1">
      <c r="B21" s="96"/>
      <c r="C21" s="96"/>
      <c r="D21" s="96"/>
      <c r="F21" s="96"/>
      <c r="G21" s="96"/>
      <c r="H21" s="96"/>
      <c r="I21" s="96"/>
      <c r="J21" s="96"/>
      <c r="K21" s="96"/>
    </row>
    <row r="22" spans="1:11" ht="23.25" customHeight="1">
      <c r="B22" s="96"/>
      <c r="C22" s="96"/>
      <c r="D22" s="96"/>
      <c r="F22" s="96"/>
      <c r="G22" s="96"/>
      <c r="H22" s="96"/>
      <c r="I22" s="96"/>
      <c r="J22" s="96"/>
      <c r="K22" s="96"/>
    </row>
    <row r="23" spans="1:11" ht="23.25" customHeight="1">
      <c r="B23" s="96"/>
      <c r="C23" s="96"/>
      <c r="D23" s="96"/>
      <c r="F23" s="96"/>
      <c r="G23" s="96"/>
      <c r="H23" s="96"/>
      <c r="I23" s="96"/>
      <c r="J23" s="96"/>
      <c r="K23" s="96"/>
    </row>
    <row r="24" spans="1:11" ht="23.25" customHeight="1">
      <c r="B24" s="96"/>
      <c r="C24" s="96"/>
      <c r="D24" s="96"/>
      <c r="F24" s="96"/>
      <c r="G24" s="96"/>
      <c r="H24" s="96"/>
      <c r="I24" s="96"/>
      <c r="J24" s="96"/>
      <c r="K24" s="96"/>
    </row>
    <row r="25" spans="1:11" ht="23.25" customHeight="1">
      <c r="A25" s="70"/>
      <c r="B25" s="100"/>
      <c r="C25" s="100"/>
      <c r="D25" s="100"/>
      <c r="E25" s="100"/>
      <c r="F25" s="100"/>
      <c r="G25" s="100"/>
      <c r="H25" s="100"/>
      <c r="I25" s="100"/>
      <c r="J25" s="100"/>
      <c r="K25" s="100"/>
    </row>
    <row r="26" spans="1:11" ht="23.25" customHeight="1">
      <c r="A26" s="70"/>
      <c r="B26" s="100"/>
      <c r="C26" s="100"/>
      <c r="D26" s="100"/>
      <c r="E26" s="100"/>
      <c r="F26" s="100"/>
      <c r="G26" s="100"/>
      <c r="H26" s="100"/>
      <c r="I26" s="100"/>
      <c r="J26" s="100"/>
      <c r="K26" s="100"/>
    </row>
    <row r="27" spans="1:11" ht="23.25" customHeight="1">
      <c r="A27" s="70"/>
      <c r="B27" s="100"/>
      <c r="C27" s="100"/>
      <c r="D27" s="100"/>
      <c r="E27" s="100"/>
      <c r="F27" s="100"/>
      <c r="G27" s="100"/>
      <c r="H27" s="100"/>
      <c r="I27" s="100"/>
      <c r="J27" s="100"/>
      <c r="K27" s="100"/>
    </row>
    <row r="28" spans="1:11" ht="23.25" customHeight="1">
      <c r="A28" s="70"/>
      <c r="B28" s="100"/>
      <c r="C28" s="100"/>
      <c r="D28" s="100"/>
      <c r="E28" s="100"/>
      <c r="F28" s="100"/>
      <c r="G28" s="100"/>
      <c r="H28" s="100"/>
      <c r="I28" s="100"/>
      <c r="J28" s="100"/>
      <c r="K28" s="100"/>
    </row>
    <row r="29" spans="1:11" ht="23.25" customHeight="1">
      <c r="A29" s="70"/>
      <c r="B29" s="100"/>
      <c r="C29" s="100"/>
      <c r="D29" s="100"/>
      <c r="E29" s="100"/>
      <c r="F29" s="100"/>
      <c r="G29" s="100"/>
      <c r="H29" s="100"/>
      <c r="I29" s="100"/>
      <c r="J29" s="100"/>
      <c r="K29" s="100"/>
    </row>
    <row r="30" spans="1:11" ht="23.25" customHeight="1">
      <c r="A30" s="70"/>
      <c r="B30" s="100"/>
      <c r="C30" s="100"/>
      <c r="D30" s="100"/>
      <c r="E30" s="100"/>
      <c r="F30" s="100"/>
      <c r="G30" s="100"/>
      <c r="H30" s="100"/>
      <c r="I30" s="100"/>
      <c r="J30" s="100"/>
      <c r="K30" s="100"/>
    </row>
    <row r="31" spans="1:11" ht="23.25" customHeight="1">
      <c r="A31" s="70"/>
      <c r="B31" s="100"/>
      <c r="C31" s="100"/>
      <c r="D31" s="100"/>
      <c r="E31" s="100"/>
      <c r="F31" s="100"/>
      <c r="G31" s="100"/>
      <c r="H31" s="100"/>
      <c r="I31" s="100"/>
      <c r="J31" s="100"/>
      <c r="K31" s="100"/>
    </row>
    <row r="32" spans="1:11" ht="23.25" customHeight="1">
      <c r="A32" s="70"/>
      <c r="B32" s="100"/>
      <c r="C32" s="100"/>
      <c r="D32" s="100"/>
      <c r="E32" s="100"/>
      <c r="F32" s="100"/>
      <c r="G32" s="100"/>
      <c r="H32" s="100"/>
      <c r="I32" s="100"/>
      <c r="J32" s="100"/>
      <c r="K32" s="100"/>
    </row>
    <row r="33" spans="1:11" ht="23.25" customHeight="1">
      <c r="A33" s="70"/>
      <c r="B33" s="100"/>
      <c r="C33" s="100"/>
      <c r="D33" s="100"/>
      <c r="E33" s="100"/>
      <c r="F33" s="100"/>
      <c r="G33" s="100"/>
      <c r="H33" s="100"/>
      <c r="I33" s="100"/>
      <c r="J33" s="100"/>
      <c r="K33" s="100"/>
    </row>
    <row r="34" spans="1:11" ht="23.25" customHeight="1">
      <c r="A34" s="70"/>
      <c r="B34" s="100"/>
      <c r="C34" s="100"/>
      <c r="D34" s="100"/>
      <c r="E34" s="100"/>
      <c r="F34" s="100"/>
      <c r="G34" s="100"/>
      <c r="H34" s="100"/>
      <c r="I34" s="100"/>
      <c r="J34" s="100"/>
      <c r="K34" s="100"/>
    </row>
    <row r="35" spans="1:11" ht="23.25" customHeight="1">
      <c r="A35" s="70"/>
      <c r="B35" s="100"/>
      <c r="C35" s="100"/>
      <c r="D35" s="100"/>
      <c r="E35" s="100"/>
      <c r="F35" s="100"/>
      <c r="G35" s="100"/>
      <c r="H35" s="100"/>
      <c r="I35" s="100"/>
      <c r="J35" s="100"/>
      <c r="K35" s="100"/>
    </row>
    <row r="36" spans="1:11" ht="23.25" customHeight="1">
      <c r="A36" s="70"/>
      <c r="B36" s="100"/>
      <c r="C36" s="100"/>
      <c r="D36" s="100"/>
      <c r="E36" s="100"/>
      <c r="F36" s="100"/>
      <c r="G36" s="100"/>
      <c r="H36" s="100"/>
      <c r="I36" s="100"/>
      <c r="J36" s="100"/>
      <c r="K36" s="100"/>
    </row>
    <row r="37" spans="1:11" ht="23.25" customHeight="1">
      <c r="A37" s="70"/>
      <c r="B37" s="100"/>
      <c r="C37" s="100"/>
      <c r="D37" s="100"/>
      <c r="E37" s="100"/>
      <c r="F37" s="100"/>
      <c r="G37" s="100"/>
      <c r="H37" s="100"/>
      <c r="I37" s="100"/>
      <c r="J37" s="100"/>
      <c r="K37" s="100"/>
    </row>
    <row r="38" spans="1:11" ht="23.25" customHeight="1">
      <c r="A38" s="70"/>
      <c r="B38" s="100"/>
      <c r="C38" s="100"/>
      <c r="D38" s="100"/>
      <c r="E38" s="100"/>
      <c r="F38" s="100"/>
      <c r="G38" s="100"/>
      <c r="H38" s="100"/>
      <c r="I38" s="100"/>
      <c r="J38" s="100"/>
      <c r="K38" s="100"/>
    </row>
    <row r="39" spans="1:11" ht="23.25" customHeight="1">
      <c r="A39" s="70"/>
      <c r="B39" s="100"/>
      <c r="C39" s="100"/>
      <c r="D39" s="100"/>
      <c r="E39" s="100"/>
      <c r="F39" s="100"/>
      <c r="G39" s="100"/>
      <c r="H39" s="100"/>
      <c r="I39" s="100"/>
      <c r="J39" s="100"/>
      <c r="K39" s="100"/>
    </row>
    <row r="40" spans="1:11" ht="23.25" customHeight="1">
      <c r="A40" s="100"/>
      <c r="C40" s="100"/>
      <c r="D40" s="100"/>
      <c r="E40" s="100"/>
      <c r="F40" s="100"/>
      <c r="G40" s="100"/>
      <c r="H40" s="100"/>
      <c r="I40" s="100"/>
      <c r="J40" s="100"/>
      <c r="K40" s="100"/>
    </row>
    <row r="41" spans="1:11" ht="23.25" customHeight="1">
      <c r="A41" s="70"/>
      <c r="B41" s="100"/>
      <c r="C41" s="100"/>
      <c r="D41" s="100"/>
      <c r="E41" s="100"/>
      <c r="F41" s="100"/>
      <c r="G41" s="100"/>
      <c r="H41" s="100"/>
      <c r="I41" s="100"/>
      <c r="J41" s="100"/>
      <c r="K41" s="100"/>
    </row>
    <row r="42" spans="1:11" ht="23.25" customHeight="1">
      <c r="A42" s="70"/>
      <c r="B42" s="100"/>
      <c r="C42" s="100"/>
      <c r="D42" s="100"/>
      <c r="E42" s="100"/>
      <c r="F42" s="100"/>
      <c r="G42" s="100"/>
      <c r="H42" s="100"/>
      <c r="I42" s="100"/>
      <c r="J42" s="100"/>
      <c r="K42" s="100"/>
    </row>
    <row r="43" spans="1:11" ht="23.25" customHeight="1">
      <c r="A43" s="70"/>
      <c r="B43" s="100"/>
      <c r="C43" s="100"/>
      <c r="D43" s="100"/>
      <c r="E43" s="100"/>
      <c r="F43" s="100"/>
      <c r="G43" s="100"/>
      <c r="H43" s="100"/>
      <c r="I43" s="100"/>
      <c r="J43" s="100"/>
      <c r="K43" s="100"/>
    </row>
    <row r="44" spans="1:11" ht="23.25" customHeight="1">
      <c r="A44" s="73"/>
      <c r="B44" s="100"/>
      <c r="C44" s="100"/>
      <c r="D44" s="100"/>
      <c r="E44" s="100"/>
      <c r="F44" s="100"/>
      <c r="G44" s="100"/>
      <c r="H44" s="100"/>
      <c r="I44" s="100"/>
      <c r="J44" s="100"/>
      <c r="K44" s="100"/>
    </row>
    <row r="45" spans="1:11" ht="23.25" customHeight="1">
      <c r="A45" s="70"/>
      <c r="B45" s="100"/>
      <c r="C45" s="100"/>
      <c r="D45" s="100"/>
      <c r="E45" s="100"/>
      <c r="F45" s="100"/>
      <c r="G45" s="100"/>
      <c r="H45" s="100"/>
      <c r="I45" s="100"/>
      <c r="J45" s="100"/>
      <c r="K45" s="100"/>
    </row>
  </sheetData>
  <mergeCells count="2">
    <mergeCell ref="A1:L1"/>
    <mergeCell ref="A2:L2"/>
  </mergeCells>
  <printOptions horizontalCentered="1" verticalCentered="1"/>
  <pageMargins left="0.4" right="0.4" top="0.25" bottom="0.25" header="0.31496062992126" footer="0.31496062992126"/>
  <pageSetup scale="60"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tabColor theme="2" tint="-0.499984740745262"/>
  </sheetPr>
  <dimension ref="A1"/>
  <sheetViews>
    <sheetView showGridLines="0" view="pageBreakPreview" zoomScale="55" zoomScaleNormal="100" zoomScaleSheetLayoutView="55" workbookViewId="0">
      <selection activeCell="Q62" sqref="Q62"/>
    </sheetView>
  </sheetViews>
  <sheetFormatPr baseColWidth="10" defaultColWidth="11.42578125" defaultRowHeight="15"/>
  <cols>
    <col min="1" max="6" width="11.42578125" style="77"/>
    <col min="7" max="7" width="13.42578125" style="77" customWidth="1"/>
    <col min="8" max="16384" width="11.42578125" style="77"/>
  </cols>
  <sheetData/>
  <pageMargins left="0.7" right="0.7" top="0.75" bottom="0.75" header="0.3" footer="0.3"/>
  <pageSetup scale="59" orientation="landscape"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7">
    <tabColor theme="9" tint="-0.249977111117893"/>
    <pageSetUpPr fitToPage="1"/>
  </sheetPr>
  <dimension ref="A1:S45"/>
  <sheetViews>
    <sheetView showGridLines="0" view="pageBreakPreview" zoomScale="85" zoomScaleNormal="100" zoomScaleSheetLayoutView="85" workbookViewId="0">
      <selection activeCell="M11" sqref="M11:N20"/>
    </sheetView>
  </sheetViews>
  <sheetFormatPr baseColWidth="10" defaultColWidth="11.42578125" defaultRowHeight="23.25" customHeight="1"/>
  <cols>
    <col min="1" max="1" width="28.7109375" style="77" customWidth="1"/>
    <col min="2" max="2" width="17" style="77" customWidth="1"/>
    <col min="3" max="3" width="14.5703125" style="77" customWidth="1"/>
    <col min="4" max="4" width="14.28515625" style="77" customWidth="1"/>
    <col min="5" max="6" width="11.7109375" style="77" bestFit="1" customWidth="1"/>
    <col min="7" max="7" width="19.28515625" style="77" customWidth="1"/>
    <col min="8" max="8" width="18.5703125" style="77" customWidth="1"/>
    <col min="9" max="9" width="19.85546875" style="77" customWidth="1"/>
    <col min="10" max="10" width="21.140625" style="77" customWidth="1"/>
    <col min="11" max="11" width="20.7109375" style="77" customWidth="1"/>
    <col min="12" max="12" width="20.140625" style="77" customWidth="1"/>
    <col min="13" max="19" width="11.140625" style="77" customWidth="1"/>
    <col min="20" max="16384" width="11.42578125" style="77"/>
  </cols>
  <sheetData>
    <row r="1" spans="1:19" ht="87" customHeight="1">
      <c r="A1" s="2074"/>
      <c r="B1" s="2074"/>
      <c r="C1" s="2074"/>
      <c r="D1" s="2074"/>
      <c r="E1" s="2074"/>
      <c r="F1" s="2074"/>
      <c r="G1" s="2074"/>
      <c r="H1" s="2074"/>
      <c r="I1" s="2074"/>
      <c r="J1" s="2074"/>
      <c r="K1" s="2074"/>
      <c r="L1" s="2074"/>
      <c r="M1" s="120"/>
      <c r="N1" s="120"/>
      <c r="O1" s="120"/>
      <c r="P1" s="120"/>
      <c r="Q1" s="120"/>
      <c r="R1" s="120"/>
      <c r="S1" s="120"/>
    </row>
    <row r="2" spans="1:19" s="94" customFormat="1" ht="12" customHeight="1">
      <c r="A2" s="175"/>
      <c r="B2" s="175"/>
      <c r="C2" s="175"/>
      <c r="D2" s="77"/>
      <c r="E2" s="77"/>
      <c r="F2" s="77"/>
      <c r="G2" s="74"/>
      <c r="H2" s="175"/>
      <c r="I2" s="175"/>
      <c r="J2" s="175"/>
      <c r="K2" s="175"/>
      <c r="L2" s="175"/>
      <c r="M2" s="120"/>
      <c r="N2" s="120"/>
      <c r="O2" s="120"/>
      <c r="P2" s="120"/>
      <c r="Q2" s="120"/>
      <c r="R2" s="120"/>
      <c r="S2" s="120"/>
    </row>
    <row r="3" spans="1:19" ht="47.25" customHeight="1">
      <c r="A3" s="2075" t="s">
        <v>178</v>
      </c>
      <c r="B3" s="2076"/>
      <c r="C3" s="2077"/>
      <c r="F3" s="1777"/>
      <c r="G3" s="1777"/>
      <c r="H3" s="1777"/>
      <c r="I3" s="1777"/>
      <c r="J3" s="1777"/>
      <c r="K3" s="1777"/>
      <c r="L3" s="1777"/>
      <c r="M3" s="1777"/>
      <c r="N3" s="1777"/>
      <c r="O3" s="1777"/>
      <c r="P3" s="1777"/>
      <c r="Q3" s="1777"/>
      <c r="R3" s="1777"/>
      <c r="S3" s="1777"/>
    </row>
    <row r="4" spans="1:19" ht="36.75" customHeight="1">
      <c r="A4" s="393" t="s">
        <v>59</v>
      </c>
      <c r="B4" s="389" t="s">
        <v>44</v>
      </c>
      <c r="C4" s="390" t="s">
        <v>42</v>
      </c>
      <c r="F4" s="1777"/>
      <c r="G4" s="1777"/>
      <c r="H4" s="1777"/>
      <c r="I4" s="1777"/>
      <c r="J4" s="1777"/>
      <c r="K4" s="1777"/>
      <c r="L4" s="1777"/>
      <c r="M4" s="1777"/>
      <c r="N4" s="1777"/>
      <c r="O4" s="1777"/>
      <c r="P4" s="1777"/>
      <c r="Q4" s="1777"/>
      <c r="R4" s="1777"/>
      <c r="S4" s="1777"/>
    </row>
    <row r="5" spans="1:19" ht="19.5" customHeight="1">
      <c r="A5" s="395" t="s">
        <v>66</v>
      </c>
      <c r="B5" s="388">
        <v>567631</v>
      </c>
      <c r="C5" s="1132">
        <f>+B5/$B$14</f>
        <v>0.36160230250878156</v>
      </c>
      <c r="F5" s="1777"/>
      <c r="G5" s="1777"/>
      <c r="H5" s="1777"/>
      <c r="I5" s="1777"/>
      <c r="J5" s="1777"/>
      <c r="K5" s="1777"/>
      <c r="L5" s="1777"/>
      <c r="M5" s="1777"/>
      <c r="N5" s="1777"/>
      <c r="O5" s="1777"/>
      <c r="P5" s="1777"/>
      <c r="Q5" s="1777"/>
      <c r="R5" s="1777"/>
      <c r="S5" s="1777"/>
    </row>
    <row r="6" spans="1:19" ht="19.5" customHeight="1">
      <c r="A6" s="396" t="s">
        <v>67</v>
      </c>
      <c r="B6" s="388">
        <v>543747</v>
      </c>
      <c r="C6" s="1132">
        <f t="shared" ref="C6:C13" si="0">+B6/$B$14</f>
        <v>0.34638729594092366</v>
      </c>
      <c r="F6" s="1777"/>
      <c r="G6" s="1777"/>
      <c r="H6" s="1777"/>
      <c r="I6" s="1777"/>
      <c r="J6" s="1777"/>
      <c r="K6" s="1777"/>
      <c r="L6" s="1777"/>
      <c r="M6" s="1777"/>
      <c r="N6" s="1777"/>
      <c r="O6" s="1777"/>
      <c r="P6" s="1777"/>
      <c r="Q6" s="1777"/>
      <c r="R6" s="1777"/>
      <c r="S6" s="1777"/>
    </row>
    <row r="7" spans="1:19" ht="19.5" customHeight="1">
      <c r="A7" s="396" t="s">
        <v>68</v>
      </c>
      <c r="B7" s="388">
        <v>160208</v>
      </c>
      <c r="C7" s="1132">
        <f t="shared" si="0"/>
        <v>0.10205852337227332</v>
      </c>
      <c r="F7" s="1777"/>
      <c r="G7" s="1777"/>
      <c r="H7" s="1777"/>
      <c r="I7" s="1777"/>
      <c r="J7" s="1777"/>
      <c r="K7" s="1777"/>
      <c r="L7" s="1777"/>
      <c r="M7" s="1777"/>
      <c r="N7" s="1777"/>
      <c r="O7" s="1777"/>
      <c r="P7" s="1777"/>
      <c r="Q7" s="1777"/>
      <c r="R7" s="1777"/>
      <c r="S7" s="1777"/>
    </row>
    <row r="8" spans="1:19" ht="19.5" customHeight="1">
      <c r="A8" s="396" t="s">
        <v>69</v>
      </c>
      <c r="B8" s="388">
        <v>116473</v>
      </c>
      <c r="C8" s="1132">
        <f t="shared" si="0"/>
        <v>7.4197682966760645E-2</v>
      </c>
      <c r="F8" s="1777"/>
      <c r="G8" s="1777"/>
      <c r="H8" s="1777"/>
      <c r="I8" s="1777"/>
      <c r="J8" s="1777"/>
      <c r="K8" s="1777"/>
      <c r="L8" s="1777"/>
      <c r="M8" s="1777"/>
      <c r="N8" s="1777"/>
      <c r="O8" s="1777"/>
      <c r="P8" s="1777"/>
      <c r="Q8" s="1777"/>
      <c r="R8" s="1777"/>
      <c r="S8" s="1777"/>
    </row>
    <row r="9" spans="1:19" ht="19.5" customHeight="1">
      <c r="A9" s="396" t="s">
        <v>70</v>
      </c>
      <c r="B9" s="388">
        <v>106257</v>
      </c>
      <c r="C9" s="1132">
        <f t="shared" si="0"/>
        <v>6.7689706618693488E-2</v>
      </c>
      <c r="F9" s="1777"/>
      <c r="G9" s="1777"/>
      <c r="H9" s="1777"/>
      <c r="I9" s="1777"/>
      <c r="J9" s="1777"/>
      <c r="K9" s="1777"/>
      <c r="L9" s="1777"/>
      <c r="M9" s="1777"/>
      <c r="N9" s="1777"/>
      <c r="O9" s="1777"/>
      <c r="P9" s="1777"/>
      <c r="Q9" s="1777"/>
      <c r="R9" s="1777"/>
      <c r="S9" s="1777"/>
    </row>
    <row r="10" spans="1:19" ht="19.5" customHeight="1">
      <c r="A10" s="396" t="s">
        <v>71</v>
      </c>
      <c r="B10" s="388">
        <v>33370</v>
      </c>
      <c r="C10" s="1132">
        <f t="shared" si="0"/>
        <v>2.1257945451742487E-2</v>
      </c>
      <c r="F10" s="1777"/>
      <c r="G10" s="1777"/>
      <c r="H10" s="1777"/>
      <c r="I10" s="1777"/>
      <c r="J10" s="1777"/>
      <c r="K10" s="1777"/>
      <c r="L10" s="1777"/>
      <c r="M10" s="1777"/>
      <c r="N10" s="1777"/>
      <c r="O10" s="1777"/>
      <c r="P10" s="1777"/>
      <c r="Q10" s="1777"/>
      <c r="R10" s="1777"/>
      <c r="S10" s="1777"/>
    </row>
    <row r="11" spans="1:19" ht="19.5" customHeight="1">
      <c r="A11" s="396" t="s">
        <v>72</v>
      </c>
      <c r="B11" s="388">
        <v>15611</v>
      </c>
      <c r="C11" s="1132">
        <f t="shared" si="0"/>
        <v>9.9447943196629314E-3</v>
      </c>
      <c r="F11" s="1777"/>
      <c r="G11" s="1777"/>
      <c r="H11" s="1777"/>
      <c r="I11" s="1777"/>
      <c r="J11" s="1777"/>
      <c r="K11" s="1777"/>
      <c r="L11" s="1777"/>
      <c r="M11" s="1777"/>
      <c r="N11" s="1777"/>
      <c r="O11" s="1777"/>
      <c r="P11" s="1777"/>
      <c r="Q11" s="1777"/>
      <c r="R11" s="1777"/>
      <c r="S11" s="1777"/>
    </row>
    <row r="12" spans="1:19" ht="19.5" customHeight="1">
      <c r="A12" s="396" t="s">
        <v>73</v>
      </c>
      <c r="B12" s="388">
        <v>14991</v>
      </c>
      <c r="C12" s="1132">
        <f t="shared" si="0"/>
        <v>9.5498309939188383E-3</v>
      </c>
      <c r="F12" s="1777"/>
      <c r="G12" s="1777"/>
      <c r="H12" s="1777"/>
      <c r="I12" s="1777"/>
      <c r="J12" s="1777"/>
      <c r="K12" s="1777"/>
      <c r="L12" s="1777"/>
      <c r="M12" s="1777"/>
      <c r="N12" s="1777"/>
      <c r="O12" s="1777"/>
      <c r="P12" s="1777"/>
      <c r="Q12" s="1777"/>
      <c r="R12" s="1777"/>
      <c r="S12" s="1777"/>
    </row>
    <row r="13" spans="1:19" ht="19.5" customHeight="1">
      <c r="A13" s="396" t="s">
        <v>74</v>
      </c>
      <c r="B13" s="388">
        <v>11478</v>
      </c>
      <c r="C13" s="1132">
        <f t="shared" si="0"/>
        <v>7.3119178272430417E-3</v>
      </c>
      <c r="D13" s="173"/>
      <c r="F13" s="1777"/>
      <c r="G13" s="1777"/>
      <c r="H13" s="1777"/>
      <c r="I13" s="1777"/>
      <c r="J13" s="1777"/>
      <c r="K13" s="1777"/>
      <c r="L13" s="1777"/>
      <c r="M13" s="1777"/>
      <c r="N13" s="1777"/>
      <c r="O13" s="1777"/>
      <c r="P13" s="1777"/>
      <c r="Q13" s="1777"/>
      <c r="R13" s="1777"/>
      <c r="S13" s="1777"/>
    </row>
    <row r="14" spans="1:19" ht="18.75">
      <c r="A14" s="394" t="s">
        <v>23</v>
      </c>
      <c r="B14" s="391">
        <f>SUM(B5:B13)</f>
        <v>1569766</v>
      </c>
      <c r="C14" s="392">
        <f>SUM(C5:C13)</f>
        <v>0.99999999999999989</v>
      </c>
      <c r="F14" s="1777"/>
      <c r="G14" s="1777"/>
      <c r="H14" s="1777"/>
      <c r="I14" s="1777"/>
      <c r="J14" s="1777"/>
      <c r="K14" s="1777"/>
      <c r="L14" s="1777"/>
      <c r="M14" s="1777"/>
      <c r="N14" s="1777"/>
      <c r="O14" s="1777"/>
      <c r="P14" s="1777"/>
      <c r="Q14" s="1777"/>
      <c r="R14" s="1777"/>
      <c r="S14" s="1777"/>
    </row>
    <row r="15" spans="1:19" ht="23.25" customHeight="1">
      <c r="C15" s="93"/>
      <c r="D15" s="93"/>
      <c r="F15" s="74"/>
      <c r="G15" s="96"/>
      <c r="H15" s="96"/>
      <c r="I15" s="96"/>
      <c r="J15" s="96"/>
      <c r="K15" s="96"/>
      <c r="L15" s="96"/>
      <c r="M15" s="96"/>
      <c r="N15" s="96"/>
      <c r="O15" s="96"/>
      <c r="P15" s="96"/>
      <c r="Q15" s="96"/>
      <c r="R15" s="96"/>
      <c r="S15" s="96"/>
    </row>
    <row r="16" spans="1:19" ht="23.25" customHeight="1">
      <c r="B16" s="96"/>
      <c r="C16" s="96"/>
      <c r="D16" s="96"/>
      <c r="E16" s="96"/>
      <c r="F16" s="96"/>
      <c r="G16" s="96"/>
      <c r="H16" s="96"/>
      <c r="I16" s="96"/>
      <c r="J16" s="96"/>
      <c r="K16" s="96"/>
      <c r="L16" s="96"/>
      <c r="M16" s="96"/>
      <c r="N16" s="96"/>
      <c r="O16" s="96"/>
      <c r="P16" s="96"/>
      <c r="Q16" s="96"/>
      <c r="R16" s="96"/>
      <c r="S16" s="96"/>
    </row>
    <row r="17" spans="1:19" ht="23.25" customHeight="1">
      <c r="B17" s="96"/>
      <c r="C17" s="96"/>
      <c r="D17" s="96"/>
      <c r="E17" s="96"/>
      <c r="F17" s="96"/>
      <c r="G17" s="96"/>
      <c r="H17" s="96"/>
      <c r="I17" s="96"/>
      <c r="J17" s="96"/>
      <c r="K17" s="96"/>
      <c r="L17" s="96"/>
      <c r="M17" s="96"/>
      <c r="N17" s="96"/>
      <c r="O17" s="96"/>
      <c r="P17" s="96"/>
      <c r="Q17" s="96"/>
      <c r="R17" s="96"/>
      <c r="S17" s="96"/>
    </row>
    <row r="18" spans="1:19" ht="23.25" customHeight="1">
      <c r="B18" s="96"/>
      <c r="C18" s="96"/>
      <c r="D18" s="96"/>
      <c r="E18" s="96"/>
      <c r="F18" s="96"/>
      <c r="G18" s="96"/>
      <c r="H18" s="96"/>
      <c r="I18" s="96"/>
      <c r="J18" s="96"/>
      <c r="K18" s="96"/>
      <c r="L18" s="96"/>
      <c r="M18" s="96"/>
      <c r="N18" s="96"/>
      <c r="O18" s="96"/>
      <c r="P18" s="96"/>
      <c r="Q18" s="96"/>
      <c r="R18" s="96"/>
      <c r="S18" s="96"/>
    </row>
    <row r="19" spans="1:19" ht="23.25" customHeight="1">
      <c r="B19" s="96"/>
      <c r="C19" s="96"/>
      <c r="D19" s="96"/>
      <c r="E19" s="96"/>
      <c r="F19" s="96"/>
      <c r="G19" s="96"/>
      <c r="H19" s="96"/>
      <c r="I19" s="96"/>
      <c r="J19" s="96"/>
      <c r="K19" s="96"/>
      <c r="L19" s="96"/>
      <c r="M19" s="96"/>
      <c r="N19" s="96"/>
      <c r="O19" s="96"/>
      <c r="P19" s="96"/>
      <c r="Q19" s="96"/>
      <c r="R19" s="96"/>
      <c r="S19" s="96"/>
    </row>
    <row r="20" spans="1:19" ht="23.25" customHeight="1">
      <c r="B20" s="96"/>
      <c r="C20" s="96"/>
      <c r="D20" s="96"/>
      <c r="E20" s="96"/>
      <c r="F20" s="96"/>
      <c r="G20" s="96"/>
      <c r="H20" s="96"/>
      <c r="I20" s="96"/>
      <c r="J20" s="96"/>
      <c r="K20" s="96"/>
      <c r="L20" s="96"/>
      <c r="M20" s="96"/>
      <c r="N20" s="96"/>
      <c r="O20" s="96"/>
      <c r="P20" s="96"/>
      <c r="Q20" s="96"/>
      <c r="R20" s="96"/>
      <c r="S20" s="96"/>
    </row>
    <row r="21" spans="1:19" ht="23.25" customHeight="1">
      <c r="B21" s="96"/>
      <c r="C21" s="96"/>
      <c r="D21" s="96"/>
      <c r="E21" s="100"/>
      <c r="F21" s="100"/>
      <c r="G21" s="100"/>
      <c r="H21" s="100"/>
      <c r="I21" s="100"/>
      <c r="J21" s="100"/>
      <c r="K21" s="100"/>
      <c r="L21" s="100"/>
      <c r="M21" s="100"/>
      <c r="N21" s="100"/>
      <c r="O21" s="100"/>
      <c r="P21" s="100"/>
      <c r="Q21" s="100"/>
      <c r="R21" s="100"/>
      <c r="S21" s="100"/>
    </row>
    <row r="22" spans="1:19" ht="23.25" customHeight="1">
      <c r="B22" s="96"/>
      <c r="C22" s="96"/>
      <c r="D22" s="96"/>
      <c r="E22" s="100"/>
      <c r="F22" s="100"/>
      <c r="G22" s="100"/>
      <c r="H22" s="100"/>
      <c r="I22" s="100"/>
      <c r="J22" s="100"/>
      <c r="K22" s="100"/>
      <c r="L22" s="100"/>
      <c r="M22" s="100"/>
      <c r="N22" s="100"/>
      <c r="O22" s="100"/>
      <c r="P22" s="100"/>
      <c r="Q22" s="100"/>
      <c r="R22" s="100"/>
      <c r="S22" s="100"/>
    </row>
    <row r="23" spans="1:19" ht="23.25" customHeight="1">
      <c r="B23" s="96"/>
      <c r="C23" s="96"/>
      <c r="D23" s="96"/>
      <c r="E23" s="100"/>
      <c r="F23" s="100"/>
      <c r="G23" s="100"/>
      <c r="H23" s="100"/>
      <c r="I23" s="100"/>
      <c r="J23" s="100"/>
      <c r="K23" s="100"/>
      <c r="L23" s="100"/>
      <c r="M23" s="100"/>
      <c r="N23" s="100"/>
      <c r="O23" s="100"/>
      <c r="P23" s="100"/>
      <c r="Q23" s="100"/>
      <c r="R23" s="100"/>
      <c r="S23" s="100"/>
    </row>
    <row r="24" spans="1:19" ht="23.25" customHeight="1">
      <c r="B24" s="96"/>
      <c r="C24" s="96"/>
      <c r="D24" s="96"/>
      <c r="E24" s="100"/>
      <c r="F24" s="100"/>
      <c r="G24" s="100"/>
      <c r="H24" s="100"/>
      <c r="I24" s="100"/>
      <c r="J24" s="100"/>
      <c r="K24" s="100"/>
      <c r="L24" s="100"/>
      <c r="M24" s="100"/>
      <c r="N24" s="100"/>
      <c r="O24" s="100"/>
      <c r="P24" s="100"/>
      <c r="Q24" s="100"/>
      <c r="R24" s="100"/>
      <c r="S24" s="100"/>
    </row>
    <row r="25" spans="1:19" ht="23.25" customHeight="1">
      <c r="A25" s="70"/>
      <c r="B25" s="100"/>
      <c r="C25" s="100"/>
      <c r="D25" s="100"/>
      <c r="E25" s="100"/>
      <c r="F25" s="100"/>
      <c r="G25" s="100"/>
      <c r="H25" s="100"/>
      <c r="I25" s="100"/>
      <c r="J25" s="100"/>
      <c r="K25" s="100"/>
      <c r="L25" s="100"/>
      <c r="M25" s="100"/>
      <c r="N25" s="100"/>
      <c r="O25" s="100"/>
      <c r="P25" s="100"/>
      <c r="Q25" s="100"/>
      <c r="R25" s="100"/>
      <c r="S25" s="100"/>
    </row>
    <row r="26" spans="1:19" ht="23.25" customHeight="1">
      <c r="A26" s="70"/>
      <c r="B26" s="100"/>
      <c r="C26" s="100"/>
      <c r="D26" s="100"/>
      <c r="E26" s="100"/>
      <c r="F26" s="100"/>
      <c r="G26" s="100"/>
      <c r="H26" s="100"/>
      <c r="I26" s="100"/>
      <c r="J26" s="100"/>
      <c r="K26" s="100"/>
      <c r="L26" s="100"/>
      <c r="M26" s="100"/>
      <c r="N26" s="100"/>
      <c r="O26" s="100"/>
      <c r="P26" s="100"/>
      <c r="Q26" s="100"/>
      <c r="R26" s="100"/>
      <c r="S26" s="100"/>
    </row>
    <row r="27" spans="1:19" ht="23.25" customHeight="1">
      <c r="A27" s="70"/>
      <c r="B27" s="100"/>
      <c r="C27" s="100"/>
      <c r="D27" s="100"/>
      <c r="E27" s="100"/>
      <c r="F27" s="100"/>
      <c r="G27" s="100"/>
      <c r="H27" s="100"/>
      <c r="I27" s="100"/>
      <c r="J27" s="100"/>
      <c r="K27" s="100"/>
      <c r="L27" s="100"/>
      <c r="M27" s="100"/>
      <c r="N27" s="100"/>
      <c r="O27" s="100"/>
      <c r="P27" s="100"/>
      <c r="Q27" s="100"/>
      <c r="R27" s="100"/>
      <c r="S27" s="100"/>
    </row>
    <row r="28" spans="1:19" ht="23.25" customHeight="1">
      <c r="A28" s="70"/>
      <c r="B28" s="100"/>
      <c r="C28" s="100"/>
      <c r="D28" s="100"/>
      <c r="E28" s="100"/>
      <c r="F28" s="100"/>
      <c r="G28" s="100"/>
      <c r="H28" s="100"/>
      <c r="I28" s="100"/>
      <c r="J28" s="100"/>
      <c r="K28" s="100"/>
      <c r="L28" s="100"/>
      <c r="M28" s="100"/>
      <c r="N28" s="100"/>
      <c r="O28" s="100"/>
      <c r="P28" s="100"/>
      <c r="Q28" s="100"/>
      <c r="R28" s="100"/>
      <c r="S28" s="100"/>
    </row>
    <row r="29" spans="1:19" ht="23.25" customHeight="1">
      <c r="A29" s="70"/>
      <c r="B29" s="100"/>
      <c r="C29" s="100"/>
      <c r="D29" s="100"/>
      <c r="E29" s="100"/>
      <c r="F29" s="100"/>
      <c r="G29" s="100"/>
      <c r="H29" s="100"/>
      <c r="I29" s="100"/>
      <c r="J29" s="100"/>
      <c r="K29" s="100"/>
      <c r="L29" s="100"/>
      <c r="M29" s="100"/>
      <c r="N29" s="100"/>
      <c r="O29" s="100" t="s">
        <v>184</v>
      </c>
      <c r="P29" s="100"/>
      <c r="Q29" s="100"/>
      <c r="R29" s="100"/>
      <c r="S29" s="100"/>
    </row>
    <row r="30" spans="1:19" ht="23.25" customHeight="1">
      <c r="A30" s="70"/>
      <c r="B30" s="100"/>
      <c r="C30" s="100"/>
      <c r="D30" s="100"/>
      <c r="E30" s="100"/>
      <c r="F30" s="100"/>
      <c r="G30" s="100"/>
      <c r="H30" s="100"/>
      <c r="I30" s="100"/>
      <c r="J30" s="100"/>
      <c r="K30" s="100"/>
      <c r="L30" s="100"/>
      <c r="M30" s="100"/>
      <c r="N30" s="100"/>
      <c r="O30" s="100"/>
      <c r="P30" s="100"/>
      <c r="Q30" s="100"/>
      <c r="R30" s="100"/>
      <c r="S30" s="100"/>
    </row>
    <row r="31" spans="1:19" ht="23.25" customHeight="1">
      <c r="A31" s="70"/>
      <c r="B31" s="100"/>
      <c r="C31" s="100"/>
      <c r="D31" s="100"/>
      <c r="E31" s="100"/>
      <c r="F31" s="100"/>
      <c r="G31" s="100"/>
      <c r="H31" s="100"/>
      <c r="I31" s="100"/>
      <c r="J31" s="100"/>
      <c r="K31" s="100"/>
      <c r="L31" s="100"/>
      <c r="M31" s="100"/>
      <c r="N31" s="100"/>
      <c r="O31" s="100"/>
      <c r="P31" s="100"/>
      <c r="Q31" s="100"/>
      <c r="R31" s="100"/>
      <c r="S31" s="100"/>
    </row>
    <row r="32" spans="1:19" ht="23.25" customHeight="1">
      <c r="A32" s="70"/>
      <c r="B32" s="100"/>
      <c r="C32" s="100"/>
      <c r="D32" s="100"/>
      <c r="E32" s="100"/>
      <c r="F32" s="100"/>
      <c r="G32" s="100"/>
      <c r="H32" s="100"/>
      <c r="I32" s="100"/>
      <c r="J32" s="100"/>
      <c r="K32" s="100"/>
      <c r="L32" s="100"/>
      <c r="M32" s="100"/>
      <c r="N32" s="100"/>
      <c r="O32" s="100"/>
      <c r="P32" s="100"/>
      <c r="Q32" s="100"/>
      <c r="R32" s="100"/>
      <c r="S32" s="100"/>
    </row>
    <row r="33" spans="1:19" ht="23.25" customHeight="1">
      <c r="A33" s="70"/>
      <c r="B33" s="100"/>
      <c r="C33" s="100"/>
      <c r="D33" s="100"/>
      <c r="E33" s="100"/>
      <c r="F33" s="100"/>
      <c r="G33" s="100"/>
      <c r="H33" s="100"/>
      <c r="I33" s="100"/>
      <c r="J33" s="100"/>
      <c r="K33" s="100"/>
      <c r="L33" s="100"/>
      <c r="M33" s="100"/>
      <c r="N33" s="100"/>
      <c r="O33" s="100"/>
      <c r="P33" s="100"/>
      <c r="Q33" s="100"/>
      <c r="R33" s="100"/>
      <c r="S33" s="100"/>
    </row>
    <row r="34" spans="1:19" ht="23.25" customHeight="1">
      <c r="A34" s="70"/>
      <c r="B34" s="100"/>
      <c r="C34" s="100"/>
      <c r="D34" s="100"/>
      <c r="E34" s="100"/>
      <c r="F34" s="100"/>
      <c r="G34" s="100"/>
      <c r="H34" s="100"/>
      <c r="I34" s="100"/>
      <c r="J34" s="100"/>
      <c r="K34" s="100"/>
      <c r="L34" s="100"/>
      <c r="M34" s="100"/>
      <c r="N34" s="100"/>
      <c r="O34" s="100"/>
      <c r="P34" s="100"/>
      <c r="Q34" s="100"/>
      <c r="R34" s="100"/>
      <c r="S34" s="100"/>
    </row>
    <row r="35" spans="1:19" ht="23.25" customHeight="1">
      <c r="A35" s="70"/>
      <c r="B35" s="100"/>
      <c r="C35" s="100"/>
      <c r="D35" s="100"/>
      <c r="E35" s="100"/>
      <c r="F35" s="100"/>
      <c r="G35" s="100"/>
      <c r="H35" s="100"/>
      <c r="I35" s="100"/>
      <c r="J35" s="100"/>
      <c r="K35" s="100"/>
      <c r="L35" s="100"/>
      <c r="M35" s="100"/>
      <c r="N35" s="100"/>
      <c r="O35" s="100"/>
      <c r="P35" s="100"/>
      <c r="Q35" s="100"/>
      <c r="R35" s="100"/>
      <c r="S35" s="100"/>
    </row>
    <row r="36" spans="1:19" ht="23.25" customHeight="1">
      <c r="A36" s="70"/>
      <c r="B36" s="100"/>
      <c r="C36" s="100"/>
      <c r="D36" s="100"/>
      <c r="E36" s="100"/>
      <c r="F36" s="100"/>
      <c r="G36" s="100"/>
      <c r="H36" s="100"/>
      <c r="I36" s="100"/>
      <c r="J36" s="100"/>
      <c r="K36" s="100"/>
      <c r="L36" s="100"/>
      <c r="M36" s="100"/>
      <c r="N36" s="100"/>
      <c r="O36" s="100"/>
      <c r="P36" s="100"/>
      <c r="Q36" s="100"/>
      <c r="R36" s="100"/>
      <c r="S36" s="100"/>
    </row>
    <row r="37" spans="1:19" ht="23.25" customHeight="1">
      <c r="A37" s="70"/>
      <c r="B37" s="100"/>
      <c r="C37" s="100"/>
      <c r="D37" s="100"/>
      <c r="E37" s="100"/>
      <c r="F37" s="100"/>
      <c r="G37" s="100"/>
      <c r="H37" s="100"/>
      <c r="I37" s="100"/>
      <c r="J37" s="100"/>
      <c r="K37" s="100"/>
      <c r="L37" s="100"/>
      <c r="M37" s="100"/>
      <c r="N37" s="100"/>
      <c r="O37" s="100"/>
      <c r="P37" s="100"/>
      <c r="Q37" s="100"/>
      <c r="R37" s="100"/>
      <c r="S37" s="100"/>
    </row>
    <row r="38" spans="1:19" ht="23.25" customHeight="1">
      <c r="A38" s="70"/>
      <c r="B38" s="100"/>
      <c r="C38" s="100"/>
      <c r="D38" s="100"/>
      <c r="E38" s="100"/>
      <c r="F38" s="100"/>
      <c r="G38" s="100"/>
      <c r="H38" s="100"/>
      <c r="I38" s="100"/>
      <c r="J38" s="100"/>
      <c r="K38" s="100"/>
      <c r="L38" s="100"/>
      <c r="M38" s="100"/>
      <c r="N38" s="100"/>
      <c r="O38" s="100"/>
      <c r="P38" s="100"/>
      <c r="Q38" s="100"/>
      <c r="R38" s="100"/>
      <c r="S38" s="100"/>
    </row>
    <row r="39" spans="1:19" ht="23.25" customHeight="1">
      <c r="A39" s="70"/>
      <c r="B39" s="100"/>
      <c r="C39" s="100"/>
      <c r="D39" s="100"/>
      <c r="E39" s="100"/>
      <c r="F39" s="100"/>
      <c r="G39" s="100"/>
      <c r="H39" s="100"/>
      <c r="I39" s="100"/>
      <c r="J39" s="100"/>
      <c r="K39" s="100"/>
      <c r="L39" s="100"/>
      <c r="M39" s="100"/>
      <c r="N39" s="100"/>
      <c r="O39" s="100"/>
      <c r="P39" s="100"/>
      <c r="Q39" s="100"/>
      <c r="R39" s="100"/>
      <c r="S39" s="100"/>
    </row>
    <row r="40" spans="1:19" ht="23.25" customHeight="1">
      <c r="A40" s="70"/>
      <c r="B40" s="100"/>
      <c r="C40" s="100"/>
      <c r="D40" s="100"/>
      <c r="E40" s="100"/>
      <c r="F40" s="100"/>
      <c r="G40" s="100"/>
      <c r="H40" s="100"/>
      <c r="I40" s="100"/>
      <c r="J40" s="100"/>
      <c r="K40" s="100"/>
      <c r="L40" s="100"/>
      <c r="M40" s="100"/>
      <c r="N40" s="100"/>
      <c r="O40" s="100"/>
      <c r="P40" s="100"/>
      <c r="Q40" s="100"/>
      <c r="R40" s="100"/>
      <c r="S40" s="100"/>
    </row>
    <row r="41" spans="1:19" ht="23.25" customHeight="1">
      <c r="A41" s="70"/>
      <c r="B41" s="100"/>
      <c r="C41" s="100"/>
      <c r="D41" s="100"/>
      <c r="E41" s="100"/>
      <c r="F41" s="100"/>
      <c r="G41" s="100"/>
      <c r="H41" s="100"/>
      <c r="I41" s="100"/>
      <c r="J41" s="100"/>
      <c r="K41" s="100"/>
      <c r="L41" s="100"/>
      <c r="M41" s="100"/>
      <c r="N41" s="100"/>
      <c r="O41" s="100"/>
      <c r="P41" s="100"/>
      <c r="Q41" s="100"/>
      <c r="R41" s="100"/>
      <c r="S41" s="100"/>
    </row>
    <row r="42" spans="1:19" ht="23.25" customHeight="1">
      <c r="A42" s="70"/>
      <c r="B42" s="100"/>
      <c r="C42" s="100"/>
      <c r="D42" s="100"/>
    </row>
    <row r="43" spans="1:19" ht="23.25" customHeight="1">
      <c r="A43" s="70"/>
      <c r="B43" s="100"/>
      <c r="C43" s="100"/>
      <c r="D43" s="100"/>
    </row>
    <row r="44" spans="1:19" ht="23.25" customHeight="1">
      <c r="A44" s="73"/>
      <c r="B44" s="100"/>
      <c r="C44" s="100"/>
      <c r="D44" s="100"/>
    </row>
    <row r="45" spans="1:19" ht="23.25" customHeight="1">
      <c r="A45" s="70"/>
      <c r="B45" s="100"/>
      <c r="C45" s="100"/>
      <c r="D45" s="100"/>
    </row>
  </sheetData>
  <mergeCells count="2">
    <mergeCell ref="A1:L1"/>
    <mergeCell ref="A3:C3"/>
  </mergeCells>
  <printOptions horizontalCentered="1" verticalCentered="1"/>
  <pageMargins left="0.4" right="0.4" top="0.25" bottom="0.25" header="0.31496062992126" footer="0.31496062992126"/>
  <pageSetup scale="60" orientation="landscape"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8">
    <tabColor theme="9" tint="-0.249977111117893"/>
    <pageSetUpPr fitToPage="1"/>
  </sheetPr>
  <dimension ref="A1:O42"/>
  <sheetViews>
    <sheetView showGridLines="0" view="pageBreakPreview" zoomScale="70" zoomScaleNormal="100" zoomScaleSheetLayoutView="70" workbookViewId="0">
      <selection activeCell="N34" sqref="N34"/>
    </sheetView>
  </sheetViews>
  <sheetFormatPr baseColWidth="10" defaultColWidth="11.42578125" defaultRowHeight="15"/>
  <cols>
    <col min="1" max="1" width="12.7109375" style="77" customWidth="1"/>
    <col min="2" max="2" width="12.28515625" style="77" bestFit="1" customWidth="1"/>
    <col min="3" max="3" width="14.7109375" style="77" bestFit="1" customWidth="1"/>
    <col min="4" max="4" width="12.5703125" style="77" customWidth="1"/>
    <col min="5" max="5" width="17.5703125" style="77" customWidth="1"/>
    <col min="6" max="6" width="15.5703125" style="77" customWidth="1"/>
    <col min="7" max="7" width="22.42578125" style="77" customWidth="1"/>
    <col min="8" max="8" width="16.140625" style="77" customWidth="1"/>
    <col min="9" max="9" width="19.28515625" style="77" customWidth="1"/>
    <col min="10" max="10" width="16.28515625" style="77" customWidth="1"/>
    <col min="11" max="11" width="16" style="77" customWidth="1"/>
    <col min="12" max="12" width="16.42578125" style="77" customWidth="1"/>
    <col min="13" max="13" width="17.42578125" style="77" customWidth="1"/>
    <col min="14" max="14" width="22" style="77" customWidth="1"/>
    <col min="15" max="17" width="11.42578125" style="77"/>
    <col min="18" max="18" width="17" style="77" customWidth="1"/>
    <col min="19" max="16384" width="11.42578125" style="77"/>
  </cols>
  <sheetData>
    <row r="1" spans="1:15" ht="82.5" customHeight="1">
      <c r="A1" s="2062"/>
      <c r="B1" s="2062"/>
      <c r="C1" s="2062"/>
      <c r="D1" s="2062"/>
      <c r="E1" s="2062"/>
      <c r="F1" s="2062"/>
      <c r="G1" s="2062"/>
      <c r="H1" s="2062"/>
      <c r="I1" s="2062"/>
      <c r="J1" s="2062"/>
      <c r="K1" s="2062"/>
      <c r="L1" s="2062"/>
      <c r="M1" s="126"/>
      <c r="N1" s="126"/>
    </row>
    <row r="2" spans="1:15" ht="15" customHeight="1">
      <c r="A2" s="2078"/>
      <c r="B2" s="2079"/>
      <c r="C2" s="2079"/>
      <c r="D2" s="2079"/>
      <c r="E2" s="2079"/>
      <c r="F2" s="2079"/>
      <c r="G2" s="2079"/>
      <c r="H2" s="2079"/>
      <c r="I2" s="2079"/>
      <c r="J2" s="2079"/>
      <c r="K2" s="2079"/>
      <c r="L2" s="2079"/>
      <c r="M2" s="168"/>
      <c r="N2" s="168"/>
    </row>
    <row r="3" spans="1:15" s="134" customFormat="1" ht="49.5" customHeight="1">
      <c r="A3" s="403" t="s">
        <v>151</v>
      </c>
      <c r="B3" s="397" t="s">
        <v>99</v>
      </c>
      <c r="C3" s="398" t="s">
        <v>100</v>
      </c>
      <c r="D3" s="398" t="s">
        <v>90</v>
      </c>
      <c r="E3" s="398" t="s">
        <v>91</v>
      </c>
      <c r="F3" s="398" t="s">
        <v>92</v>
      </c>
      <c r="G3" s="397" t="s">
        <v>182</v>
      </c>
      <c r="H3" s="399" t="s">
        <v>152</v>
      </c>
      <c r="I3" s="399" t="s">
        <v>450</v>
      </c>
      <c r="J3" s="404" t="s">
        <v>23</v>
      </c>
      <c r="K3" s="163"/>
      <c r="L3" s="200"/>
      <c r="M3" s="162"/>
      <c r="N3" s="201"/>
    </row>
    <row r="4" spans="1:15" ht="18.75" customHeight="1">
      <c r="A4" s="402" t="s">
        <v>1002</v>
      </c>
      <c r="B4" s="1394">
        <v>468355</v>
      </c>
      <c r="C4" s="1394">
        <v>212960</v>
      </c>
      <c r="D4" s="1394">
        <v>12079</v>
      </c>
      <c r="E4" s="1394">
        <v>447391</v>
      </c>
      <c r="F4" s="1394">
        <v>289988</v>
      </c>
      <c r="G4" s="1394">
        <v>92327</v>
      </c>
      <c r="H4" s="1394">
        <v>39478</v>
      </c>
      <c r="I4" s="1394">
        <v>7188</v>
      </c>
      <c r="J4" s="1395">
        <f>+B4+C4+D4+E4+F4+G4+H4+I4</f>
        <v>1569766</v>
      </c>
      <c r="L4" s="94"/>
      <c r="M4" s="162"/>
      <c r="N4" s="162"/>
    </row>
    <row r="5" spans="1:15" ht="17.25" customHeight="1">
      <c r="A5" s="400" t="s">
        <v>42</v>
      </c>
      <c r="B5" s="1966">
        <f>B4/$J$4</f>
        <v>0.29835975553044214</v>
      </c>
      <c r="C5" s="1966">
        <f t="shared" ref="C5:H5" si="0">C4/$J$4</f>
        <v>0.13566353201687384</v>
      </c>
      <c r="D5" s="1966">
        <f t="shared" si="0"/>
        <v>7.6947774381659435E-3</v>
      </c>
      <c r="E5" s="1966">
        <f t="shared" si="0"/>
        <v>0.28500489881931446</v>
      </c>
      <c r="F5" s="1966">
        <f t="shared" si="0"/>
        <v>0.18473326597722209</v>
      </c>
      <c r="G5" s="1966">
        <f t="shared" si="0"/>
        <v>5.8815772541894781E-2</v>
      </c>
      <c r="H5" s="1966">
        <f t="shared" si="0"/>
        <v>2.514897124794396E-2</v>
      </c>
      <c r="I5" s="1966">
        <f>I4/$J$4</f>
        <v>4.5790264281427928E-3</v>
      </c>
      <c r="J5" s="401">
        <f>SUM(B5:I5)</f>
        <v>0.99999999999999989</v>
      </c>
      <c r="K5" s="94"/>
      <c r="L5" s="20"/>
      <c r="M5" s="18"/>
      <c r="N5" s="162"/>
    </row>
    <row r="6" spans="1:15">
      <c r="A6" s="97"/>
      <c r="B6" s="275"/>
      <c r="C6" s="275"/>
      <c r="D6" s="275"/>
      <c r="E6" s="274"/>
      <c r="F6" s="274"/>
      <c r="G6" s="275"/>
      <c r="H6" s="275"/>
      <c r="I6" s="97"/>
      <c r="J6" s="97"/>
      <c r="K6" s="94"/>
      <c r="L6" s="94"/>
      <c r="M6" s="173"/>
      <c r="N6" s="162"/>
    </row>
    <row r="7" spans="1:15">
      <c r="E7" s="9"/>
      <c r="F7" s="9"/>
      <c r="G7" s="94"/>
      <c r="H7" s="94"/>
      <c r="I7" s="94"/>
      <c r="J7" s="94"/>
      <c r="K7" s="94"/>
      <c r="L7" s="94"/>
      <c r="M7" s="94"/>
      <c r="N7" s="173"/>
    </row>
    <row r="8" spans="1:15">
      <c r="E8" s="9"/>
      <c r="F8" s="9"/>
      <c r="G8" s="94"/>
      <c r="H8" s="94"/>
      <c r="I8" s="94"/>
      <c r="J8" s="94"/>
      <c r="K8" s="94"/>
      <c r="L8" s="94"/>
      <c r="M8" s="1769"/>
    </row>
    <row r="9" spans="1:15" ht="18.75">
      <c r="E9" s="8"/>
      <c r="F9" s="9"/>
      <c r="G9" s="94"/>
      <c r="H9" s="94"/>
      <c r="I9" s="94"/>
      <c r="J9" s="94"/>
      <c r="K9" s="94"/>
      <c r="L9" s="94"/>
      <c r="M9" s="1190"/>
      <c r="N9" s="202"/>
      <c r="O9" s="119"/>
    </row>
    <row r="10" spans="1:15">
      <c r="E10" s="8"/>
      <c r="F10" s="8"/>
      <c r="G10" s="94"/>
      <c r="H10" s="94"/>
      <c r="I10" s="94"/>
      <c r="J10" s="94"/>
      <c r="K10" s="94"/>
      <c r="L10" s="94"/>
      <c r="M10" s="20"/>
      <c r="N10" s="94"/>
      <c r="O10" s="18"/>
    </row>
    <row r="11" spans="1:15" ht="18.75">
      <c r="G11" s="2"/>
      <c r="H11" s="2"/>
      <c r="I11" s="4"/>
      <c r="J11" s="4"/>
      <c r="K11" s="1"/>
      <c r="L11" s="1"/>
      <c r="M11" s="1"/>
      <c r="N11" s="1"/>
    </row>
    <row r="12" spans="1:15">
      <c r="B12" s="1"/>
      <c r="C12" s="1"/>
      <c r="D12" s="1"/>
      <c r="E12" s="1"/>
      <c r="F12" s="1"/>
      <c r="G12" s="1"/>
      <c r="H12" s="1"/>
      <c r="I12" s="3"/>
      <c r="J12" s="3"/>
      <c r="K12" s="1"/>
      <c r="L12" s="1"/>
      <c r="M12" s="1"/>
      <c r="N12" s="1"/>
    </row>
    <row r="13" spans="1:15">
      <c r="B13" s="1"/>
      <c r="C13" s="1"/>
      <c r="D13" s="1"/>
      <c r="E13" s="1"/>
      <c r="F13" s="6"/>
      <c r="G13" s="1"/>
      <c r="H13" s="1"/>
      <c r="I13" s="1"/>
      <c r="J13" s="1"/>
      <c r="K13" s="1"/>
      <c r="L13" s="4"/>
      <c r="M13" s="4"/>
      <c r="N13" s="4"/>
      <c r="O13" s="18"/>
    </row>
    <row r="14" spans="1:15">
      <c r="B14" s="1"/>
      <c r="C14" s="1"/>
      <c r="D14" s="1"/>
      <c r="E14" s="1"/>
      <c r="F14" s="1"/>
      <c r="G14" s="1"/>
      <c r="H14" s="1"/>
      <c r="I14" s="1"/>
      <c r="J14" s="1"/>
      <c r="K14" s="1"/>
      <c r="L14" s="1"/>
      <c r="M14" s="1"/>
      <c r="N14" s="1"/>
    </row>
    <row r="15" spans="1:15">
      <c r="B15" s="1"/>
      <c r="C15" s="1"/>
      <c r="D15" s="1"/>
      <c r="E15" s="1"/>
      <c r="F15" s="1"/>
      <c r="G15" s="1"/>
      <c r="H15" s="1"/>
      <c r="I15" s="1"/>
      <c r="J15" s="1"/>
      <c r="K15" s="1"/>
      <c r="L15" s="1"/>
      <c r="M15" s="1"/>
      <c r="N15" s="1"/>
    </row>
    <row r="16" spans="1:15">
      <c r="B16" s="1"/>
      <c r="C16" s="1"/>
      <c r="D16" s="1"/>
      <c r="E16" s="1"/>
      <c r="F16" s="1"/>
      <c r="G16" s="1"/>
      <c r="H16" s="1"/>
      <c r="I16" s="1"/>
      <c r="J16" s="1"/>
      <c r="K16" s="1"/>
      <c r="L16" s="1"/>
      <c r="M16" s="1"/>
      <c r="N16" s="1"/>
    </row>
    <row r="17" spans="2:14">
      <c r="B17" s="1"/>
      <c r="C17" s="1"/>
      <c r="D17" s="1"/>
      <c r="E17" s="1"/>
      <c r="F17" s="1"/>
      <c r="G17" s="1"/>
      <c r="H17" s="1"/>
      <c r="I17" s="1"/>
      <c r="J17" s="1"/>
      <c r="K17" s="1"/>
      <c r="L17" s="1"/>
      <c r="M17" s="1"/>
      <c r="N17" s="1"/>
    </row>
    <row r="18" spans="2:14">
      <c r="B18" s="1"/>
      <c r="C18" s="1"/>
      <c r="D18" s="1"/>
      <c r="E18" s="1"/>
      <c r="F18" s="1"/>
      <c r="G18" s="1"/>
      <c r="H18" s="1"/>
      <c r="I18" s="1"/>
      <c r="J18" s="1"/>
      <c r="K18" s="1"/>
      <c r="L18" s="1"/>
      <c r="M18" s="1"/>
      <c r="N18" s="1"/>
    </row>
    <row r="19" spans="2:14">
      <c r="B19" s="1"/>
      <c r="C19" s="1"/>
      <c r="D19" s="1"/>
      <c r="E19" s="1"/>
      <c r="F19" s="1"/>
      <c r="G19" s="1"/>
      <c r="H19" s="1"/>
      <c r="I19" s="1"/>
      <c r="J19" s="1"/>
      <c r="K19" s="1"/>
      <c r="L19" s="1"/>
      <c r="M19" s="1"/>
      <c r="N19" s="1"/>
    </row>
    <row r="20" spans="2:14">
      <c r="B20" s="1"/>
      <c r="C20" s="1"/>
      <c r="D20" s="1"/>
      <c r="E20" s="1"/>
      <c r="F20" s="1"/>
      <c r="G20" s="1"/>
      <c r="H20" s="1"/>
      <c r="I20" s="1"/>
      <c r="J20" s="1"/>
      <c r="K20" s="1"/>
      <c r="L20" s="1"/>
      <c r="M20" s="1"/>
      <c r="N20" s="1"/>
    </row>
    <row r="21" spans="2:14">
      <c r="B21" s="1"/>
      <c r="C21" s="1"/>
      <c r="D21" s="1"/>
      <c r="E21" s="1"/>
      <c r="F21" s="1"/>
      <c r="G21" s="1"/>
      <c r="H21" s="1"/>
      <c r="I21" s="1"/>
      <c r="J21" s="1"/>
      <c r="K21" s="1"/>
      <c r="L21" s="1"/>
      <c r="M21" s="1"/>
      <c r="N21" s="1"/>
    </row>
    <row r="22" spans="2:14">
      <c r="B22" s="1"/>
      <c r="C22" s="1"/>
      <c r="D22" s="1"/>
      <c r="E22" s="1"/>
      <c r="F22" s="1"/>
      <c r="G22" s="1"/>
      <c r="H22" s="1"/>
      <c r="I22" s="1"/>
      <c r="J22" s="1"/>
      <c r="K22" s="1"/>
      <c r="L22" s="1"/>
      <c r="M22" s="1"/>
      <c r="N22" s="1"/>
    </row>
    <row r="23" spans="2:14">
      <c r="B23" s="1"/>
      <c r="C23" s="1"/>
      <c r="D23" s="1"/>
      <c r="E23" s="1"/>
      <c r="F23" s="1"/>
      <c r="G23" s="1"/>
      <c r="H23" s="1"/>
      <c r="I23" s="1"/>
      <c r="J23" s="1"/>
      <c r="K23" s="1"/>
      <c r="L23" s="1"/>
      <c r="M23" s="1"/>
      <c r="N23" s="1"/>
    </row>
    <row r="24" spans="2:14">
      <c r="B24" s="1"/>
      <c r="C24" s="1"/>
      <c r="D24" s="1"/>
      <c r="E24" s="1"/>
      <c r="F24" s="1"/>
      <c r="G24" s="1"/>
      <c r="H24" s="1"/>
      <c r="I24" s="1"/>
      <c r="J24" s="1"/>
      <c r="K24" s="1"/>
      <c r="L24" s="1"/>
      <c r="M24" s="1"/>
      <c r="N24" s="1"/>
    </row>
    <row r="25" spans="2:14" ht="18.75">
      <c r="B25" s="1"/>
      <c r="C25" s="1"/>
      <c r="D25" s="1"/>
      <c r="E25" s="1"/>
      <c r="F25" s="1"/>
      <c r="G25" s="1"/>
      <c r="H25" s="1"/>
      <c r="I25" s="1"/>
      <c r="J25" s="1"/>
      <c r="K25" s="1"/>
      <c r="L25" s="1"/>
      <c r="M25" s="1010"/>
      <c r="N25" s="1"/>
    </row>
    <row r="26" spans="2:14">
      <c r="B26" s="1"/>
      <c r="C26" s="1"/>
      <c r="D26" s="1"/>
      <c r="E26" s="1"/>
      <c r="F26" s="1"/>
      <c r="G26" s="1"/>
      <c r="H26" s="1"/>
      <c r="I26" s="1"/>
      <c r="J26" s="1"/>
      <c r="K26" s="1"/>
      <c r="L26" s="1"/>
      <c r="M26" s="1"/>
      <c r="N26" s="1"/>
    </row>
    <row r="27" spans="2:14">
      <c r="B27" s="1"/>
      <c r="C27" s="1"/>
      <c r="D27" s="1"/>
      <c r="E27" s="1"/>
      <c r="F27" s="1"/>
      <c r="G27" s="1"/>
      <c r="H27" s="1"/>
      <c r="I27" s="1"/>
      <c r="J27" s="1"/>
      <c r="K27" s="1"/>
      <c r="L27" s="1"/>
      <c r="M27" s="1"/>
      <c r="N27" s="1"/>
    </row>
    <row r="28" spans="2:14">
      <c r="B28" s="1"/>
      <c r="C28" s="1"/>
      <c r="D28" s="1"/>
      <c r="E28" s="1"/>
      <c r="F28" s="1"/>
      <c r="G28" s="1"/>
      <c r="H28" s="1"/>
      <c r="I28" s="1"/>
      <c r="J28" s="1"/>
      <c r="K28" s="1"/>
      <c r="L28" s="1"/>
      <c r="M28" s="1"/>
      <c r="N28" s="1"/>
    </row>
    <row r="29" spans="2:14">
      <c r="B29" s="1"/>
      <c r="C29" s="1"/>
      <c r="D29" s="1"/>
      <c r="E29" s="1"/>
      <c r="F29" s="1"/>
      <c r="G29" s="1"/>
      <c r="H29" s="1"/>
      <c r="I29" s="1"/>
      <c r="J29" s="1"/>
      <c r="K29" s="1"/>
      <c r="L29" s="1"/>
      <c r="M29" s="1"/>
      <c r="N29" s="1"/>
    </row>
    <row r="30" spans="2:14">
      <c r="B30" s="1"/>
      <c r="C30" s="1"/>
      <c r="D30" s="1"/>
      <c r="E30" s="1"/>
      <c r="F30" s="1"/>
      <c r="G30" s="1"/>
      <c r="H30" s="1"/>
      <c r="I30" s="1"/>
      <c r="J30" s="1"/>
      <c r="K30" s="1"/>
      <c r="L30" s="1"/>
      <c r="M30" s="1"/>
      <c r="N30" s="1"/>
    </row>
    <row r="31" spans="2:14">
      <c r="B31" s="1"/>
      <c r="C31" s="1"/>
      <c r="D31" s="1"/>
      <c r="E31" s="1"/>
      <c r="F31" s="1"/>
      <c r="G31" s="1"/>
      <c r="H31" s="1"/>
      <c r="I31" s="1"/>
      <c r="J31" s="1"/>
      <c r="K31" s="1"/>
      <c r="L31" s="1"/>
      <c r="M31" s="1"/>
      <c r="N31" s="1"/>
    </row>
    <row r="32" spans="2:14">
      <c r="B32" s="1"/>
      <c r="C32" s="1"/>
      <c r="D32" s="1"/>
      <c r="E32" s="1"/>
      <c r="F32" s="1"/>
      <c r="G32" s="1"/>
      <c r="H32" s="1"/>
      <c r="I32" s="1"/>
      <c r="J32" s="1"/>
      <c r="K32" s="1"/>
      <c r="L32" s="1"/>
      <c r="M32" s="1"/>
      <c r="N32" s="1"/>
    </row>
    <row r="33" spans="2:14">
      <c r="B33" s="1"/>
      <c r="C33" s="1"/>
      <c r="D33" s="1"/>
      <c r="E33" s="1"/>
      <c r="F33" s="1"/>
      <c r="G33" s="1"/>
      <c r="H33" s="1"/>
      <c r="I33" s="1"/>
      <c r="J33" s="1"/>
      <c r="K33" s="1"/>
      <c r="L33" s="1"/>
      <c r="M33" s="1"/>
      <c r="N33" s="1"/>
    </row>
    <row r="34" spans="2:14">
      <c r="B34" s="1"/>
      <c r="C34" s="1"/>
      <c r="D34" s="1"/>
      <c r="E34" s="1"/>
      <c r="F34" s="1"/>
      <c r="G34" s="1"/>
      <c r="H34" s="1"/>
      <c r="I34" s="1"/>
      <c r="J34" s="1"/>
      <c r="K34" s="1"/>
      <c r="L34" s="1"/>
      <c r="M34" s="1"/>
      <c r="N34" s="1"/>
    </row>
    <row r="35" spans="2:14">
      <c r="B35" s="1"/>
      <c r="C35" s="1"/>
      <c r="D35" s="1"/>
      <c r="E35" s="1"/>
      <c r="F35" s="1"/>
      <c r="G35" s="1"/>
      <c r="H35" s="1"/>
      <c r="I35" s="1"/>
      <c r="J35" s="1"/>
      <c r="K35" s="1"/>
      <c r="L35" s="1"/>
      <c r="M35" s="1"/>
      <c r="N35" s="1"/>
    </row>
    <row r="36" spans="2:14">
      <c r="B36" s="1"/>
      <c r="C36" s="1"/>
      <c r="D36" s="1"/>
      <c r="E36" s="1"/>
      <c r="F36" s="1"/>
      <c r="G36" s="1"/>
      <c r="H36" s="1"/>
      <c r="I36" s="1"/>
      <c r="J36" s="1"/>
      <c r="K36" s="1"/>
      <c r="L36" s="1"/>
      <c r="M36" s="1"/>
      <c r="N36" s="1"/>
    </row>
    <row r="37" spans="2:14">
      <c r="B37" s="1"/>
      <c r="C37" s="1"/>
      <c r="D37" s="1"/>
      <c r="E37" s="1"/>
      <c r="F37" s="1"/>
      <c r="G37" s="1"/>
      <c r="H37" s="1"/>
      <c r="I37" s="1"/>
      <c r="J37" s="1"/>
      <c r="K37" s="1"/>
      <c r="L37" s="1"/>
      <c r="M37" s="1"/>
      <c r="N37" s="1"/>
    </row>
    <row r="38" spans="2:14">
      <c r="B38" s="1"/>
      <c r="C38" s="1"/>
      <c r="D38" s="1"/>
      <c r="E38" s="1"/>
      <c r="F38" s="1"/>
      <c r="G38" s="1"/>
      <c r="H38" s="1"/>
      <c r="I38" s="1"/>
      <c r="J38" s="1"/>
      <c r="K38" s="1"/>
      <c r="L38" s="1"/>
      <c r="M38" s="1"/>
      <c r="N38" s="1"/>
    </row>
    <row r="39" spans="2:14">
      <c r="B39" s="1"/>
      <c r="C39" s="1"/>
      <c r="D39" s="1"/>
      <c r="E39" s="1"/>
      <c r="F39" s="1"/>
      <c r="G39" s="1"/>
      <c r="H39" s="1"/>
      <c r="I39" s="1"/>
      <c r="J39" s="1"/>
      <c r="K39" s="1"/>
      <c r="L39" s="1"/>
      <c r="M39" s="1"/>
      <c r="N39" s="1"/>
    </row>
    <row r="40" spans="2:14">
      <c r="B40" s="1"/>
      <c r="C40" s="1"/>
      <c r="D40" s="1"/>
      <c r="E40" s="1"/>
      <c r="F40" s="1"/>
      <c r="G40" s="1"/>
      <c r="H40" s="1"/>
      <c r="I40" s="1"/>
      <c r="J40" s="1"/>
      <c r="K40" s="1"/>
      <c r="L40" s="1"/>
      <c r="M40" s="1"/>
      <c r="N40" s="1"/>
    </row>
    <row r="41" spans="2:14">
      <c r="B41" s="1"/>
      <c r="C41" s="1"/>
      <c r="D41" s="1"/>
      <c r="E41" s="1"/>
      <c r="F41" s="1"/>
      <c r="G41" s="1"/>
      <c r="H41" s="1"/>
      <c r="I41" s="1"/>
      <c r="J41" s="1"/>
      <c r="K41" s="1"/>
      <c r="L41" s="1"/>
      <c r="M41" s="1"/>
      <c r="N41" s="1"/>
    </row>
    <row r="42" spans="2:14">
      <c r="B42" s="1"/>
      <c r="C42" s="1"/>
      <c r="D42" s="1"/>
      <c r="E42" s="1"/>
      <c r="F42" s="1"/>
      <c r="G42" s="1"/>
      <c r="H42" s="1"/>
      <c r="I42" s="1"/>
      <c r="J42" s="1"/>
      <c r="K42" s="1"/>
      <c r="L42" s="1"/>
      <c r="M42" s="1"/>
      <c r="N42" s="1"/>
    </row>
  </sheetData>
  <mergeCells count="2">
    <mergeCell ref="A1:L1"/>
    <mergeCell ref="A2:L2"/>
  </mergeCells>
  <printOptions horizontalCentered="1" verticalCentered="1"/>
  <pageMargins left="0.4" right="0.4" top="0.25" bottom="0.25" header="0.31496062992126" footer="0.31496062992126"/>
  <pageSetup scale="68" orientation="landscape"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9">
    <tabColor rgb="FF00B050"/>
  </sheetPr>
  <dimension ref="A1:O25"/>
  <sheetViews>
    <sheetView showGridLines="0" view="pageBreakPreview" zoomScaleNormal="100" zoomScaleSheetLayoutView="100" workbookViewId="0">
      <pane ySplit="1" topLeftCell="A2" activePane="bottomLeft" state="frozen"/>
      <selection pane="bottomLeft" activeCell="O7" sqref="O7:Q31"/>
    </sheetView>
  </sheetViews>
  <sheetFormatPr baseColWidth="10" defaultColWidth="11.42578125" defaultRowHeight="11.25"/>
  <cols>
    <col min="1" max="1" width="8.42578125" style="206" customWidth="1"/>
    <col min="2" max="2" width="12.85546875" style="206" customWidth="1"/>
    <col min="3" max="3" width="10.28515625" style="206" customWidth="1"/>
    <col min="4" max="4" width="8.85546875" style="206" customWidth="1"/>
    <col min="5" max="5" width="8.7109375" style="206" customWidth="1"/>
    <col min="6" max="6" width="8.85546875" style="206" customWidth="1"/>
    <col min="7" max="7" width="11.140625" style="206" customWidth="1"/>
    <col min="8" max="8" width="8.42578125" style="206" customWidth="1"/>
    <col min="9" max="9" width="9.5703125" style="206" customWidth="1"/>
    <col min="10" max="10" width="8.7109375" style="206" customWidth="1"/>
    <col min="11" max="11" width="8.5703125" style="206" customWidth="1"/>
    <col min="12" max="12" width="9.140625" style="206" customWidth="1"/>
    <col min="13" max="13" width="10.28515625" style="206" customWidth="1"/>
    <col min="14" max="14" width="11.42578125" style="206"/>
    <col min="15" max="15" width="13.5703125" style="206" bestFit="1" customWidth="1"/>
    <col min="16" max="16384" width="11.42578125" style="206"/>
  </cols>
  <sheetData>
    <row r="1" spans="1:15" ht="66" customHeight="1">
      <c r="A1" s="2080"/>
      <c r="B1" s="2080"/>
      <c r="C1" s="2080"/>
      <c r="D1" s="2080"/>
      <c r="E1" s="2080"/>
      <c r="F1" s="2080"/>
      <c r="G1" s="2080"/>
      <c r="H1" s="2080"/>
      <c r="I1" s="2080"/>
      <c r="J1" s="2080"/>
      <c r="K1" s="2080"/>
      <c r="L1" s="2080"/>
      <c r="M1" s="2080"/>
      <c r="N1" s="2080"/>
    </row>
    <row r="2" spans="1:15" ht="3" customHeight="1"/>
    <row r="3" spans="1:15" ht="46.5" customHeight="1">
      <c r="A3" s="406" t="s">
        <v>25</v>
      </c>
      <c r="B3" s="412" t="s">
        <v>480</v>
      </c>
      <c r="C3" s="412" t="s">
        <v>470</v>
      </c>
      <c r="D3" s="412" t="s">
        <v>471</v>
      </c>
      <c r="E3" s="424" t="s">
        <v>472</v>
      </c>
      <c r="F3" s="413" t="s">
        <v>473</v>
      </c>
      <c r="G3" s="424" t="s">
        <v>474</v>
      </c>
      <c r="H3" s="424" t="s">
        <v>475</v>
      </c>
      <c r="I3" s="412" t="s">
        <v>476</v>
      </c>
      <c r="J3" s="424" t="s">
        <v>477</v>
      </c>
      <c r="K3" s="412" t="s">
        <v>478</v>
      </c>
      <c r="L3" s="412" t="s">
        <v>590</v>
      </c>
      <c r="M3" s="413" t="s">
        <v>591</v>
      </c>
    </row>
    <row r="4" spans="1:15" hidden="1">
      <c r="A4" s="414">
        <v>2003</v>
      </c>
      <c r="B4" s="407">
        <f>SUM(C4:D4)</f>
        <v>3693897</v>
      </c>
      <c r="C4" s="408">
        <v>2273368</v>
      </c>
      <c r="D4" s="408">
        <v>1420529</v>
      </c>
      <c r="E4" s="1919">
        <f>C4/B4</f>
        <v>0.61543892534090694</v>
      </c>
      <c r="F4" s="1920">
        <f>D4/B4</f>
        <v>0.38456107465909312</v>
      </c>
      <c r="G4" s="425">
        <v>576869</v>
      </c>
      <c r="H4" s="426">
        <v>350832</v>
      </c>
      <c r="I4" s="409">
        <v>226037</v>
      </c>
      <c r="J4" s="1917">
        <f>H4/G4</f>
        <v>0.60816580540816023</v>
      </c>
      <c r="K4" s="410">
        <f>I4/G4</f>
        <v>0.39183419459183977</v>
      </c>
      <c r="L4" s="411">
        <f>H4/C4</f>
        <v>0.15432257338011268</v>
      </c>
      <c r="M4" s="417">
        <f>I4/D4</f>
        <v>0.15912170747658091</v>
      </c>
    </row>
    <row r="5" spans="1:15" hidden="1">
      <c r="A5" s="414">
        <v>2004</v>
      </c>
      <c r="B5" s="407">
        <f t="shared" ref="B5:B11" si="0">SUM(C5:D5)</f>
        <v>3830703</v>
      </c>
      <c r="C5" s="408">
        <v>2363072</v>
      </c>
      <c r="D5" s="408">
        <v>1467631</v>
      </c>
      <c r="E5" s="1919">
        <f t="shared" ref="E5:E13" si="1">C5/B5</f>
        <v>0.61687685001943504</v>
      </c>
      <c r="F5" s="1920">
        <f t="shared" ref="F5:F13" si="2">D5/B5</f>
        <v>0.3831231499805649</v>
      </c>
      <c r="G5" s="425">
        <v>593286</v>
      </c>
      <c r="H5" s="426">
        <v>356770</v>
      </c>
      <c r="I5" s="409">
        <v>236516</v>
      </c>
      <c r="J5" s="1917">
        <f t="shared" ref="J5:J13" si="3">H5/G5</f>
        <v>0.60134572533314457</v>
      </c>
      <c r="K5" s="410">
        <f t="shared" ref="K5:K13" si="4">I5/G5</f>
        <v>0.39865427466685543</v>
      </c>
      <c r="L5" s="411">
        <f t="shared" ref="L5:M13" si="5">H5/C5</f>
        <v>0.15097720255667199</v>
      </c>
      <c r="M5" s="417">
        <f t="shared" si="5"/>
        <v>0.16115494971147379</v>
      </c>
    </row>
    <row r="6" spans="1:15">
      <c r="A6" s="414">
        <v>2005</v>
      </c>
      <c r="B6" s="407">
        <f t="shared" si="0"/>
        <v>3992338</v>
      </c>
      <c r="C6" s="408">
        <v>2426609</v>
      </c>
      <c r="D6" s="408">
        <v>1565729</v>
      </c>
      <c r="E6" s="1919">
        <f t="shared" si="1"/>
        <v>0.60781652254894247</v>
      </c>
      <c r="F6" s="1920">
        <f t="shared" si="2"/>
        <v>0.39218347745105753</v>
      </c>
      <c r="G6" s="425">
        <v>626615</v>
      </c>
      <c r="H6" s="426">
        <v>386054</v>
      </c>
      <c r="I6" s="409">
        <v>240561</v>
      </c>
      <c r="J6" s="1917">
        <f t="shared" si="3"/>
        <v>0.6160944120392905</v>
      </c>
      <c r="K6" s="410">
        <f t="shared" si="4"/>
        <v>0.3839055879607095</v>
      </c>
      <c r="L6" s="411">
        <f t="shared" si="5"/>
        <v>0.15909196743274256</v>
      </c>
      <c r="M6" s="417">
        <f t="shared" si="5"/>
        <v>0.1536415305586088</v>
      </c>
    </row>
    <row r="7" spans="1:15">
      <c r="A7" s="414">
        <v>2006</v>
      </c>
      <c r="B7" s="407">
        <f t="shared" si="0"/>
        <v>4073427</v>
      </c>
      <c r="C7" s="408">
        <v>2470897</v>
      </c>
      <c r="D7" s="408">
        <v>1602530</v>
      </c>
      <c r="E7" s="1919">
        <f t="shared" si="1"/>
        <v>0.60658924291511795</v>
      </c>
      <c r="F7" s="1920">
        <f t="shared" si="2"/>
        <v>0.3934107570848821</v>
      </c>
      <c r="G7" s="425">
        <v>808496</v>
      </c>
      <c r="H7" s="426">
        <v>486327</v>
      </c>
      <c r="I7" s="409">
        <v>322169</v>
      </c>
      <c r="J7" s="1917">
        <f t="shared" si="3"/>
        <v>0.60152060121509565</v>
      </c>
      <c r="K7" s="410">
        <f t="shared" si="4"/>
        <v>0.39847939878490429</v>
      </c>
      <c r="L7" s="411">
        <f t="shared" si="5"/>
        <v>0.19682204478778353</v>
      </c>
      <c r="M7" s="417">
        <f t="shared" si="5"/>
        <v>0.20103773408298128</v>
      </c>
    </row>
    <row r="8" spans="1:15">
      <c r="A8" s="414">
        <v>2007</v>
      </c>
      <c r="B8" s="407">
        <f t="shared" si="0"/>
        <v>4176861</v>
      </c>
      <c r="C8" s="408">
        <v>2565530</v>
      </c>
      <c r="D8" s="408">
        <v>1611331</v>
      </c>
      <c r="E8" s="1919">
        <f t="shared" si="1"/>
        <v>0.61422441397978056</v>
      </c>
      <c r="F8" s="1920">
        <f t="shared" si="2"/>
        <v>0.3857755860202195</v>
      </c>
      <c r="G8" s="425">
        <v>913203</v>
      </c>
      <c r="H8" s="426">
        <v>549737</v>
      </c>
      <c r="I8" s="409">
        <v>363466</v>
      </c>
      <c r="J8" s="1917">
        <f t="shared" si="3"/>
        <v>0.60198772890584018</v>
      </c>
      <c r="K8" s="410">
        <f t="shared" si="4"/>
        <v>0.39801227109415976</v>
      </c>
      <c r="L8" s="411">
        <f t="shared" si="5"/>
        <v>0.2142781413587056</v>
      </c>
      <c r="M8" s="417">
        <f t="shared" si="5"/>
        <v>0.22556879995481996</v>
      </c>
    </row>
    <row r="9" spans="1:15">
      <c r="A9" s="414">
        <v>2008</v>
      </c>
      <c r="B9" s="407">
        <f t="shared" si="0"/>
        <v>4246171</v>
      </c>
      <c r="C9" s="408">
        <v>2547846</v>
      </c>
      <c r="D9" s="408">
        <v>1698325</v>
      </c>
      <c r="E9" s="1919">
        <f t="shared" si="1"/>
        <v>0.60003377160269811</v>
      </c>
      <c r="F9" s="1920">
        <f t="shared" si="2"/>
        <v>0.39996622839730195</v>
      </c>
      <c r="G9" s="425">
        <v>929743</v>
      </c>
      <c r="H9" s="426">
        <v>552570</v>
      </c>
      <c r="I9" s="409">
        <v>377173</v>
      </c>
      <c r="J9" s="1917">
        <f t="shared" si="3"/>
        <v>0.59432552866759958</v>
      </c>
      <c r="K9" s="410">
        <f t="shared" si="4"/>
        <v>0.40567447133240048</v>
      </c>
      <c r="L9" s="411">
        <f t="shared" si="5"/>
        <v>0.21687731519094952</v>
      </c>
      <c r="M9" s="417">
        <f t="shared" si="5"/>
        <v>0.22208528991800744</v>
      </c>
    </row>
    <row r="10" spans="1:15">
      <c r="A10" s="414">
        <v>2009</v>
      </c>
      <c r="B10" s="407">
        <f t="shared" si="0"/>
        <v>4201485</v>
      </c>
      <c r="C10" s="408">
        <v>2624690</v>
      </c>
      <c r="D10" s="408">
        <v>1576795</v>
      </c>
      <c r="E10" s="1919">
        <f t="shared" si="1"/>
        <v>0.62470531252640438</v>
      </c>
      <c r="F10" s="1920">
        <f t="shared" si="2"/>
        <v>0.37529468747359562</v>
      </c>
      <c r="G10" s="425">
        <v>1118293</v>
      </c>
      <c r="H10" s="426">
        <v>634008</v>
      </c>
      <c r="I10" s="409">
        <v>484285</v>
      </c>
      <c r="J10" s="1917">
        <f t="shared" si="3"/>
        <v>0.56694265277525657</v>
      </c>
      <c r="K10" s="410">
        <f t="shared" si="4"/>
        <v>0.43305734722474343</v>
      </c>
      <c r="L10" s="411">
        <f t="shared" si="5"/>
        <v>0.24155538368340643</v>
      </c>
      <c r="M10" s="417">
        <f t="shared" si="5"/>
        <v>0.30713250612793674</v>
      </c>
    </row>
    <row r="11" spans="1:15">
      <c r="A11" s="414">
        <v>2010</v>
      </c>
      <c r="B11" s="407">
        <f t="shared" si="0"/>
        <v>4368912</v>
      </c>
      <c r="C11" s="408">
        <v>2686681</v>
      </c>
      <c r="D11" s="408">
        <v>1682231</v>
      </c>
      <c r="E11" s="1919">
        <f t="shared" si="1"/>
        <v>0.61495424947904653</v>
      </c>
      <c r="F11" s="1920">
        <f t="shared" si="2"/>
        <v>0.38504575052095352</v>
      </c>
      <c r="G11" s="425">
        <v>1189601</v>
      </c>
      <c r="H11" s="426">
        <v>675015</v>
      </c>
      <c r="I11" s="409">
        <v>514586</v>
      </c>
      <c r="J11" s="1917">
        <f t="shared" si="3"/>
        <v>0.56742975165622755</v>
      </c>
      <c r="K11" s="410">
        <f t="shared" si="4"/>
        <v>0.43257024834377239</v>
      </c>
      <c r="L11" s="411">
        <f t="shared" si="5"/>
        <v>0.25124493752700822</v>
      </c>
      <c r="M11" s="417">
        <f t="shared" si="5"/>
        <v>0.305894969240253</v>
      </c>
    </row>
    <row r="12" spans="1:15">
      <c r="A12" s="415">
        <v>2011</v>
      </c>
      <c r="B12" s="407">
        <f>SUM(C12:D12)</f>
        <v>4601758</v>
      </c>
      <c r="C12" s="408">
        <v>2782416</v>
      </c>
      <c r="D12" s="408">
        <v>1819342</v>
      </c>
      <c r="E12" s="1919">
        <f t="shared" si="1"/>
        <v>0.60464196509247115</v>
      </c>
      <c r="F12" s="1920">
        <f t="shared" si="2"/>
        <v>0.3953580349075288</v>
      </c>
      <c r="G12" s="425">
        <f>+H12+I12</f>
        <v>1242780</v>
      </c>
      <c r="H12" s="426">
        <v>702422</v>
      </c>
      <c r="I12" s="409">
        <v>540358</v>
      </c>
      <c r="J12" s="1917">
        <f t="shared" si="3"/>
        <v>0.56520220795313736</v>
      </c>
      <c r="K12" s="410">
        <f t="shared" si="4"/>
        <v>0.4347977920468627</v>
      </c>
      <c r="L12" s="411">
        <f t="shared" si="5"/>
        <v>0.25245038843939943</v>
      </c>
      <c r="M12" s="417">
        <f t="shared" si="5"/>
        <v>0.29700737959108292</v>
      </c>
    </row>
    <row r="13" spans="1:15">
      <c r="A13" s="415">
        <v>2012</v>
      </c>
      <c r="B13" s="407">
        <f>SUM(C13:D13)</f>
        <v>4689622</v>
      </c>
      <c r="C13" s="408">
        <v>2791393</v>
      </c>
      <c r="D13" s="408">
        <v>1898229</v>
      </c>
      <c r="E13" s="1919">
        <f t="shared" si="1"/>
        <v>0.59522771771370908</v>
      </c>
      <c r="F13" s="1920">
        <f t="shared" si="2"/>
        <v>0.40477228228629086</v>
      </c>
      <c r="G13" s="425">
        <f>+H13+I13</f>
        <v>1291137</v>
      </c>
      <c r="H13" s="426">
        <v>726141</v>
      </c>
      <c r="I13" s="409">
        <v>564996</v>
      </c>
      <c r="J13" s="1917">
        <f t="shared" si="3"/>
        <v>0.56240429946628434</v>
      </c>
      <c r="K13" s="410">
        <f t="shared" si="4"/>
        <v>0.43759570053371566</v>
      </c>
      <c r="L13" s="411">
        <f t="shared" si="5"/>
        <v>0.26013571002005093</v>
      </c>
      <c r="M13" s="417">
        <f t="shared" si="5"/>
        <v>0.29764375109641672</v>
      </c>
      <c r="O13" s="1105"/>
    </row>
    <row r="14" spans="1:15">
      <c r="A14" s="415">
        <v>2013</v>
      </c>
      <c r="B14" s="407">
        <f>SUM(C14:D14)</f>
        <v>4728655</v>
      </c>
      <c r="C14" s="408">
        <v>2845650</v>
      </c>
      <c r="D14" s="408">
        <v>1883005</v>
      </c>
      <c r="E14" s="1919">
        <f>C14/B14</f>
        <v>0.60178845781728629</v>
      </c>
      <c r="F14" s="1920">
        <f>D14/B14</f>
        <v>0.39821154218271371</v>
      </c>
      <c r="G14" s="425">
        <f>+H14+I14</f>
        <v>1376966</v>
      </c>
      <c r="H14" s="426">
        <v>770060</v>
      </c>
      <c r="I14" s="409">
        <v>606906</v>
      </c>
      <c r="J14" s="1917">
        <f>H14/G14</f>
        <v>0.55924401909705834</v>
      </c>
      <c r="K14" s="410">
        <f>I14/G14</f>
        <v>0.44075598090294166</v>
      </c>
      <c r="L14" s="411">
        <f>H14/C14</f>
        <v>0.27060952682164002</v>
      </c>
      <c r="M14" s="417">
        <f>I14/D14</f>
        <v>0.3223071632842186</v>
      </c>
      <c r="N14" s="405"/>
      <c r="O14" s="1105"/>
    </row>
    <row r="15" spans="1:15">
      <c r="A15" s="415">
        <v>2014</v>
      </c>
      <c r="B15" s="407">
        <v>4486359</v>
      </c>
      <c r="C15" s="408">
        <v>2802258</v>
      </c>
      <c r="D15" s="408">
        <v>1684101</v>
      </c>
      <c r="E15" s="1919">
        <v>0.6246174236167904</v>
      </c>
      <c r="F15" s="1920">
        <v>0.37538257638320965</v>
      </c>
      <c r="G15" s="425">
        <v>1508392</v>
      </c>
      <c r="H15" s="426">
        <v>835620</v>
      </c>
      <c r="I15" s="409">
        <v>672772</v>
      </c>
      <c r="J15" s="1917">
        <v>0.55398066285156644</v>
      </c>
      <c r="K15" s="410">
        <v>0.44601933714843356</v>
      </c>
      <c r="L15" s="411">
        <v>0.29819524112340834</v>
      </c>
      <c r="M15" s="417">
        <v>0.39948435396689391</v>
      </c>
      <c r="N15" s="405"/>
      <c r="O15" s="1105"/>
    </row>
    <row r="16" spans="1:15">
      <c r="A16" s="416" t="s">
        <v>1003</v>
      </c>
      <c r="B16" s="418">
        <f>+C16+D16</f>
        <v>5012107</v>
      </c>
      <c r="C16" s="419">
        <v>2965545</v>
      </c>
      <c r="D16" s="419">
        <v>2046562</v>
      </c>
      <c r="E16" s="1921">
        <f>C16/B16</f>
        <v>0.59167631497092943</v>
      </c>
      <c r="F16" s="1922">
        <f>D16/B16</f>
        <v>0.40832368502907063</v>
      </c>
      <c r="G16" s="427">
        <f>+H16+I16</f>
        <v>1569766</v>
      </c>
      <c r="H16" s="428">
        <v>865466</v>
      </c>
      <c r="I16" s="420">
        <v>704300</v>
      </c>
      <c r="J16" s="1918">
        <f>H16/G16</f>
        <v>0.55133440270715506</v>
      </c>
      <c r="K16" s="421">
        <f>I16/G16</f>
        <v>0.44866559729284494</v>
      </c>
      <c r="L16" s="422">
        <f>H16/C16</f>
        <v>0.29184045428411975</v>
      </c>
      <c r="M16" s="423">
        <f>I16/D16</f>
        <v>0.34413812041853609</v>
      </c>
      <c r="N16" s="405"/>
      <c r="O16" s="1105"/>
    </row>
    <row r="17" spans="1:15" ht="12.75" customHeight="1">
      <c r="A17" s="2081" t="s">
        <v>973</v>
      </c>
      <c r="B17" s="2081"/>
      <c r="C17" s="2081"/>
      <c r="D17" s="2081"/>
      <c r="E17" s="2081"/>
      <c r="F17" s="2081"/>
      <c r="G17" s="2081"/>
      <c r="H17" s="2081"/>
      <c r="I17" s="2081"/>
      <c r="J17" s="2081"/>
      <c r="K17" s="2081"/>
      <c r="L17" s="2081"/>
      <c r="M17" s="2081"/>
      <c r="O17" s="1105"/>
    </row>
    <row r="18" spans="1:15">
      <c r="O18" s="1105"/>
    </row>
    <row r="19" spans="1:15">
      <c r="N19" s="206" t="s">
        <v>209</v>
      </c>
      <c r="O19" s="1681"/>
    </row>
    <row r="25" spans="1:15">
      <c r="A25" s="207"/>
      <c r="B25" s="207">
        <f>AVERAGE(F4:F12)</f>
        <v>0.38830208294391078</v>
      </c>
    </row>
  </sheetData>
  <mergeCells count="2">
    <mergeCell ref="A1:N1"/>
    <mergeCell ref="A17:M17"/>
  </mergeCells>
  <pageMargins left="0.7" right="0.7" top="0.75" bottom="0.75" header="0.3" footer="0.3"/>
  <pageSetup scale="85" orientation="landscape"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0">
    <tabColor rgb="FF0070C0"/>
    <pageSetUpPr fitToPage="1"/>
  </sheetPr>
  <dimension ref="A1:X45"/>
  <sheetViews>
    <sheetView showGridLines="0" view="pageBreakPreview" zoomScale="70" zoomScaleNormal="70" zoomScaleSheetLayoutView="70" workbookViewId="0">
      <pane ySplit="1" topLeftCell="A2" activePane="bottomLeft" state="frozen"/>
      <selection pane="bottomLeft" activeCell="J14" sqref="J14"/>
    </sheetView>
  </sheetViews>
  <sheetFormatPr baseColWidth="10" defaultColWidth="11.42578125" defaultRowHeight="15"/>
  <cols>
    <col min="1" max="1" width="11.42578125" style="77"/>
    <col min="2" max="2" width="13.28515625" style="77" customWidth="1"/>
    <col min="3" max="3" width="12.42578125" style="77" customWidth="1"/>
    <col min="4" max="4" width="17.7109375" style="77" customWidth="1"/>
    <col min="5" max="5" width="12.5703125" style="77" customWidth="1"/>
    <col min="6" max="6" width="18" style="77" customWidth="1"/>
    <col min="7" max="7" width="14.140625" style="77" customWidth="1"/>
    <col min="8" max="8" width="11.42578125" style="77"/>
    <col min="9" max="9" width="20.42578125" style="77" customWidth="1"/>
    <col min="10" max="10" width="19.7109375" style="77" customWidth="1"/>
    <col min="11" max="15" width="11.42578125" style="77"/>
    <col min="16" max="16" width="17.5703125" style="77" customWidth="1"/>
    <col min="17" max="18" width="11.42578125" style="77"/>
    <col min="19" max="19" width="20.42578125" style="77" bestFit="1" customWidth="1"/>
    <col min="20" max="20" width="21.85546875" style="77" bestFit="1" customWidth="1"/>
    <col min="21" max="21" width="19.7109375" style="77" bestFit="1" customWidth="1"/>
    <col min="22" max="22" width="21" style="77" bestFit="1" customWidth="1"/>
    <col min="23" max="23" width="10.42578125" style="77" customWidth="1"/>
    <col min="24" max="16384" width="11.42578125" style="77"/>
  </cols>
  <sheetData>
    <row r="1" spans="1:24" ht="66.75" customHeight="1">
      <c r="A1" s="2069"/>
      <c r="B1" s="2069"/>
      <c r="C1" s="2069"/>
      <c r="D1" s="2069"/>
      <c r="E1" s="2069"/>
      <c r="F1" s="2069"/>
      <c r="G1" s="2069"/>
      <c r="H1" s="2069"/>
      <c r="I1" s="2069"/>
      <c r="J1" s="2069"/>
      <c r="K1" s="2069"/>
      <c r="L1" s="2069"/>
      <c r="M1" s="2069"/>
      <c r="N1" s="1148"/>
      <c r="O1" s="1148"/>
    </row>
    <row r="2" spans="1:24" ht="3" hidden="1" customHeight="1"/>
    <row r="3" spans="1:24" ht="8.25" customHeight="1"/>
    <row r="4" spans="1:24" ht="22.5" customHeight="1">
      <c r="A4" s="2082" t="s">
        <v>151</v>
      </c>
      <c r="B4" s="2084" t="s">
        <v>521</v>
      </c>
      <c r="C4" s="2085"/>
      <c r="D4" s="2086"/>
      <c r="E4" s="2085" t="s">
        <v>44</v>
      </c>
      <c r="F4" s="2085"/>
      <c r="G4" s="2086"/>
    </row>
    <row r="5" spans="1:24" ht="20.25" customHeight="1">
      <c r="A5" s="2083"/>
      <c r="B5" s="439" t="s">
        <v>48</v>
      </c>
      <c r="C5" s="435" t="s">
        <v>49</v>
      </c>
      <c r="D5" s="436" t="s">
        <v>23</v>
      </c>
      <c r="E5" s="435" t="s">
        <v>48</v>
      </c>
      <c r="F5" s="435" t="s">
        <v>49</v>
      </c>
      <c r="G5" s="436" t="s">
        <v>23</v>
      </c>
    </row>
    <row r="6" spans="1:24">
      <c r="A6" s="437">
        <v>37986</v>
      </c>
      <c r="B6" s="440">
        <v>568158</v>
      </c>
      <c r="C6" s="431">
        <v>418380</v>
      </c>
      <c r="D6" s="432">
        <f t="shared" ref="D6:D18" si="0">+C6+B6</f>
        <v>986538</v>
      </c>
      <c r="E6" s="431">
        <v>350832</v>
      </c>
      <c r="F6" s="431">
        <v>226037</v>
      </c>
      <c r="G6" s="432">
        <f>+F6+E6</f>
        <v>576869</v>
      </c>
      <c r="H6" s="18"/>
      <c r="I6" s="18"/>
      <c r="W6" s="429"/>
      <c r="X6" s="429"/>
    </row>
    <row r="7" spans="1:24">
      <c r="A7" s="437">
        <v>38352</v>
      </c>
      <c r="B7" s="440">
        <v>685676</v>
      </c>
      <c r="C7" s="431">
        <v>504526</v>
      </c>
      <c r="D7" s="432">
        <f t="shared" si="0"/>
        <v>1190202</v>
      </c>
      <c r="E7" s="431">
        <v>356770</v>
      </c>
      <c r="F7" s="431">
        <v>236516</v>
      </c>
      <c r="G7" s="432">
        <f t="shared" ref="G7:G16" si="1">+F7+E7</f>
        <v>593286</v>
      </c>
      <c r="H7" s="18"/>
      <c r="I7" s="18"/>
      <c r="W7" s="430"/>
      <c r="X7" s="92"/>
    </row>
    <row r="8" spans="1:24" ht="16.5" customHeight="1">
      <c r="A8" s="437">
        <v>38717</v>
      </c>
      <c r="B8" s="440">
        <v>828566</v>
      </c>
      <c r="C8" s="431">
        <v>600955</v>
      </c>
      <c r="D8" s="432">
        <f t="shared" si="0"/>
        <v>1429521</v>
      </c>
      <c r="E8" s="431">
        <v>386054</v>
      </c>
      <c r="F8" s="431">
        <v>240561</v>
      </c>
      <c r="G8" s="432">
        <f t="shared" si="1"/>
        <v>626615</v>
      </c>
      <c r="H8" s="18"/>
      <c r="I8" s="18"/>
      <c r="P8" s="273"/>
      <c r="W8" s="430"/>
      <c r="X8" s="92"/>
    </row>
    <row r="9" spans="1:24">
      <c r="A9" s="437">
        <v>39082</v>
      </c>
      <c r="B9" s="440">
        <v>930043</v>
      </c>
      <c r="C9" s="431">
        <v>658578</v>
      </c>
      <c r="D9" s="432">
        <f t="shared" si="0"/>
        <v>1588621</v>
      </c>
      <c r="E9" s="431">
        <v>486327</v>
      </c>
      <c r="F9" s="431">
        <v>322169</v>
      </c>
      <c r="G9" s="432">
        <f t="shared" si="1"/>
        <v>808496</v>
      </c>
      <c r="H9" s="18"/>
      <c r="I9" s="18"/>
      <c r="P9" s="273"/>
      <c r="W9" s="430"/>
      <c r="X9" s="92"/>
    </row>
    <row r="10" spans="1:24">
      <c r="A10" s="437">
        <v>39417</v>
      </c>
      <c r="B10" s="440">
        <v>1055907</v>
      </c>
      <c r="C10" s="431">
        <v>741120</v>
      </c>
      <c r="D10" s="432">
        <f t="shared" si="0"/>
        <v>1797027</v>
      </c>
      <c r="E10" s="431">
        <v>549737</v>
      </c>
      <c r="F10" s="431">
        <v>363466</v>
      </c>
      <c r="G10" s="432">
        <f t="shared" si="1"/>
        <v>913203</v>
      </c>
      <c r="H10" s="18"/>
      <c r="I10" s="18"/>
      <c r="J10" s="144"/>
      <c r="P10" s="273"/>
      <c r="W10" s="430"/>
      <c r="X10" s="92"/>
    </row>
    <row r="11" spans="1:24">
      <c r="A11" s="437">
        <v>39783</v>
      </c>
      <c r="B11" s="440">
        <v>1165631</v>
      </c>
      <c r="C11" s="431">
        <v>818089</v>
      </c>
      <c r="D11" s="432">
        <f t="shared" si="0"/>
        <v>1983720</v>
      </c>
      <c r="E11" s="431">
        <v>552570</v>
      </c>
      <c r="F11" s="431">
        <v>377173</v>
      </c>
      <c r="G11" s="432">
        <f t="shared" si="1"/>
        <v>929743</v>
      </c>
      <c r="H11" s="18"/>
      <c r="I11" s="18"/>
      <c r="J11" s="210"/>
      <c r="K11" s="77" t="s">
        <v>31</v>
      </c>
      <c r="P11" s="273"/>
      <c r="W11" s="430"/>
      <c r="X11" s="92"/>
    </row>
    <row r="12" spans="1:24">
      <c r="A12" s="437">
        <v>40148</v>
      </c>
      <c r="B12" s="440">
        <v>1281904</v>
      </c>
      <c r="C12" s="431">
        <v>911986</v>
      </c>
      <c r="D12" s="432">
        <f t="shared" si="0"/>
        <v>2193890</v>
      </c>
      <c r="E12" s="431">
        <v>634008</v>
      </c>
      <c r="F12" s="431">
        <v>484285</v>
      </c>
      <c r="G12" s="432">
        <f t="shared" si="1"/>
        <v>1118293</v>
      </c>
      <c r="H12" s="18"/>
      <c r="I12" s="18"/>
      <c r="W12" s="430"/>
      <c r="X12" s="92"/>
    </row>
    <row r="13" spans="1:24">
      <c r="A13" s="437">
        <v>40513</v>
      </c>
      <c r="B13" s="440">
        <v>1383536</v>
      </c>
      <c r="C13" s="431">
        <v>991247</v>
      </c>
      <c r="D13" s="432">
        <f t="shared" si="0"/>
        <v>2374783</v>
      </c>
      <c r="E13" s="431">
        <v>675015</v>
      </c>
      <c r="F13" s="431">
        <v>514586</v>
      </c>
      <c r="G13" s="432">
        <f t="shared" si="1"/>
        <v>1189601</v>
      </c>
      <c r="H13" s="18"/>
      <c r="I13" s="18"/>
      <c r="W13" s="430"/>
      <c r="X13" s="92"/>
    </row>
    <row r="14" spans="1:24">
      <c r="A14" s="437">
        <v>40878</v>
      </c>
      <c r="B14" s="440">
        <v>1480731</v>
      </c>
      <c r="C14" s="431">
        <v>1072243</v>
      </c>
      <c r="D14" s="432">
        <f t="shared" si="0"/>
        <v>2552974</v>
      </c>
      <c r="E14" s="431">
        <v>702422</v>
      </c>
      <c r="F14" s="431">
        <v>540358</v>
      </c>
      <c r="G14" s="432">
        <f t="shared" si="1"/>
        <v>1242780</v>
      </c>
      <c r="H14" s="18"/>
      <c r="I14" s="18"/>
      <c r="W14" s="430"/>
      <c r="X14" s="92"/>
    </row>
    <row r="15" spans="1:24">
      <c r="A15" s="437">
        <v>41244</v>
      </c>
      <c r="B15" s="440">
        <v>1570504</v>
      </c>
      <c r="C15" s="431">
        <v>1143945</v>
      </c>
      <c r="D15" s="432">
        <f t="shared" si="0"/>
        <v>2714449</v>
      </c>
      <c r="E15" s="431">
        <v>726141</v>
      </c>
      <c r="F15" s="431">
        <v>564996</v>
      </c>
      <c r="G15" s="432">
        <f t="shared" si="1"/>
        <v>1291137</v>
      </c>
      <c r="H15" s="18"/>
      <c r="I15" s="18"/>
      <c r="W15" s="430"/>
      <c r="X15" s="92"/>
    </row>
    <row r="16" spans="1:24">
      <c r="A16" s="437">
        <v>41609</v>
      </c>
      <c r="B16" s="440">
        <v>1661097</v>
      </c>
      <c r="C16" s="431">
        <v>1220033</v>
      </c>
      <c r="D16" s="432">
        <f t="shared" si="0"/>
        <v>2881130</v>
      </c>
      <c r="E16" s="431">
        <v>770060</v>
      </c>
      <c r="F16" s="431">
        <v>606906</v>
      </c>
      <c r="G16" s="432">
        <f t="shared" si="1"/>
        <v>1376966</v>
      </c>
      <c r="H16" s="18"/>
      <c r="I16" s="18"/>
      <c r="W16" s="430"/>
      <c r="X16" s="92"/>
    </row>
    <row r="17" spans="1:24">
      <c r="A17" s="437">
        <v>41974</v>
      </c>
      <c r="B17" s="440">
        <v>1759926</v>
      </c>
      <c r="C17" s="431">
        <v>1309974</v>
      </c>
      <c r="D17" s="432">
        <f t="shared" si="0"/>
        <v>3069900</v>
      </c>
      <c r="E17" s="431">
        <v>835620</v>
      </c>
      <c r="F17" s="431">
        <v>672772</v>
      </c>
      <c r="G17" s="432">
        <f>+F17+E17</f>
        <v>1508392</v>
      </c>
      <c r="W17" s="430"/>
      <c r="X17" s="92"/>
    </row>
    <row r="18" spans="1:24">
      <c r="A18" s="438" t="s">
        <v>1002</v>
      </c>
      <c r="B18" s="441">
        <v>1856017</v>
      </c>
      <c r="C18" s="433">
        <v>1397357</v>
      </c>
      <c r="D18" s="434">
        <f t="shared" si="0"/>
        <v>3253374</v>
      </c>
      <c r="E18" s="433">
        <v>865466</v>
      </c>
      <c r="F18" s="433">
        <v>704300</v>
      </c>
      <c r="G18" s="434">
        <f>+F18+E18</f>
        <v>1569766</v>
      </c>
    </row>
    <row r="21" spans="1:24">
      <c r="A21" s="1440"/>
      <c r="B21" s="94"/>
      <c r="C21" s="94"/>
      <c r="D21" s="94"/>
      <c r="E21" s="94"/>
      <c r="F21" s="94"/>
      <c r="G21" s="94"/>
      <c r="H21" s="94"/>
      <c r="I21" s="94"/>
      <c r="P21" s="1401"/>
      <c r="Q21" s="1401"/>
    </row>
    <row r="22" spans="1:24">
      <c r="A22" s="1440"/>
      <c r="B22" s="1397"/>
      <c r="C22" s="1397"/>
      <c r="D22" s="1397"/>
      <c r="E22" s="1397"/>
      <c r="F22" s="1396"/>
      <c r="G22" s="81"/>
      <c r="H22" s="81"/>
      <c r="I22" s="94"/>
      <c r="P22" s="1400"/>
      <c r="Q22" s="1400"/>
    </row>
    <row r="23" spans="1:24">
      <c r="A23" s="1440"/>
      <c r="B23" s="1397"/>
      <c r="C23" s="1397"/>
      <c r="D23" s="1397"/>
      <c r="E23" s="1397"/>
      <c r="F23" s="1396"/>
      <c r="G23" s="81"/>
      <c r="H23" s="81"/>
      <c r="I23" s="94"/>
    </row>
    <row r="24" spans="1:24" ht="25.5">
      <c r="A24" s="1440" t="s">
        <v>151</v>
      </c>
      <c r="B24" s="1398" t="s">
        <v>522</v>
      </c>
      <c r="C24" s="1398" t="s">
        <v>524</v>
      </c>
      <c r="D24" s="1398" t="s">
        <v>525</v>
      </c>
      <c r="E24" s="1398" t="s">
        <v>523</v>
      </c>
      <c r="F24" s="1396"/>
      <c r="G24" s="81"/>
      <c r="H24" s="81"/>
      <c r="I24" s="94"/>
    </row>
    <row r="25" spans="1:24">
      <c r="A25" s="1440">
        <f t="shared" ref="A25:B37" si="2">+A6</f>
        <v>37986</v>
      </c>
      <c r="B25" s="1399">
        <f t="shared" si="2"/>
        <v>568158</v>
      </c>
      <c r="C25" s="1399">
        <f t="shared" ref="C25:C37" si="3">+E6</f>
        <v>350832</v>
      </c>
      <c r="D25" s="1399">
        <f t="shared" ref="D25:D37" si="4">+C6*$I$28</f>
        <v>-418380</v>
      </c>
      <c r="E25" s="1399">
        <f t="shared" ref="E25:E37" si="5">+$I$28*F6</f>
        <v>-226037</v>
      </c>
      <c r="F25" s="1396"/>
      <c r="G25" s="81"/>
      <c r="H25" s="81"/>
      <c r="I25" s="94"/>
    </row>
    <row r="26" spans="1:24">
      <c r="A26" s="1440">
        <f t="shared" si="2"/>
        <v>38352</v>
      </c>
      <c r="B26" s="1399">
        <f t="shared" si="2"/>
        <v>685676</v>
      </c>
      <c r="C26" s="1399">
        <f t="shared" si="3"/>
        <v>356770</v>
      </c>
      <c r="D26" s="1399">
        <f t="shared" si="4"/>
        <v>-504526</v>
      </c>
      <c r="E26" s="1399">
        <f t="shared" si="5"/>
        <v>-236516</v>
      </c>
      <c r="F26" s="1396"/>
      <c r="G26" s="81"/>
      <c r="H26" s="81"/>
      <c r="I26" s="94"/>
    </row>
    <row r="27" spans="1:24">
      <c r="A27" s="1440">
        <f t="shared" si="2"/>
        <v>38717</v>
      </c>
      <c r="B27" s="1399">
        <f t="shared" si="2"/>
        <v>828566</v>
      </c>
      <c r="C27" s="1399">
        <f t="shared" si="3"/>
        <v>386054</v>
      </c>
      <c r="D27" s="1399">
        <f t="shared" si="4"/>
        <v>-600955</v>
      </c>
      <c r="E27" s="1399">
        <f t="shared" si="5"/>
        <v>-240561</v>
      </c>
      <c r="F27" s="1396"/>
      <c r="G27" s="81"/>
      <c r="H27" s="81"/>
      <c r="I27" s="94"/>
    </row>
    <row r="28" spans="1:24">
      <c r="A28" s="1440">
        <f t="shared" si="2"/>
        <v>39082</v>
      </c>
      <c r="B28" s="1399">
        <f t="shared" si="2"/>
        <v>930043</v>
      </c>
      <c r="C28" s="1399">
        <f t="shared" si="3"/>
        <v>486327</v>
      </c>
      <c r="D28" s="1399">
        <f t="shared" si="4"/>
        <v>-658578</v>
      </c>
      <c r="E28" s="1399">
        <f t="shared" si="5"/>
        <v>-322169</v>
      </c>
      <c r="F28" s="1396"/>
      <c r="G28" s="81"/>
      <c r="H28" s="81"/>
      <c r="I28" s="77">
        <f>+-1</f>
        <v>-1</v>
      </c>
    </row>
    <row r="29" spans="1:24">
      <c r="A29" s="1440">
        <f t="shared" si="2"/>
        <v>39417</v>
      </c>
      <c r="B29" s="1399">
        <f t="shared" si="2"/>
        <v>1055907</v>
      </c>
      <c r="C29" s="1399">
        <f t="shared" si="3"/>
        <v>549737</v>
      </c>
      <c r="D29" s="1399">
        <f t="shared" si="4"/>
        <v>-741120</v>
      </c>
      <c r="E29" s="1399">
        <f t="shared" si="5"/>
        <v>-363466</v>
      </c>
      <c r="F29" s="1396"/>
      <c r="G29" s="81"/>
      <c r="H29" s="81"/>
      <c r="I29" s="94"/>
    </row>
    <row r="30" spans="1:24">
      <c r="A30" s="1440">
        <f t="shared" si="2"/>
        <v>39783</v>
      </c>
      <c r="B30" s="1399">
        <f t="shared" si="2"/>
        <v>1165631</v>
      </c>
      <c r="C30" s="1399">
        <f t="shared" si="3"/>
        <v>552570</v>
      </c>
      <c r="D30" s="1399">
        <f t="shared" si="4"/>
        <v>-818089</v>
      </c>
      <c r="E30" s="1399">
        <f t="shared" si="5"/>
        <v>-377173</v>
      </c>
      <c r="F30" s="1396"/>
      <c r="G30" s="81"/>
      <c r="H30" s="81"/>
      <c r="I30" s="94"/>
    </row>
    <row r="31" spans="1:24">
      <c r="A31" s="1440">
        <f t="shared" si="2"/>
        <v>40148</v>
      </c>
      <c r="B31" s="1399">
        <f t="shared" si="2"/>
        <v>1281904</v>
      </c>
      <c r="C31" s="1399">
        <f t="shared" si="3"/>
        <v>634008</v>
      </c>
      <c r="D31" s="1399">
        <f t="shared" si="4"/>
        <v>-911986</v>
      </c>
      <c r="E31" s="1399">
        <f t="shared" si="5"/>
        <v>-484285</v>
      </c>
      <c r="F31" s="1396"/>
      <c r="G31" s="81"/>
      <c r="H31" s="81"/>
      <c r="I31" s="94"/>
    </row>
    <row r="32" spans="1:24">
      <c r="A32" s="1440">
        <f t="shared" si="2"/>
        <v>40513</v>
      </c>
      <c r="B32" s="1399">
        <f t="shared" si="2"/>
        <v>1383536</v>
      </c>
      <c r="C32" s="1399">
        <f t="shared" si="3"/>
        <v>675015</v>
      </c>
      <c r="D32" s="1399">
        <f t="shared" si="4"/>
        <v>-991247</v>
      </c>
      <c r="E32" s="1399">
        <f t="shared" si="5"/>
        <v>-514586</v>
      </c>
      <c r="F32" s="1396"/>
      <c r="G32" s="81"/>
      <c r="H32" s="81"/>
      <c r="I32" s="94"/>
    </row>
    <row r="33" spans="1:9">
      <c r="A33" s="1440">
        <f t="shared" si="2"/>
        <v>40878</v>
      </c>
      <c r="B33" s="1399">
        <f t="shared" si="2"/>
        <v>1480731</v>
      </c>
      <c r="C33" s="1399">
        <f t="shared" si="3"/>
        <v>702422</v>
      </c>
      <c r="D33" s="1399">
        <f t="shared" si="4"/>
        <v>-1072243</v>
      </c>
      <c r="E33" s="1399">
        <f t="shared" si="5"/>
        <v>-540358</v>
      </c>
      <c r="F33" s="1396"/>
      <c r="G33" s="81"/>
      <c r="H33" s="81"/>
      <c r="I33" s="94"/>
    </row>
    <row r="34" spans="1:9">
      <c r="A34" s="1440">
        <f t="shared" si="2"/>
        <v>41244</v>
      </c>
      <c r="B34" s="1399">
        <f t="shared" si="2"/>
        <v>1570504</v>
      </c>
      <c r="C34" s="1399">
        <f t="shared" si="3"/>
        <v>726141</v>
      </c>
      <c r="D34" s="1399">
        <f t="shared" si="4"/>
        <v>-1143945</v>
      </c>
      <c r="E34" s="1399">
        <f t="shared" si="5"/>
        <v>-564996</v>
      </c>
      <c r="F34" s="1396"/>
      <c r="G34" s="81"/>
      <c r="H34" s="81"/>
      <c r="I34" s="94"/>
    </row>
    <row r="35" spans="1:9">
      <c r="A35" s="1440">
        <f t="shared" si="2"/>
        <v>41609</v>
      </c>
      <c r="B35" s="1399">
        <f t="shared" si="2"/>
        <v>1661097</v>
      </c>
      <c r="C35" s="1399">
        <f t="shared" si="3"/>
        <v>770060</v>
      </c>
      <c r="D35" s="1399">
        <f t="shared" si="4"/>
        <v>-1220033</v>
      </c>
      <c r="E35" s="1399">
        <f t="shared" si="5"/>
        <v>-606906</v>
      </c>
      <c r="F35" s="1396"/>
      <c r="G35" s="81"/>
      <c r="H35" s="81"/>
      <c r="I35" s="94"/>
    </row>
    <row r="36" spans="1:9">
      <c r="A36" s="1440">
        <f t="shared" si="2"/>
        <v>41974</v>
      </c>
      <c r="B36" s="1399">
        <f t="shared" si="2"/>
        <v>1759926</v>
      </c>
      <c r="C36" s="1399">
        <f t="shared" si="3"/>
        <v>835620</v>
      </c>
      <c r="D36" s="1399">
        <f t="shared" si="4"/>
        <v>-1309974</v>
      </c>
      <c r="E36" s="1399">
        <f t="shared" si="5"/>
        <v>-672772</v>
      </c>
      <c r="F36" s="1396"/>
      <c r="G36" s="81"/>
      <c r="H36" s="81"/>
      <c r="I36" s="94"/>
    </row>
    <row r="37" spans="1:9">
      <c r="A37" s="1440" t="str">
        <f t="shared" si="2"/>
        <v>Nov.15</v>
      </c>
      <c r="B37" s="1399">
        <f t="shared" si="2"/>
        <v>1856017</v>
      </c>
      <c r="C37" s="1399">
        <f t="shared" si="3"/>
        <v>865466</v>
      </c>
      <c r="D37" s="1399">
        <f t="shared" si="4"/>
        <v>-1397357</v>
      </c>
      <c r="E37" s="1399">
        <f t="shared" si="5"/>
        <v>-704300</v>
      </c>
      <c r="F37" s="1396"/>
      <c r="G37" s="81"/>
      <c r="H37" s="81"/>
      <c r="I37" s="94"/>
    </row>
    <row r="38" spans="1:9">
      <c r="A38" s="1440"/>
      <c r="B38" s="1397"/>
      <c r="C38" s="1397"/>
      <c r="D38" s="1397"/>
      <c r="E38" s="1397"/>
      <c r="F38" s="1396"/>
      <c r="G38" s="81"/>
      <c r="H38" s="81"/>
      <c r="I38" s="94"/>
    </row>
    <row r="39" spans="1:9">
      <c r="A39" s="1440"/>
      <c r="B39" s="1396"/>
      <c r="C39" s="1396"/>
      <c r="D39" s="1396"/>
      <c r="E39" s="1396"/>
      <c r="F39" s="97"/>
      <c r="G39" s="81"/>
      <c r="H39" s="81"/>
      <c r="I39" s="94"/>
    </row>
    <row r="40" spans="1:9">
      <c r="A40" s="1440"/>
      <c r="B40" s="97"/>
      <c r="C40" s="97"/>
      <c r="D40" s="97"/>
      <c r="E40" s="97"/>
      <c r="F40" s="97"/>
      <c r="G40" s="81"/>
      <c r="H40" s="81"/>
      <c r="I40" s="94"/>
    </row>
    <row r="41" spans="1:9">
      <c r="A41" s="1440"/>
      <c r="B41" s="74"/>
      <c r="C41" s="74"/>
      <c r="D41" s="74"/>
      <c r="E41" s="74"/>
      <c r="F41" s="74"/>
      <c r="G41" s="74"/>
      <c r="H41" s="94"/>
      <c r="I41" s="94"/>
    </row>
    <row r="42" spans="1:9">
      <c r="A42" s="1440"/>
      <c r="B42" s="94"/>
      <c r="C42" s="94"/>
      <c r="D42" s="94"/>
      <c r="E42" s="94"/>
      <c r="F42" s="94"/>
      <c r="G42" s="94"/>
      <c r="H42" s="94"/>
      <c r="I42" s="94"/>
    </row>
    <row r="43" spans="1:9">
      <c r="A43" s="1440"/>
      <c r="B43" s="94"/>
      <c r="C43" s="94"/>
      <c r="D43" s="94"/>
      <c r="E43" s="94"/>
      <c r="F43" s="94"/>
      <c r="G43" s="94"/>
      <c r="H43" s="94"/>
      <c r="I43" s="94"/>
    </row>
    <row r="44" spans="1:9">
      <c r="A44" s="1440"/>
      <c r="B44" s="94"/>
      <c r="C44" s="94"/>
      <c r="D44" s="94"/>
      <c r="E44" s="94"/>
      <c r="F44" s="94"/>
      <c r="G44" s="94"/>
      <c r="H44" s="94"/>
      <c r="I44" s="94"/>
    </row>
    <row r="45" spans="1:9">
      <c r="A45" s="94"/>
      <c r="B45" s="94"/>
      <c r="C45" s="94"/>
      <c r="D45" s="94"/>
      <c r="E45" s="94"/>
      <c r="F45" s="94"/>
      <c r="G45" s="94"/>
      <c r="H45" s="94"/>
      <c r="I45" s="94"/>
    </row>
  </sheetData>
  <mergeCells count="4">
    <mergeCell ref="A1:M1"/>
    <mergeCell ref="A4:A5"/>
    <mergeCell ref="B4:D4"/>
    <mergeCell ref="E4:G4"/>
  </mergeCells>
  <pageMargins left="0.7" right="0.7" top="0.75" bottom="0.75" header="0.3" footer="0.3"/>
  <pageSetup scale="55" orientation="landscape"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1">
    <tabColor rgb="FF7030A0"/>
    <pageSetUpPr fitToPage="1"/>
  </sheetPr>
  <dimension ref="A1:U111"/>
  <sheetViews>
    <sheetView showGridLines="0" view="pageBreakPreview" zoomScale="55" zoomScaleNormal="78" zoomScaleSheetLayoutView="55" workbookViewId="0">
      <pane ySplit="1" topLeftCell="A2" activePane="bottomLeft" state="frozen"/>
      <selection pane="bottomLeft" activeCell="A15" sqref="A15"/>
    </sheetView>
  </sheetViews>
  <sheetFormatPr baseColWidth="10" defaultColWidth="11.42578125" defaultRowHeight="15"/>
  <cols>
    <col min="1" max="1" width="17.5703125" style="77" customWidth="1"/>
    <col min="2" max="2" width="17.7109375" style="77" customWidth="1"/>
    <col min="3" max="3" width="17.85546875" style="77" customWidth="1"/>
    <col min="4" max="4" width="10.28515625" style="77" customWidth="1"/>
    <col min="5" max="5" width="17.5703125" style="77" customWidth="1"/>
    <col min="6" max="6" width="10.42578125" style="77" customWidth="1"/>
    <col min="7" max="7" width="11.7109375" style="77" customWidth="1"/>
    <col min="8" max="8" width="10.42578125" style="77" customWidth="1"/>
    <col min="9" max="9" width="16.140625" style="77" customWidth="1"/>
    <col min="10" max="10" width="11.140625" style="77" customWidth="1"/>
    <col min="11" max="11" width="12.5703125" style="77" customWidth="1"/>
    <col min="12" max="12" width="11.140625" style="77" customWidth="1"/>
    <col min="13" max="13" width="16.42578125" style="77" customWidth="1"/>
    <col min="14" max="14" width="12" style="77" customWidth="1"/>
    <col min="15" max="15" width="22" style="77" customWidth="1"/>
    <col min="16" max="16" width="27.7109375" style="77" customWidth="1"/>
    <col min="17" max="17" width="16.7109375" style="77" customWidth="1"/>
    <col min="18" max="18" width="15.28515625" style="77" customWidth="1"/>
    <col min="19" max="19" width="12.5703125" style="77" bestFit="1" customWidth="1"/>
    <col min="20" max="20" width="11.42578125" style="77"/>
    <col min="21" max="21" width="15.42578125" style="77" bestFit="1" customWidth="1"/>
    <col min="22" max="16384" width="11.42578125" style="77"/>
  </cols>
  <sheetData>
    <row r="1" spans="1:19" ht="111" customHeight="1">
      <c r="A1" s="2087"/>
      <c r="B1" s="2087"/>
      <c r="C1" s="2087"/>
      <c r="D1" s="2087"/>
      <c r="E1" s="2087"/>
      <c r="F1" s="2087"/>
      <c r="G1" s="2087"/>
      <c r="H1" s="2087"/>
      <c r="I1" s="2087"/>
      <c r="J1" s="2087"/>
      <c r="K1" s="2087"/>
      <c r="L1" s="2087"/>
      <c r="M1" s="2087"/>
      <c r="N1" s="2087"/>
      <c r="O1" s="2087"/>
      <c r="P1" s="2087"/>
      <c r="Q1" s="2087"/>
    </row>
    <row r="2" spans="1:19" ht="9.75" customHeight="1">
      <c r="A2" s="50"/>
      <c r="B2" s="50"/>
      <c r="C2" s="50"/>
      <c r="D2" s="50"/>
      <c r="E2" s="50"/>
      <c r="F2" s="50"/>
      <c r="G2" s="50"/>
      <c r="H2" s="50"/>
      <c r="I2" s="50"/>
      <c r="J2" s="50"/>
      <c r="K2" s="50"/>
      <c r="L2" s="50"/>
      <c r="M2" s="50"/>
      <c r="N2" s="50"/>
      <c r="O2" s="50"/>
      <c r="P2" s="50"/>
      <c r="Q2" s="50"/>
      <c r="R2" s="50"/>
      <c r="S2" s="50"/>
    </row>
    <row r="3" spans="1:19" s="39" customFormat="1" ht="22.5" customHeight="1">
      <c r="A3" s="2088" t="s">
        <v>190</v>
      </c>
      <c r="B3" s="2088"/>
      <c r="C3" s="77"/>
      <c r="D3" s="77"/>
      <c r="E3" s="77"/>
      <c r="F3" s="50"/>
      <c r="G3" s="50"/>
      <c r="H3" s="50"/>
      <c r="I3" s="50"/>
      <c r="J3" s="50"/>
      <c r="K3" s="50"/>
      <c r="L3" s="50"/>
      <c r="M3" s="50"/>
      <c r="N3" s="50"/>
      <c r="O3" s="50"/>
      <c r="P3" s="50"/>
      <c r="Q3" s="50"/>
      <c r="R3" s="50"/>
      <c r="S3" s="50"/>
    </row>
    <row r="4" spans="1:19" s="39" customFormat="1" ht="26.25" customHeight="1">
      <c r="A4" s="348" t="s">
        <v>189</v>
      </c>
      <c r="B4" s="348" t="s">
        <v>739</v>
      </c>
      <c r="C4" s="77"/>
      <c r="D4" s="77"/>
      <c r="E4" s="77"/>
      <c r="F4" s="128"/>
      <c r="G4" s="54"/>
      <c r="H4" s="77"/>
      <c r="I4" s="96"/>
      <c r="J4" s="96"/>
      <c r="K4" s="96"/>
      <c r="L4" s="96"/>
      <c r="M4" s="77"/>
      <c r="N4" s="77"/>
      <c r="O4" s="77"/>
      <c r="P4" s="77"/>
      <c r="Q4" s="77"/>
      <c r="R4" s="111"/>
    </row>
    <row r="5" spans="1:19" s="39" customFormat="1" ht="21">
      <c r="A5" s="1099">
        <v>2005</v>
      </c>
      <c r="B5" s="1100">
        <v>733</v>
      </c>
      <c r="C5" s="77"/>
      <c r="D5" s="77"/>
      <c r="E5" s="77"/>
      <c r="F5" s="128"/>
      <c r="G5" s="54"/>
      <c r="H5" s="77"/>
      <c r="I5" s="96"/>
      <c r="J5" s="96"/>
      <c r="K5" s="96"/>
      <c r="L5" s="96"/>
      <c r="M5" s="77"/>
      <c r="N5" s="77"/>
      <c r="O5" s="77"/>
      <c r="P5" s="77"/>
      <c r="Q5" s="77"/>
      <c r="R5" s="111"/>
    </row>
    <row r="6" spans="1:19" s="39" customFormat="1" ht="21">
      <c r="A6" s="1099">
        <v>2006</v>
      </c>
      <c r="B6" s="1100">
        <v>1859</v>
      </c>
      <c r="C6" s="77"/>
      <c r="D6" s="77"/>
      <c r="E6" s="77"/>
      <c r="F6" s="128"/>
      <c r="G6" s="54"/>
      <c r="H6" s="77"/>
      <c r="I6" s="96"/>
      <c r="J6" s="96"/>
      <c r="K6" s="96"/>
      <c r="L6" s="96"/>
      <c r="M6" s="77"/>
      <c r="N6" s="77"/>
      <c r="O6" s="77"/>
      <c r="P6" s="77"/>
      <c r="Q6" s="77"/>
      <c r="R6" s="111"/>
    </row>
    <row r="7" spans="1:19" s="39" customFormat="1" ht="21">
      <c r="A7" s="1099">
        <v>2007</v>
      </c>
      <c r="B7" s="1100">
        <v>1247</v>
      </c>
      <c r="C7" s="77"/>
      <c r="D7" s="77"/>
      <c r="E7" s="77"/>
      <c r="F7" s="128"/>
      <c r="G7" s="54"/>
      <c r="H7" s="77"/>
      <c r="I7" s="96"/>
      <c r="J7" s="96"/>
      <c r="K7" s="96"/>
      <c r="L7" s="96"/>
      <c r="M7" s="77"/>
      <c r="N7" s="77"/>
      <c r="O7" s="77"/>
      <c r="P7" s="77"/>
      <c r="Q7" s="77"/>
      <c r="R7" s="111"/>
    </row>
    <row r="8" spans="1:19" s="39" customFormat="1" ht="21">
      <c r="A8" s="1099">
        <v>2008</v>
      </c>
      <c r="B8" s="1100">
        <v>1028</v>
      </c>
      <c r="C8" s="77"/>
      <c r="D8" s="77"/>
      <c r="E8" s="77"/>
      <c r="F8" s="128"/>
      <c r="G8" s="54"/>
      <c r="H8" s="77"/>
      <c r="I8" s="96"/>
      <c r="J8" s="96"/>
      <c r="K8" s="96"/>
      <c r="L8" s="96"/>
      <c r="M8" s="77"/>
      <c r="N8" s="77"/>
      <c r="O8" s="77"/>
      <c r="P8" s="77"/>
      <c r="Q8" s="77"/>
      <c r="R8" s="52"/>
      <c r="S8" s="53"/>
    </row>
    <row r="9" spans="1:19" s="39" customFormat="1" ht="21">
      <c r="A9" s="1099">
        <v>2009</v>
      </c>
      <c r="B9" s="1100">
        <v>25287</v>
      </c>
      <c r="C9" s="77"/>
      <c r="D9" s="77"/>
      <c r="E9" s="77"/>
      <c r="F9" s="128"/>
      <c r="G9" s="54"/>
      <c r="H9" s="77"/>
      <c r="J9" s="96"/>
      <c r="K9" s="96"/>
      <c r="L9" s="96"/>
      <c r="M9" s="77"/>
      <c r="N9" s="77"/>
      <c r="O9" s="77"/>
      <c r="P9" s="77"/>
      <c r="Q9" s="77"/>
      <c r="R9" s="111"/>
    </row>
    <row r="10" spans="1:19" s="39" customFormat="1" ht="21">
      <c r="A10" s="1099">
        <v>2010</v>
      </c>
      <c r="B10" s="1100">
        <v>10644</v>
      </c>
      <c r="C10" s="77"/>
      <c r="D10" s="77"/>
      <c r="E10" s="77"/>
      <c r="F10" s="157"/>
      <c r="G10" s="54"/>
      <c r="H10" s="77"/>
      <c r="I10" s="96"/>
      <c r="J10" s="96"/>
      <c r="K10" s="96"/>
      <c r="L10" s="96"/>
      <c r="M10" s="77"/>
      <c r="N10" s="77"/>
      <c r="O10" s="77"/>
      <c r="P10" s="77"/>
      <c r="Q10" s="77"/>
      <c r="R10" s="111"/>
    </row>
    <row r="11" spans="1:19" s="39" customFormat="1" ht="19.5" customHeight="1">
      <c r="A11" s="1099">
        <v>2011</v>
      </c>
      <c r="B11" s="1100">
        <v>6268</v>
      </c>
      <c r="C11" s="77"/>
      <c r="D11" s="77"/>
      <c r="E11" s="77"/>
      <c r="G11" s="54"/>
      <c r="H11" s="77"/>
      <c r="I11" s="96"/>
      <c r="J11" s="96"/>
      <c r="K11" s="96"/>
      <c r="L11" s="96"/>
      <c r="M11" s="77"/>
      <c r="N11" s="77"/>
      <c r="O11" s="77"/>
      <c r="P11" s="77"/>
      <c r="Q11" s="77"/>
      <c r="R11" s="111"/>
    </row>
    <row r="12" spans="1:19" s="39" customFormat="1" ht="19.5" customHeight="1">
      <c r="A12" s="1099" t="s">
        <v>482</v>
      </c>
      <c r="B12" s="1103">
        <v>10046</v>
      </c>
      <c r="C12" s="77"/>
      <c r="D12" s="77"/>
      <c r="E12" s="77"/>
      <c r="G12" s="54"/>
      <c r="H12" s="77"/>
      <c r="I12" s="96"/>
      <c r="J12" s="96"/>
      <c r="K12" s="96"/>
      <c r="L12" s="96"/>
      <c r="M12" s="77"/>
      <c r="N12" s="77"/>
      <c r="O12" s="77"/>
      <c r="P12" s="77"/>
      <c r="Q12" s="77"/>
      <c r="R12" s="111"/>
    </row>
    <row r="13" spans="1:19" s="39" customFormat="1" ht="19.5" customHeight="1">
      <c r="A13" s="1099" t="s">
        <v>561</v>
      </c>
      <c r="B13" s="1103">
        <v>15740</v>
      </c>
      <c r="C13" s="77"/>
      <c r="D13" s="77"/>
      <c r="G13" s="54"/>
      <c r="H13" s="77"/>
      <c r="I13" s="96"/>
      <c r="J13" s="96"/>
      <c r="K13" s="96"/>
      <c r="L13" s="96"/>
      <c r="M13" s="77"/>
      <c r="N13" s="77"/>
      <c r="O13" s="77"/>
      <c r="P13" s="77"/>
      <c r="Q13" s="77"/>
      <c r="R13" s="111"/>
    </row>
    <row r="14" spans="1:19" s="39" customFormat="1" ht="19.5" customHeight="1">
      <c r="A14" s="1099" t="s">
        <v>569</v>
      </c>
      <c r="B14" s="1103">
        <v>32365</v>
      </c>
      <c r="C14" s="77"/>
      <c r="D14" s="77"/>
      <c r="E14" s="77"/>
      <c r="G14" s="54"/>
      <c r="H14" s="77"/>
      <c r="I14" s="96"/>
      <c r="J14" s="96"/>
      <c r="K14" s="96"/>
      <c r="L14" s="96"/>
      <c r="M14" s="77"/>
      <c r="N14" s="77"/>
      <c r="O14" s="77"/>
      <c r="P14" s="77"/>
      <c r="Q14" s="77"/>
      <c r="R14" s="111"/>
    </row>
    <row r="15" spans="1:19" s="39" customFormat="1" ht="19.5" customHeight="1">
      <c r="A15" s="1099" t="s">
        <v>1019</v>
      </c>
      <c r="B15" s="1098">
        <v>38433</v>
      </c>
      <c r="C15" s="77"/>
      <c r="D15" s="77"/>
      <c r="E15" s="77"/>
      <c r="G15" s="54"/>
      <c r="H15" s="77"/>
      <c r="I15" s="96"/>
      <c r="J15" s="96"/>
      <c r="K15" s="96"/>
      <c r="L15" s="96"/>
      <c r="M15" s="77"/>
      <c r="N15" s="77"/>
      <c r="O15" s="77"/>
      <c r="P15" s="77"/>
      <c r="Q15" s="77"/>
      <c r="R15" s="111"/>
    </row>
    <row r="16" spans="1:19" s="39" customFormat="1" ht="21">
      <c r="A16" s="1101" t="s">
        <v>23</v>
      </c>
      <c r="B16" s="1102">
        <f>SUM(B5:B15)</f>
        <v>143650</v>
      </c>
      <c r="C16" s="77"/>
      <c r="D16" s="77"/>
      <c r="E16" s="77"/>
      <c r="F16" s="54"/>
      <c r="G16" s="54"/>
      <c r="H16" s="77"/>
      <c r="I16" s="96"/>
      <c r="J16" s="96"/>
      <c r="K16" s="96"/>
      <c r="L16" s="96"/>
      <c r="M16" s="77"/>
      <c r="N16" s="77"/>
      <c r="O16" s="77"/>
      <c r="P16" s="77"/>
      <c r="Q16" s="77"/>
      <c r="R16" s="111"/>
      <c r="S16" s="110"/>
    </row>
    <row r="17" spans="1:19" s="39" customFormat="1">
      <c r="A17" s="96"/>
      <c r="B17" s="96"/>
      <c r="C17" s="96"/>
      <c r="D17" s="96"/>
      <c r="E17" s="96"/>
      <c r="F17" s="96"/>
      <c r="G17" s="96"/>
      <c r="H17" s="96"/>
      <c r="I17" s="96"/>
      <c r="J17" s="96"/>
      <c r="K17" s="96"/>
      <c r="L17" s="96"/>
      <c r="M17" s="96"/>
      <c r="N17" s="96"/>
      <c r="O17" s="96"/>
      <c r="P17" s="96"/>
      <c r="Q17" s="96"/>
      <c r="R17" s="111"/>
      <c r="S17" s="110"/>
    </row>
    <row r="18" spans="1:19" s="39" customFormat="1">
      <c r="A18" s="96"/>
      <c r="B18" s="96"/>
      <c r="C18" s="44"/>
      <c r="D18" s="44"/>
      <c r="E18" s="44"/>
      <c r="F18" s="44"/>
      <c r="G18" s="61"/>
      <c r="H18" s="44"/>
      <c r="I18" s="61"/>
      <c r="J18" s="44"/>
      <c r="K18" s="44"/>
      <c r="L18" s="44"/>
      <c r="M18" s="44"/>
      <c r="N18" s="44"/>
      <c r="O18" s="44"/>
      <c r="P18" s="61"/>
      <c r="Q18" s="24"/>
      <c r="R18" s="111"/>
      <c r="S18" s="110"/>
    </row>
    <row r="19" spans="1:19" s="39" customFormat="1">
      <c r="A19" s="96"/>
      <c r="B19" s="96"/>
      <c r="C19" s="44"/>
      <c r="D19" s="44"/>
      <c r="E19" s="44"/>
      <c r="F19" s="44"/>
      <c r="G19" s="61"/>
      <c r="H19" s="44"/>
      <c r="I19" s="61"/>
      <c r="J19" s="44"/>
      <c r="K19" s="44"/>
      <c r="L19" s="44"/>
      <c r="M19" s="61"/>
      <c r="N19" s="44"/>
      <c r="O19" s="44"/>
      <c r="P19" s="44"/>
      <c r="Q19" s="44"/>
      <c r="R19" s="111"/>
      <c r="S19" s="110"/>
    </row>
    <row r="20" spans="1:19" s="39" customFormat="1">
      <c r="A20" s="96"/>
      <c r="B20" s="96"/>
      <c r="C20" s="44"/>
      <c r="D20" s="44"/>
      <c r="E20" s="44"/>
      <c r="F20" s="44"/>
      <c r="G20" s="61"/>
      <c r="H20" s="44"/>
      <c r="I20" s="61"/>
      <c r="J20" s="44"/>
      <c r="K20" s="44"/>
      <c r="L20" s="44"/>
      <c r="M20" s="61"/>
      <c r="N20" s="44"/>
      <c r="O20" s="44"/>
      <c r="P20" s="44"/>
      <c r="Q20" s="44"/>
      <c r="R20" s="111"/>
      <c r="S20" s="111"/>
    </row>
    <row r="21" spans="1:19" s="39" customFormat="1">
      <c r="A21" s="96"/>
      <c r="B21" s="96"/>
      <c r="C21" s="44"/>
      <c r="D21" s="44"/>
      <c r="E21" s="44"/>
      <c r="F21" s="44"/>
      <c r="G21" s="61"/>
      <c r="H21" s="44"/>
      <c r="I21" s="61"/>
      <c r="J21" s="44"/>
      <c r="K21" s="44"/>
      <c r="L21" s="44"/>
      <c r="M21" s="44"/>
      <c r="N21" s="44"/>
      <c r="O21" s="44"/>
      <c r="P21" s="61"/>
      <c r="Q21" s="44"/>
      <c r="R21" s="111"/>
      <c r="S21" s="111"/>
    </row>
    <row r="22" spans="1:19" s="39" customFormat="1">
      <c r="A22" s="96"/>
      <c r="B22" s="96"/>
      <c r="C22" s="44"/>
      <c r="D22" s="44"/>
      <c r="E22" s="44"/>
      <c r="F22" s="44"/>
      <c r="G22" s="61"/>
      <c r="H22" s="44"/>
      <c r="I22" s="61"/>
      <c r="J22" s="44"/>
      <c r="K22" s="44"/>
      <c r="L22" s="44"/>
      <c r="M22" s="61"/>
      <c r="N22" s="44"/>
      <c r="O22" s="44"/>
      <c r="P22" s="61"/>
      <c r="Q22" s="61"/>
      <c r="R22" s="111"/>
      <c r="S22" s="111"/>
    </row>
    <row r="23" spans="1:19" s="39" customFormat="1">
      <c r="A23" s="96"/>
      <c r="B23" s="96"/>
      <c r="C23" s="44"/>
      <c r="D23" s="44"/>
      <c r="E23" s="44"/>
      <c r="F23" s="44"/>
      <c r="G23" s="44"/>
      <c r="H23" s="44"/>
      <c r="I23" s="61"/>
      <c r="J23" s="44"/>
      <c r="K23" s="61"/>
      <c r="L23" s="61"/>
      <c r="M23" s="44"/>
      <c r="N23" s="44"/>
      <c r="O23" s="44"/>
      <c r="P23" s="44"/>
      <c r="Q23" s="44"/>
      <c r="R23" s="111"/>
      <c r="S23" s="111"/>
    </row>
    <row r="24" spans="1:19" s="39" customFormat="1">
      <c r="A24" s="96"/>
      <c r="B24" s="96"/>
      <c r="C24" s="44"/>
      <c r="D24" s="44"/>
      <c r="E24" s="44"/>
      <c r="F24" s="44"/>
      <c r="G24" s="44"/>
      <c r="H24" s="44"/>
      <c r="I24" s="61"/>
      <c r="J24" s="44"/>
      <c r="K24" s="44"/>
      <c r="L24" s="44"/>
      <c r="M24" s="61"/>
      <c r="N24" s="44"/>
      <c r="O24" s="44"/>
      <c r="P24" s="44"/>
      <c r="Q24" s="61"/>
      <c r="R24" s="111"/>
      <c r="S24" s="111"/>
    </row>
    <row r="25" spans="1:19" s="39" customFormat="1">
      <c r="A25" s="96"/>
      <c r="B25" s="96"/>
      <c r="C25" s="44"/>
      <c r="D25" s="44"/>
      <c r="E25" s="44"/>
      <c r="F25" s="44"/>
      <c r="G25" s="61"/>
      <c r="H25" s="44"/>
      <c r="I25" s="61"/>
      <c r="J25" s="44"/>
      <c r="K25" s="44"/>
      <c r="L25" s="44"/>
      <c r="M25" s="61"/>
      <c r="N25" s="44"/>
      <c r="O25" s="44"/>
      <c r="P25" s="44"/>
      <c r="Q25" s="61"/>
      <c r="R25" s="111"/>
      <c r="S25" s="111"/>
    </row>
    <row r="26" spans="1:19" s="39" customFormat="1">
      <c r="A26" s="96"/>
      <c r="B26" s="96"/>
      <c r="C26" s="96"/>
      <c r="D26" s="25"/>
      <c r="E26" s="25"/>
      <c r="F26" s="25"/>
      <c r="G26" s="26"/>
      <c r="H26" s="25"/>
      <c r="I26" s="26"/>
      <c r="J26" s="25"/>
      <c r="K26" s="26"/>
      <c r="L26" s="26"/>
      <c r="M26" s="26"/>
      <c r="N26" s="25"/>
      <c r="O26" s="25"/>
      <c r="P26" s="25"/>
      <c r="Q26" s="27"/>
      <c r="R26" s="111"/>
      <c r="S26" s="111"/>
    </row>
    <row r="27" spans="1:19" s="39" customFormat="1">
      <c r="A27" s="96"/>
      <c r="B27" s="96"/>
      <c r="C27" s="44"/>
      <c r="D27" s="44"/>
      <c r="E27" s="44"/>
      <c r="F27" s="44"/>
      <c r="G27" s="61"/>
      <c r="H27" s="44"/>
      <c r="I27" s="61"/>
      <c r="J27" s="44"/>
      <c r="K27" s="44"/>
      <c r="L27" s="44"/>
      <c r="M27" s="61"/>
      <c r="N27" s="44"/>
      <c r="O27" s="44"/>
      <c r="P27" s="61"/>
      <c r="Q27" s="61"/>
      <c r="R27" s="111"/>
      <c r="S27" s="111"/>
    </row>
    <row r="28" spans="1:19" s="39" customFormat="1">
      <c r="A28" s="96"/>
      <c r="B28" s="96"/>
      <c r="C28" s="96"/>
      <c r="D28" s="96"/>
      <c r="E28" s="96"/>
      <c r="F28" s="96"/>
      <c r="G28" s="96"/>
      <c r="H28" s="96"/>
      <c r="I28" s="96"/>
      <c r="J28" s="96"/>
      <c r="K28" s="96"/>
      <c r="L28" s="96"/>
      <c r="M28" s="96"/>
      <c r="N28" s="96"/>
      <c r="O28" s="96"/>
      <c r="P28" s="96"/>
      <c r="Q28" s="96"/>
      <c r="R28" s="111"/>
      <c r="S28" s="111"/>
    </row>
    <row r="29" spans="1:19" s="39" customFormat="1">
      <c r="A29" s="96"/>
      <c r="B29" s="96"/>
      <c r="C29" s="96"/>
      <c r="D29" s="96"/>
      <c r="E29" s="96"/>
      <c r="F29" s="96"/>
      <c r="G29" s="96"/>
      <c r="H29" s="96"/>
      <c r="I29" s="96"/>
      <c r="J29" s="96"/>
      <c r="K29" s="96"/>
      <c r="L29" s="96"/>
      <c r="M29" s="96"/>
      <c r="N29" s="96"/>
      <c r="O29" s="96"/>
      <c r="P29" s="96"/>
      <c r="Q29" s="96"/>
      <c r="R29" s="111"/>
      <c r="S29" s="111"/>
    </row>
    <row r="30" spans="1:19" s="39" customFormat="1">
      <c r="A30" s="96"/>
      <c r="B30" s="96"/>
      <c r="C30" s="96"/>
      <c r="D30" s="96"/>
      <c r="E30" s="96"/>
      <c r="F30" s="96"/>
      <c r="G30" s="96"/>
      <c r="H30" s="96"/>
      <c r="I30" s="96"/>
      <c r="J30" s="96"/>
      <c r="K30" s="96"/>
      <c r="L30" s="96"/>
      <c r="M30" s="96"/>
      <c r="N30" s="96"/>
      <c r="O30" s="96"/>
      <c r="P30" s="96"/>
      <c r="Q30" s="96"/>
      <c r="R30" s="111"/>
      <c r="S30" s="111"/>
    </row>
    <row r="31" spans="1:19" s="39" customFormat="1">
      <c r="A31" s="96"/>
      <c r="B31" s="96"/>
      <c r="C31" s="96"/>
      <c r="D31" s="96"/>
      <c r="E31" s="96"/>
      <c r="F31" s="96"/>
      <c r="G31" s="96"/>
      <c r="H31" s="96"/>
      <c r="I31" s="96"/>
      <c r="J31" s="96"/>
      <c r="K31" s="96"/>
      <c r="L31" s="96"/>
      <c r="M31" s="96"/>
      <c r="N31" s="96"/>
      <c r="O31" s="96"/>
      <c r="P31" s="96"/>
      <c r="Q31" s="96"/>
      <c r="R31" s="111"/>
      <c r="S31" s="111"/>
    </row>
    <row r="32" spans="1:19" s="39" customFormat="1">
      <c r="A32" s="96"/>
      <c r="B32" s="96"/>
      <c r="C32" s="96"/>
      <c r="D32" s="96"/>
      <c r="E32" s="96"/>
      <c r="F32" s="96"/>
      <c r="G32" s="96"/>
      <c r="H32" s="96"/>
      <c r="I32" s="96"/>
      <c r="J32" s="96"/>
      <c r="K32" s="96"/>
      <c r="L32" s="96"/>
      <c r="M32" s="96"/>
      <c r="N32" s="96"/>
      <c r="O32" s="96"/>
      <c r="P32" s="96"/>
      <c r="Q32" s="96"/>
      <c r="R32" s="111"/>
      <c r="S32" s="111"/>
    </row>
    <row r="33" spans="1:21" s="39" customFormat="1">
      <c r="A33" s="96"/>
      <c r="B33" s="96"/>
      <c r="C33" s="96"/>
      <c r="D33" s="96"/>
      <c r="E33" s="96"/>
      <c r="F33" s="96"/>
      <c r="G33" s="96"/>
      <c r="H33" s="96"/>
      <c r="I33" s="96"/>
      <c r="J33" s="96"/>
      <c r="K33" s="96"/>
      <c r="L33" s="96"/>
      <c r="M33" s="96"/>
      <c r="N33" s="96"/>
      <c r="O33" s="96"/>
      <c r="P33" s="96"/>
      <c r="Q33" s="96"/>
      <c r="R33" s="111"/>
      <c r="S33" s="111"/>
    </row>
    <row r="34" spans="1:21" s="39" customFormat="1">
      <c r="A34" s="96"/>
      <c r="B34" s="96"/>
      <c r="C34" s="96"/>
      <c r="D34" s="96"/>
      <c r="E34" s="96"/>
      <c r="F34" s="96"/>
      <c r="G34" s="96"/>
      <c r="H34" s="96"/>
      <c r="I34" s="96"/>
      <c r="J34" s="96"/>
      <c r="K34" s="96"/>
      <c r="L34" s="96"/>
      <c r="M34" s="96"/>
      <c r="N34" s="96"/>
      <c r="O34" s="96"/>
      <c r="P34" s="96"/>
      <c r="Q34" s="96"/>
    </row>
    <row r="35" spans="1:21" s="39" customFormat="1">
      <c r="A35" s="96"/>
      <c r="B35" s="96"/>
      <c r="C35" s="96"/>
      <c r="D35" s="96"/>
      <c r="E35" s="96"/>
      <c r="F35" s="96"/>
      <c r="G35" s="96"/>
      <c r="H35" s="96"/>
      <c r="I35" s="96"/>
      <c r="J35" s="96"/>
      <c r="K35" s="96"/>
      <c r="L35" s="96"/>
      <c r="M35" s="96"/>
      <c r="N35" s="96"/>
      <c r="O35" s="96"/>
      <c r="P35" s="96"/>
      <c r="Q35" s="96"/>
    </row>
    <row r="36" spans="1:21" s="39" customFormat="1">
      <c r="A36" s="96"/>
      <c r="B36" s="96"/>
      <c r="C36" s="96"/>
      <c r="D36" s="96"/>
      <c r="E36" s="96"/>
      <c r="F36" s="96"/>
      <c r="G36" s="96"/>
      <c r="H36" s="96"/>
      <c r="I36" s="96"/>
      <c r="J36" s="96"/>
      <c r="K36" s="96"/>
      <c r="L36" s="96"/>
      <c r="M36" s="96"/>
      <c r="N36" s="96"/>
      <c r="O36" s="96"/>
      <c r="P36" s="96"/>
      <c r="Q36" s="96"/>
      <c r="U36" s="88"/>
    </row>
    <row r="37" spans="1:21" s="39" customFormat="1">
      <c r="A37" s="77"/>
      <c r="B37" s="77"/>
      <c r="C37" s="77"/>
      <c r="D37" s="77"/>
      <c r="E37" s="77"/>
      <c r="F37" s="77"/>
      <c r="G37" s="77"/>
      <c r="H37" s="77"/>
      <c r="I37" s="77"/>
      <c r="J37" s="77"/>
      <c r="K37" s="77"/>
      <c r="L37" s="77"/>
      <c r="M37" s="77"/>
      <c r="N37" s="77"/>
      <c r="O37" s="77"/>
      <c r="P37" s="77"/>
      <c r="Q37" s="77"/>
    </row>
    <row r="38" spans="1:21" s="39" customFormat="1">
      <c r="A38" s="77"/>
      <c r="B38" s="77"/>
      <c r="C38" s="77"/>
      <c r="D38" s="77"/>
      <c r="E38" s="77"/>
      <c r="F38" s="77"/>
      <c r="G38" s="77"/>
      <c r="H38" s="77"/>
      <c r="I38" s="77"/>
      <c r="J38" s="77"/>
      <c r="K38" s="77"/>
      <c r="L38" s="77"/>
      <c r="M38" s="77"/>
      <c r="N38" s="77"/>
      <c r="O38" s="77"/>
      <c r="P38" s="77"/>
      <c r="Q38" s="77"/>
    </row>
    <row r="39" spans="1:21" s="39" customFormat="1">
      <c r="A39" s="77"/>
      <c r="B39" s="77"/>
      <c r="C39" s="77"/>
      <c r="D39" s="77"/>
      <c r="E39" s="77"/>
      <c r="F39" s="77"/>
      <c r="G39" s="77"/>
      <c r="H39" s="77"/>
      <c r="I39" s="77"/>
      <c r="J39" s="77"/>
      <c r="K39" s="77"/>
      <c r="L39" s="77"/>
      <c r="M39" s="77"/>
      <c r="N39" s="77"/>
      <c r="O39" s="77"/>
      <c r="P39" s="77"/>
      <c r="Q39" s="77"/>
    </row>
    <row r="40" spans="1:21" s="39" customFormat="1">
      <c r="A40" s="77"/>
      <c r="B40" s="77"/>
      <c r="C40" s="77"/>
      <c r="D40" s="77"/>
      <c r="E40" s="77"/>
      <c r="F40" s="77"/>
      <c r="G40" s="77"/>
      <c r="H40" s="77"/>
      <c r="I40" s="77"/>
      <c r="J40" s="77"/>
      <c r="K40" s="77"/>
      <c r="L40" s="77"/>
      <c r="M40" s="77"/>
      <c r="N40" s="77"/>
      <c r="O40" s="77"/>
      <c r="P40" s="77"/>
      <c r="Q40" s="77"/>
    </row>
    <row r="41" spans="1:21" s="39" customFormat="1">
      <c r="A41" s="77"/>
      <c r="B41" s="77"/>
      <c r="C41" s="77"/>
      <c r="D41" s="77"/>
      <c r="E41" s="77"/>
      <c r="F41" s="77"/>
      <c r="G41" s="77"/>
      <c r="H41" s="77"/>
      <c r="I41" s="77"/>
      <c r="J41" s="77"/>
      <c r="K41" s="77"/>
      <c r="L41" s="77"/>
      <c r="M41" s="77"/>
      <c r="N41" s="77"/>
      <c r="O41" s="77"/>
      <c r="P41" s="77"/>
      <c r="Q41" s="77"/>
    </row>
    <row r="42" spans="1:21" s="39" customFormat="1">
      <c r="A42" s="77"/>
      <c r="B42" s="77"/>
      <c r="C42" s="77"/>
      <c r="D42" s="77"/>
      <c r="E42" s="77"/>
      <c r="F42" s="77"/>
      <c r="G42" s="77"/>
      <c r="H42" s="77"/>
      <c r="I42" s="77"/>
      <c r="J42" s="77"/>
      <c r="K42" s="77"/>
      <c r="L42" s="77"/>
      <c r="M42" s="77"/>
      <c r="N42" s="77"/>
      <c r="O42" s="77"/>
      <c r="P42" s="77"/>
      <c r="Q42" s="77"/>
    </row>
    <row r="43" spans="1:21" s="39" customFormat="1">
      <c r="A43" s="77"/>
      <c r="B43" s="77"/>
      <c r="C43" s="77"/>
      <c r="D43" s="77"/>
      <c r="E43" s="77"/>
      <c r="F43" s="77"/>
      <c r="G43" s="77"/>
      <c r="H43" s="77"/>
      <c r="I43" s="77"/>
      <c r="J43" s="77"/>
      <c r="K43" s="77"/>
      <c r="L43" s="77"/>
      <c r="M43" s="77"/>
      <c r="N43" s="77"/>
      <c r="O43" s="77"/>
      <c r="P43" s="77"/>
      <c r="Q43" s="77"/>
    </row>
    <row r="44" spans="1:21" s="39" customFormat="1">
      <c r="A44" s="77"/>
      <c r="B44" s="77"/>
      <c r="C44" s="77"/>
      <c r="D44" s="77"/>
      <c r="E44" s="77"/>
      <c r="F44" s="77"/>
      <c r="G44" s="77"/>
      <c r="H44" s="77"/>
      <c r="I44" s="77"/>
      <c r="J44" s="77"/>
      <c r="K44" s="77"/>
      <c r="L44" s="77"/>
      <c r="M44" s="77"/>
      <c r="N44" s="77"/>
      <c r="O44" s="77"/>
      <c r="P44" s="77"/>
      <c r="Q44" s="77"/>
    </row>
    <row r="45" spans="1:21" s="39" customFormat="1">
      <c r="A45" s="77"/>
      <c r="B45" s="77"/>
      <c r="C45" s="77"/>
      <c r="D45" s="77"/>
      <c r="E45" s="77"/>
      <c r="F45" s="77"/>
      <c r="G45" s="77"/>
      <c r="H45" s="77"/>
      <c r="I45" s="77"/>
      <c r="J45" s="77"/>
      <c r="K45" s="77"/>
      <c r="L45" s="77"/>
      <c r="M45" s="77"/>
      <c r="N45" s="77"/>
      <c r="O45" s="77"/>
      <c r="P45" s="77"/>
      <c r="Q45" s="77"/>
    </row>
    <row r="46" spans="1:21" s="39" customFormat="1">
      <c r="A46" s="77"/>
      <c r="B46" s="77"/>
      <c r="C46" s="77"/>
      <c r="D46" s="77"/>
      <c r="E46" s="77"/>
      <c r="F46" s="77"/>
      <c r="G46" s="77"/>
      <c r="H46" s="77"/>
      <c r="I46" s="77"/>
      <c r="J46" s="77"/>
      <c r="K46" s="77"/>
      <c r="L46" s="77"/>
      <c r="M46" s="77"/>
      <c r="N46" s="77"/>
      <c r="O46" s="77"/>
      <c r="P46" s="77"/>
      <c r="Q46" s="77"/>
    </row>
    <row r="47" spans="1:21" s="39" customFormat="1">
      <c r="A47" s="77"/>
      <c r="B47" s="77"/>
      <c r="C47" s="77"/>
      <c r="D47" s="77"/>
      <c r="E47" s="77"/>
      <c r="F47" s="77"/>
      <c r="G47" s="77"/>
      <c r="H47" s="77"/>
      <c r="I47" s="77"/>
      <c r="J47" s="77"/>
      <c r="K47" s="77"/>
      <c r="L47" s="77"/>
      <c r="M47" s="77"/>
      <c r="N47" s="77"/>
      <c r="O47" s="77"/>
      <c r="P47" s="77"/>
      <c r="Q47" s="77"/>
    </row>
    <row r="48" spans="1:21" s="39" customFormat="1">
      <c r="A48" s="77"/>
      <c r="B48" s="77"/>
      <c r="C48" s="77"/>
      <c r="D48" s="77"/>
      <c r="E48" s="77"/>
      <c r="F48" s="77"/>
      <c r="G48" s="77"/>
      <c r="H48" s="77"/>
      <c r="I48" s="77"/>
      <c r="J48" s="77"/>
      <c r="K48" s="77"/>
      <c r="L48" s="77"/>
      <c r="M48" s="77"/>
      <c r="N48" s="77"/>
      <c r="O48" s="77"/>
      <c r="P48" s="77"/>
      <c r="Q48" s="77"/>
    </row>
    <row r="49" spans="1:17" s="39" customFormat="1">
      <c r="A49" s="77"/>
      <c r="B49" s="77"/>
      <c r="C49" s="77"/>
      <c r="D49" s="77"/>
      <c r="E49" s="77"/>
      <c r="F49" s="77"/>
      <c r="G49" s="77"/>
      <c r="H49" s="77"/>
      <c r="I49" s="77"/>
      <c r="J49" s="77"/>
      <c r="K49" s="77"/>
      <c r="L49" s="77"/>
      <c r="M49" s="77"/>
      <c r="N49" s="77"/>
      <c r="O49" s="77"/>
      <c r="P49" s="77"/>
      <c r="Q49" s="77"/>
    </row>
    <row r="50" spans="1:17" s="39" customFormat="1">
      <c r="A50" s="77"/>
      <c r="B50" s="77"/>
      <c r="C50" s="77"/>
      <c r="D50" s="77"/>
      <c r="E50" s="77"/>
      <c r="F50" s="77"/>
      <c r="G50" s="77"/>
      <c r="H50" s="77"/>
      <c r="I50" s="77"/>
      <c r="J50" s="77"/>
      <c r="K50" s="77"/>
      <c r="L50" s="77"/>
      <c r="M50" s="77"/>
      <c r="N50" s="77"/>
      <c r="O50" s="77"/>
      <c r="P50" s="77"/>
      <c r="Q50" s="77"/>
    </row>
    <row r="51" spans="1:17" s="39" customFormat="1">
      <c r="A51" s="77"/>
      <c r="B51" s="77"/>
      <c r="C51" s="77"/>
      <c r="D51" s="77"/>
      <c r="E51" s="77"/>
      <c r="F51" s="77"/>
      <c r="G51" s="77"/>
      <c r="H51" s="77"/>
      <c r="I51" s="77"/>
      <c r="J51" s="77"/>
      <c r="K51" s="77"/>
      <c r="L51" s="77"/>
      <c r="M51" s="77"/>
      <c r="N51" s="77"/>
      <c r="O51" s="77"/>
      <c r="P51" s="77"/>
      <c r="Q51" s="77"/>
    </row>
    <row r="52" spans="1:17" s="39" customFormat="1">
      <c r="A52" s="77"/>
      <c r="B52" s="77"/>
      <c r="C52" s="77"/>
      <c r="D52" s="77"/>
      <c r="E52" s="77"/>
      <c r="F52" s="77"/>
      <c r="G52" s="77"/>
      <c r="H52" s="77"/>
      <c r="I52" s="77"/>
      <c r="J52" s="77"/>
      <c r="K52" s="77"/>
      <c r="L52" s="77"/>
      <c r="M52" s="77"/>
      <c r="N52" s="77"/>
      <c r="O52" s="77"/>
      <c r="P52" s="77"/>
      <c r="Q52" s="77"/>
    </row>
    <row r="53" spans="1:17" s="39" customFormat="1">
      <c r="A53" s="77"/>
      <c r="B53" s="77"/>
      <c r="C53" s="77"/>
      <c r="D53" s="77"/>
      <c r="E53" s="77"/>
      <c r="F53" s="77"/>
      <c r="G53" s="77"/>
      <c r="H53" s="77"/>
      <c r="I53" s="77"/>
      <c r="J53" s="77"/>
      <c r="K53" s="77"/>
      <c r="L53" s="77"/>
      <c r="M53" s="77"/>
      <c r="N53" s="77"/>
      <c r="O53" s="77"/>
      <c r="P53" s="77"/>
      <c r="Q53" s="77"/>
    </row>
    <row r="54" spans="1:17" s="39" customFormat="1">
      <c r="A54" s="77"/>
      <c r="B54" s="77"/>
      <c r="C54" s="77"/>
      <c r="D54" s="77"/>
      <c r="E54" s="77"/>
      <c r="F54" s="77"/>
      <c r="G54" s="77"/>
      <c r="H54" s="77"/>
      <c r="I54" s="77"/>
      <c r="J54" s="77"/>
      <c r="K54" s="77"/>
      <c r="L54" s="77"/>
      <c r="M54" s="77"/>
      <c r="N54" s="77"/>
      <c r="O54" s="77"/>
      <c r="P54" s="77"/>
      <c r="Q54" s="77"/>
    </row>
    <row r="55" spans="1:17" s="39" customFormat="1">
      <c r="A55" s="77"/>
      <c r="B55" s="77"/>
      <c r="C55" s="77"/>
      <c r="D55" s="77"/>
      <c r="E55" s="77"/>
      <c r="F55" s="77"/>
      <c r="G55" s="77"/>
      <c r="H55" s="77"/>
      <c r="I55" s="77"/>
      <c r="J55" s="77"/>
      <c r="K55" s="77"/>
      <c r="L55" s="77"/>
      <c r="M55" s="77"/>
      <c r="N55" s="77"/>
      <c r="O55" s="77"/>
      <c r="P55" s="77"/>
      <c r="Q55" s="77"/>
    </row>
    <row r="56" spans="1:17" s="39" customFormat="1">
      <c r="A56" s="77"/>
      <c r="B56" s="77"/>
      <c r="C56" s="77"/>
      <c r="D56" s="77"/>
      <c r="E56" s="77"/>
      <c r="F56" s="77"/>
      <c r="G56" s="77"/>
      <c r="H56" s="77"/>
      <c r="I56" s="77"/>
      <c r="J56" s="77"/>
      <c r="K56" s="77"/>
      <c r="L56" s="77"/>
      <c r="M56" s="77"/>
      <c r="N56" s="77"/>
      <c r="O56" s="77"/>
      <c r="P56" s="77"/>
      <c r="Q56" s="77"/>
    </row>
    <row r="57" spans="1:17" s="39" customFormat="1">
      <c r="A57" s="77"/>
      <c r="B57" s="77"/>
      <c r="C57" s="77"/>
      <c r="D57" s="77"/>
      <c r="E57" s="77"/>
      <c r="F57" s="77"/>
      <c r="G57" s="77"/>
      <c r="H57" s="77"/>
      <c r="I57" s="77"/>
      <c r="J57" s="77"/>
      <c r="K57" s="77"/>
      <c r="L57" s="77"/>
      <c r="M57" s="77"/>
      <c r="N57" s="77"/>
      <c r="O57" s="77"/>
      <c r="P57" s="77"/>
      <c r="Q57" s="77"/>
    </row>
    <row r="58" spans="1:17" s="39" customFormat="1">
      <c r="A58" s="77"/>
      <c r="B58" s="77"/>
      <c r="C58" s="77"/>
      <c r="D58" s="77"/>
      <c r="E58" s="77"/>
      <c r="F58" s="77"/>
      <c r="G58" s="77"/>
      <c r="H58" s="77"/>
      <c r="I58" s="77"/>
      <c r="J58" s="77"/>
      <c r="K58" s="77"/>
      <c r="L58" s="77"/>
      <c r="M58" s="77"/>
      <c r="N58" s="77"/>
      <c r="O58" s="77"/>
      <c r="P58" s="77"/>
      <c r="Q58" s="77"/>
    </row>
    <row r="59" spans="1:17" s="39" customFormat="1">
      <c r="A59" s="77"/>
      <c r="B59" s="77"/>
      <c r="C59" s="77"/>
      <c r="D59" s="77"/>
      <c r="E59" s="77"/>
      <c r="F59" s="77"/>
      <c r="G59" s="77"/>
      <c r="H59" s="77"/>
      <c r="I59" s="77"/>
      <c r="J59" s="77"/>
      <c r="K59" s="77"/>
      <c r="L59" s="77"/>
      <c r="M59" s="77"/>
      <c r="N59" s="77"/>
      <c r="O59" s="77"/>
      <c r="P59" s="77"/>
      <c r="Q59" s="77"/>
    </row>
    <row r="60" spans="1:17" s="39" customFormat="1">
      <c r="A60" s="77"/>
      <c r="B60" s="77"/>
      <c r="C60" s="77"/>
      <c r="D60" s="77"/>
      <c r="E60" s="77"/>
      <c r="F60" s="77"/>
      <c r="G60" s="77"/>
      <c r="H60" s="77"/>
      <c r="I60" s="77"/>
      <c r="J60" s="77"/>
      <c r="K60" s="77"/>
      <c r="L60" s="77"/>
      <c r="M60" s="77"/>
      <c r="N60" s="77"/>
      <c r="O60" s="77"/>
      <c r="P60" s="77"/>
      <c r="Q60" s="77"/>
    </row>
    <row r="61" spans="1:17" s="39" customFormat="1">
      <c r="A61" s="77"/>
      <c r="B61" s="77"/>
      <c r="C61" s="77"/>
      <c r="D61" s="77"/>
      <c r="E61" s="77"/>
      <c r="F61" s="77"/>
      <c r="G61" s="77"/>
      <c r="H61" s="77"/>
      <c r="I61" s="77"/>
      <c r="J61" s="77"/>
      <c r="K61" s="77"/>
      <c r="L61" s="77"/>
      <c r="M61" s="77"/>
      <c r="N61" s="77"/>
      <c r="O61" s="77"/>
      <c r="P61" s="77"/>
      <c r="Q61" s="77"/>
    </row>
    <row r="62" spans="1:17" s="39" customFormat="1">
      <c r="A62" s="77"/>
      <c r="B62" s="77"/>
      <c r="C62" s="77"/>
      <c r="D62" s="77"/>
      <c r="E62" s="77"/>
      <c r="F62" s="77"/>
      <c r="G62" s="77"/>
      <c r="H62" s="77"/>
      <c r="I62" s="77"/>
      <c r="J62" s="77"/>
      <c r="K62" s="77"/>
      <c r="L62" s="77"/>
      <c r="M62" s="77"/>
      <c r="N62" s="77"/>
      <c r="O62" s="77"/>
      <c r="P62" s="77"/>
      <c r="Q62" s="77"/>
    </row>
    <row r="63" spans="1:17" s="39" customFormat="1">
      <c r="A63" s="77"/>
      <c r="B63" s="77"/>
      <c r="C63" s="77"/>
      <c r="D63" s="77"/>
      <c r="E63" s="77"/>
      <c r="F63" s="77"/>
      <c r="G63" s="77"/>
      <c r="H63" s="77"/>
      <c r="I63" s="77"/>
      <c r="J63" s="77"/>
      <c r="K63" s="77"/>
      <c r="L63" s="77"/>
      <c r="M63" s="77"/>
      <c r="N63" s="77"/>
      <c r="O63" s="77"/>
      <c r="P63" s="77"/>
      <c r="Q63" s="77"/>
    </row>
    <row r="64" spans="1:17" s="39" customFormat="1">
      <c r="A64" s="77"/>
      <c r="B64" s="77"/>
      <c r="C64" s="77"/>
      <c r="D64" s="77"/>
      <c r="E64" s="77"/>
      <c r="F64" s="77"/>
      <c r="G64" s="77"/>
      <c r="H64" s="77"/>
      <c r="I64" s="77"/>
      <c r="J64" s="77"/>
      <c r="K64" s="77"/>
      <c r="L64" s="77"/>
      <c r="M64" s="77"/>
      <c r="N64" s="77"/>
      <c r="O64" s="77"/>
      <c r="P64" s="77"/>
      <c r="Q64" s="77"/>
    </row>
    <row r="65" spans="1:17" s="39" customFormat="1">
      <c r="A65" s="77"/>
      <c r="B65" s="77"/>
      <c r="C65" s="77"/>
      <c r="D65" s="77"/>
      <c r="E65" s="77"/>
      <c r="F65" s="77"/>
      <c r="G65" s="77"/>
      <c r="H65" s="77"/>
      <c r="I65" s="77"/>
      <c r="J65" s="77"/>
      <c r="K65" s="77"/>
      <c r="L65" s="77"/>
      <c r="M65" s="77"/>
      <c r="N65" s="77"/>
      <c r="O65" s="77"/>
      <c r="P65" s="77"/>
      <c r="Q65" s="77"/>
    </row>
    <row r="66" spans="1:17" s="39" customFormat="1">
      <c r="A66" s="77"/>
      <c r="B66" s="77"/>
      <c r="C66" s="77"/>
      <c r="D66" s="77"/>
      <c r="E66" s="77"/>
      <c r="F66" s="77"/>
      <c r="G66" s="77"/>
      <c r="H66" s="77"/>
      <c r="I66" s="77"/>
      <c r="J66" s="77"/>
      <c r="K66" s="77"/>
      <c r="L66" s="77"/>
      <c r="M66" s="77"/>
      <c r="N66" s="77"/>
      <c r="O66" s="77"/>
      <c r="P66" s="77"/>
      <c r="Q66" s="77"/>
    </row>
    <row r="67" spans="1:17" s="39" customFormat="1">
      <c r="A67" s="77"/>
      <c r="B67" s="77"/>
      <c r="C67" s="77"/>
      <c r="D67" s="77"/>
      <c r="E67" s="77"/>
      <c r="F67" s="77"/>
      <c r="G67" s="77"/>
      <c r="H67" s="77"/>
      <c r="I67" s="77"/>
      <c r="J67" s="77"/>
      <c r="K67" s="77"/>
      <c r="L67" s="77"/>
      <c r="M67" s="77"/>
      <c r="N67" s="77"/>
      <c r="O67" s="77"/>
      <c r="P67" s="77"/>
      <c r="Q67" s="77"/>
    </row>
    <row r="68" spans="1:17" s="39" customFormat="1">
      <c r="A68" s="77"/>
      <c r="B68" s="77"/>
      <c r="C68" s="77"/>
      <c r="D68" s="77"/>
      <c r="E68" s="77"/>
      <c r="F68" s="77"/>
      <c r="G68" s="77"/>
      <c r="H68" s="77"/>
      <c r="I68" s="77"/>
      <c r="J68" s="77"/>
      <c r="K68" s="77"/>
      <c r="L68" s="77"/>
      <c r="M68" s="77"/>
      <c r="N68" s="77"/>
      <c r="O68" s="77"/>
      <c r="P68" s="77"/>
      <c r="Q68" s="77"/>
    </row>
    <row r="69" spans="1:17" s="39" customFormat="1">
      <c r="A69" s="77"/>
      <c r="B69" s="77"/>
      <c r="C69" s="77"/>
      <c r="D69" s="77"/>
      <c r="E69" s="77"/>
      <c r="F69" s="77"/>
      <c r="G69" s="77"/>
      <c r="H69" s="77"/>
      <c r="I69" s="77"/>
      <c r="J69" s="77"/>
      <c r="K69" s="77"/>
      <c r="L69" s="77"/>
      <c r="M69" s="77"/>
      <c r="N69" s="77"/>
      <c r="O69" s="77"/>
      <c r="P69" s="77"/>
      <c r="Q69" s="77"/>
    </row>
    <row r="70" spans="1:17" s="39" customFormat="1">
      <c r="A70" s="77"/>
      <c r="B70" s="77"/>
      <c r="C70" s="77"/>
      <c r="D70" s="77"/>
      <c r="E70" s="77"/>
      <c r="F70" s="77"/>
      <c r="G70" s="77"/>
      <c r="H70" s="77"/>
      <c r="I70" s="77"/>
      <c r="J70" s="77"/>
      <c r="K70" s="77"/>
      <c r="L70" s="77"/>
      <c r="M70" s="77"/>
      <c r="N70" s="77"/>
      <c r="O70" s="77"/>
      <c r="P70" s="77"/>
      <c r="Q70" s="77"/>
    </row>
    <row r="71" spans="1:17" s="39" customFormat="1">
      <c r="A71" s="77"/>
      <c r="B71" s="77"/>
      <c r="C71" s="77"/>
      <c r="D71" s="77"/>
      <c r="E71" s="77"/>
      <c r="F71" s="77"/>
      <c r="G71" s="77"/>
      <c r="H71" s="77"/>
      <c r="I71" s="77"/>
      <c r="J71" s="77"/>
      <c r="K71" s="77"/>
      <c r="L71" s="77"/>
      <c r="M71" s="77"/>
      <c r="N71" s="77"/>
      <c r="O71" s="77"/>
      <c r="P71" s="77"/>
      <c r="Q71" s="77"/>
    </row>
    <row r="72" spans="1:17" s="39" customFormat="1">
      <c r="A72" s="77"/>
      <c r="B72" s="77"/>
      <c r="C72" s="77"/>
      <c r="D72" s="77"/>
      <c r="E72" s="77"/>
      <c r="F72" s="77"/>
      <c r="G72" s="77"/>
      <c r="H72" s="77"/>
      <c r="I72" s="77"/>
      <c r="J72" s="77"/>
      <c r="K72" s="77"/>
      <c r="L72" s="77"/>
      <c r="M72" s="77"/>
      <c r="N72" s="77"/>
      <c r="O72" s="77"/>
      <c r="P72" s="77"/>
      <c r="Q72" s="77"/>
    </row>
    <row r="73" spans="1:17" s="39" customFormat="1">
      <c r="A73" s="77"/>
      <c r="B73" s="77"/>
      <c r="C73" s="77"/>
      <c r="D73" s="77"/>
      <c r="E73" s="77"/>
      <c r="F73" s="77"/>
      <c r="G73" s="77"/>
      <c r="H73" s="77"/>
      <c r="I73" s="77"/>
      <c r="J73" s="77"/>
      <c r="K73" s="77"/>
      <c r="L73" s="77"/>
      <c r="M73" s="77"/>
      <c r="N73" s="77"/>
      <c r="O73" s="77"/>
      <c r="P73" s="77"/>
      <c r="Q73" s="77"/>
    </row>
    <row r="74" spans="1:17" s="39" customFormat="1">
      <c r="A74" s="77"/>
      <c r="B74" s="77"/>
      <c r="C74" s="77"/>
      <c r="D74" s="77"/>
      <c r="E74" s="77"/>
      <c r="F74" s="77"/>
      <c r="G74" s="77"/>
      <c r="H74" s="77"/>
      <c r="I74" s="77"/>
      <c r="J74" s="77"/>
      <c r="K74" s="77"/>
      <c r="L74" s="77"/>
      <c r="M74" s="77"/>
      <c r="N74" s="77"/>
      <c r="O74" s="77"/>
      <c r="P74" s="77"/>
      <c r="Q74" s="77"/>
    </row>
    <row r="75" spans="1:17" s="39" customFormat="1">
      <c r="A75" s="77"/>
      <c r="B75" s="77"/>
      <c r="C75" s="77"/>
      <c r="D75" s="77"/>
      <c r="E75" s="77"/>
      <c r="F75" s="77"/>
      <c r="G75" s="77"/>
      <c r="H75" s="77"/>
      <c r="I75" s="77"/>
      <c r="J75" s="77"/>
      <c r="K75" s="77"/>
      <c r="L75" s="77"/>
      <c r="M75" s="77"/>
      <c r="N75" s="77"/>
      <c r="O75" s="77"/>
      <c r="P75" s="77"/>
      <c r="Q75" s="77"/>
    </row>
    <row r="76" spans="1:17" s="39" customFormat="1">
      <c r="A76" s="77"/>
      <c r="B76" s="77"/>
      <c r="C76" s="77"/>
      <c r="D76" s="77"/>
      <c r="E76" s="77"/>
      <c r="F76" s="77"/>
      <c r="G76" s="77"/>
      <c r="H76" s="77"/>
      <c r="I76" s="77"/>
      <c r="J76" s="77"/>
      <c r="K76" s="77"/>
      <c r="L76" s="77"/>
      <c r="M76" s="77"/>
      <c r="N76" s="77"/>
      <c r="O76" s="77"/>
      <c r="P76" s="77"/>
      <c r="Q76" s="77"/>
    </row>
    <row r="77" spans="1:17" s="39" customFormat="1">
      <c r="A77" s="77"/>
      <c r="B77" s="77"/>
      <c r="C77" s="77"/>
      <c r="D77" s="77"/>
      <c r="E77" s="77"/>
      <c r="F77" s="77"/>
      <c r="G77" s="77"/>
      <c r="H77" s="77"/>
      <c r="I77" s="77"/>
      <c r="J77" s="77"/>
      <c r="K77" s="77"/>
      <c r="L77" s="77"/>
      <c r="M77" s="77"/>
      <c r="N77" s="77"/>
      <c r="O77" s="77"/>
      <c r="P77" s="77"/>
      <c r="Q77" s="77"/>
    </row>
    <row r="78" spans="1:17" s="39" customFormat="1">
      <c r="A78" s="77"/>
      <c r="B78" s="77"/>
      <c r="C78" s="77"/>
      <c r="D78" s="77"/>
      <c r="E78" s="77"/>
      <c r="F78" s="77"/>
      <c r="G78" s="77"/>
      <c r="H78" s="77"/>
      <c r="I78" s="77"/>
      <c r="J78" s="77"/>
      <c r="K78" s="77"/>
      <c r="L78" s="77"/>
      <c r="M78" s="77"/>
      <c r="N78" s="77"/>
      <c r="O78" s="77"/>
      <c r="P78" s="77"/>
      <c r="Q78" s="77"/>
    </row>
    <row r="79" spans="1:17" s="39" customFormat="1">
      <c r="A79" s="77"/>
      <c r="B79" s="77"/>
      <c r="C79" s="77"/>
      <c r="D79" s="77"/>
      <c r="E79" s="77"/>
      <c r="F79" s="77"/>
      <c r="G79" s="77"/>
      <c r="H79" s="77"/>
      <c r="I79" s="77"/>
      <c r="J79" s="77"/>
      <c r="K79" s="77"/>
      <c r="L79" s="77"/>
      <c r="M79" s="77"/>
      <c r="N79" s="77"/>
      <c r="O79" s="77"/>
      <c r="P79" s="77"/>
      <c r="Q79" s="77"/>
    </row>
    <row r="80" spans="1:17" s="39" customFormat="1">
      <c r="A80" s="77"/>
      <c r="B80" s="77"/>
      <c r="C80" s="77"/>
      <c r="D80" s="77"/>
      <c r="E80" s="77"/>
      <c r="F80" s="77"/>
      <c r="G80" s="77"/>
      <c r="H80" s="77"/>
      <c r="I80" s="77"/>
      <c r="J80" s="77"/>
      <c r="K80" s="77"/>
      <c r="L80" s="77"/>
      <c r="M80" s="77"/>
      <c r="N80" s="77"/>
      <c r="O80" s="77"/>
      <c r="P80" s="77"/>
      <c r="Q80" s="77"/>
    </row>
    <row r="81" spans="1:17" s="39" customFormat="1">
      <c r="A81" s="77"/>
      <c r="B81" s="77"/>
      <c r="C81" s="77"/>
      <c r="D81" s="77"/>
      <c r="E81" s="77"/>
      <c r="F81" s="77"/>
      <c r="G81" s="77"/>
      <c r="H81" s="77"/>
      <c r="I81" s="77"/>
      <c r="J81" s="77"/>
      <c r="K81" s="77"/>
      <c r="L81" s="77"/>
      <c r="M81" s="77"/>
      <c r="N81" s="77"/>
      <c r="O81" s="77"/>
      <c r="P81" s="77"/>
      <c r="Q81" s="77"/>
    </row>
    <row r="82" spans="1:17" s="39" customFormat="1">
      <c r="A82" s="77"/>
      <c r="B82" s="77"/>
      <c r="C82" s="77"/>
      <c r="D82" s="77"/>
      <c r="E82" s="77"/>
      <c r="F82" s="77"/>
      <c r="G82" s="77"/>
      <c r="H82" s="77"/>
      <c r="I82" s="77"/>
      <c r="J82" s="77"/>
      <c r="K82" s="77"/>
      <c r="L82" s="77"/>
      <c r="M82" s="77"/>
      <c r="N82" s="77"/>
      <c r="O82" s="77"/>
      <c r="P82" s="77"/>
      <c r="Q82" s="77"/>
    </row>
    <row r="83" spans="1:17" s="39" customFormat="1">
      <c r="A83" s="77"/>
      <c r="B83" s="77"/>
      <c r="C83" s="77"/>
      <c r="D83" s="77"/>
      <c r="E83" s="77"/>
      <c r="F83" s="77"/>
      <c r="G83" s="77"/>
      <c r="H83" s="77"/>
      <c r="I83" s="77"/>
      <c r="J83" s="77"/>
      <c r="K83" s="77"/>
      <c r="L83" s="77"/>
      <c r="M83" s="77"/>
      <c r="N83" s="77"/>
      <c r="O83" s="77"/>
      <c r="P83" s="77"/>
      <c r="Q83" s="77"/>
    </row>
    <row r="84" spans="1:17" s="39" customFormat="1">
      <c r="A84" s="77"/>
      <c r="B84" s="77"/>
      <c r="C84" s="77"/>
      <c r="D84" s="77"/>
      <c r="E84" s="77"/>
      <c r="F84" s="77"/>
      <c r="G84" s="77"/>
      <c r="H84" s="77"/>
      <c r="I84" s="77"/>
      <c r="J84" s="77"/>
      <c r="K84" s="77"/>
      <c r="L84" s="77"/>
      <c r="M84" s="77"/>
      <c r="N84" s="77"/>
      <c r="O84" s="77"/>
      <c r="P84" s="77"/>
      <c r="Q84" s="77"/>
    </row>
    <row r="85" spans="1:17" s="39" customFormat="1">
      <c r="A85" s="77"/>
      <c r="B85" s="77"/>
      <c r="C85" s="77"/>
      <c r="D85" s="77"/>
      <c r="E85" s="77"/>
      <c r="F85" s="77"/>
      <c r="G85" s="77"/>
      <c r="H85" s="77"/>
      <c r="I85" s="77"/>
      <c r="J85" s="77"/>
      <c r="K85" s="77"/>
      <c r="L85" s="77"/>
      <c r="M85" s="77"/>
      <c r="N85" s="77"/>
      <c r="O85" s="77"/>
      <c r="P85" s="77"/>
      <c r="Q85" s="77"/>
    </row>
    <row r="86" spans="1:17" s="39" customFormat="1">
      <c r="A86" s="77"/>
      <c r="B86" s="77"/>
      <c r="C86" s="77"/>
      <c r="D86" s="77"/>
      <c r="E86" s="77"/>
      <c r="F86" s="77"/>
      <c r="G86" s="77"/>
      <c r="H86" s="77"/>
      <c r="I86" s="77"/>
      <c r="J86" s="77"/>
      <c r="K86" s="77"/>
      <c r="L86" s="77"/>
      <c r="M86" s="77"/>
      <c r="N86" s="77"/>
      <c r="O86" s="77"/>
      <c r="P86" s="77"/>
      <c r="Q86" s="77"/>
    </row>
    <row r="87" spans="1:17" s="39" customFormat="1">
      <c r="A87" s="77"/>
      <c r="B87" s="77"/>
      <c r="C87" s="77"/>
      <c r="D87" s="77"/>
      <c r="E87" s="77"/>
      <c r="F87" s="77"/>
      <c r="G87" s="77"/>
      <c r="H87" s="77"/>
      <c r="I87" s="77"/>
      <c r="J87" s="77"/>
      <c r="K87" s="77"/>
      <c r="L87" s="77"/>
      <c r="M87" s="77"/>
      <c r="N87" s="77"/>
      <c r="O87" s="77"/>
      <c r="P87" s="77"/>
      <c r="Q87" s="77"/>
    </row>
    <row r="88" spans="1:17" s="39" customFormat="1">
      <c r="A88" s="77"/>
      <c r="B88" s="77"/>
      <c r="C88" s="77"/>
      <c r="D88" s="77"/>
      <c r="E88" s="77"/>
      <c r="F88" s="77"/>
      <c r="G88" s="77"/>
      <c r="H88" s="77"/>
      <c r="I88" s="77"/>
      <c r="J88" s="77"/>
      <c r="K88" s="77"/>
      <c r="L88" s="77"/>
      <c r="M88" s="77"/>
      <c r="N88" s="77"/>
      <c r="O88" s="77"/>
      <c r="P88" s="77"/>
      <c r="Q88" s="77"/>
    </row>
    <row r="89" spans="1:17" s="39" customFormat="1">
      <c r="A89" s="77"/>
      <c r="B89" s="77"/>
      <c r="C89" s="77"/>
      <c r="D89" s="77"/>
      <c r="E89" s="77"/>
      <c r="F89" s="77"/>
      <c r="G89" s="77"/>
      <c r="H89" s="77"/>
      <c r="I89" s="77"/>
      <c r="J89" s="77"/>
      <c r="K89" s="77"/>
      <c r="L89" s="77"/>
      <c r="M89" s="77"/>
      <c r="N89" s="77"/>
      <c r="O89" s="77"/>
      <c r="P89" s="77"/>
      <c r="Q89" s="77"/>
    </row>
    <row r="90" spans="1:17" s="39" customFormat="1">
      <c r="A90" s="77"/>
      <c r="B90" s="77"/>
      <c r="C90" s="77"/>
      <c r="D90" s="77"/>
      <c r="E90" s="77"/>
      <c r="F90" s="77"/>
      <c r="G90" s="77"/>
      <c r="H90" s="77"/>
      <c r="I90" s="77"/>
      <c r="J90" s="77"/>
      <c r="K90" s="77"/>
      <c r="L90" s="77"/>
      <c r="M90" s="77"/>
      <c r="N90" s="77"/>
      <c r="O90" s="77"/>
      <c r="P90" s="77"/>
      <c r="Q90" s="77"/>
    </row>
    <row r="91" spans="1:17" s="39" customFormat="1">
      <c r="A91" s="77"/>
      <c r="B91" s="77"/>
      <c r="C91" s="77"/>
      <c r="D91" s="77"/>
      <c r="E91" s="77"/>
      <c r="F91" s="77"/>
      <c r="G91" s="77"/>
      <c r="H91" s="77"/>
      <c r="I91" s="77"/>
      <c r="J91" s="77"/>
      <c r="K91" s="77"/>
      <c r="L91" s="77"/>
      <c r="M91" s="77"/>
      <c r="N91" s="77"/>
      <c r="O91" s="77"/>
      <c r="P91" s="77"/>
      <c r="Q91" s="77"/>
    </row>
    <row r="92" spans="1:17" s="39" customFormat="1">
      <c r="A92" s="77"/>
      <c r="B92" s="77"/>
      <c r="C92" s="77"/>
      <c r="D92" s="77"/>
      <c r="E92" s="77"/>
      <c r="F92" s="77"/>
      <c r="G92" s="77"/>
      <c r="H92" s="77"/>
      <c r="I92" s="77"/>
      <c r="J92" s="77"/>
      <c r="K92" s="77"/>
      <c r="L92" s="77"/>
      <c r="M92" s="77"/>
      <c r="N92" s="77"/>
      <c r="O92" s="77"/>
      <c r="P92" s="77"/>
      <c r="Q92" s="77"/>
    </row>
    <row r="93" spans="1:17" s="39" customFormat="1">
      <c r="A93" s="77"/>
      <c r="B93" s="77"/>
      <c r="C93" s="77"/>
      <c r="D93" s="77"/>
      <c r="E93" s="77"/>
      <c r="F93" s="77"/>
      <c r="G93" s="77"/>
      <c r="H93" s="77"/>
      <c r="I93" s="77"/>
      <c r="J93" s="77"/>
      <c r="K93" s="77"/>
      <c r="L93" s="77"/>
      <c r="M93" s="77"/>
      <c r="N93" s="77"/>
      <c r="O93" s="77"/>
      <c r="P93" s="77"/>
      <c r="Q93" s="77"/>
    </row>
    <row r="94" spans="1:17" s="39" customFormat="1">
      <c r="A94" s="77"/>
      <c r="B94" s="77"/>
      <c r="C94" s="77"/>
      <c r="D94" s="77"/>
      <c r="E94" s="77"/>
      <c r="F94" s="77"/>
      <c r="G94" s="77"/>
      <c r="H94" s="77"/>
      <c r="I94" s="77"/>
      <c r="J94" s="77"/>
      <c r="K94" s="77"/>
      <c r="L94" s="77"/>
      <c r="M94" s="77"/>
      <c r="N94" s="77"/>
      <c r="O94" s="77"/>
      <c r="P94" s="77"/>
      <c r="Q94" s="77"/>
    </row>
    <row r="95" spans="1:17" s="39" customFormat="1">
      <c r="A95" s="77"/>
      <c r="B95" s="77"/>
      <c r="C95" s="77"/>
      <c r="D95" s="77"/>
      <c r="E95" s="77"/>
      <c r="F95" s="77"/>
      <c r="G95" s="77"/>
      <c r="H95" s="77"/>
      <c r="I95" s="77"/>
      <c r="J95" s="77"/>
      <c r="K95" s="77"/>
      <c r="L95" s="77"/>
      <c r="M95" s="77"/>
      <c r="N95" s="77"/>
      <c r="O95" s="77"/>
      <c r="P95" s="77"/>
      <c r="Q95" s="77"/>
    </row>
    <row r="96" spans="1:17" s="39" customFormat="1">
      <c r="A96" s="77"/>
      <c r="B96" s="77"/>
      <c r="C96" s="77"/>
      <c r="D96" s="77"/>
      <c r="E96" s="77"/>
      <c r="F96" s="77"/>
      <c r="G96" s="77"/>
      <c r="H96" s="77"/>
      <c r="I96" s="77"/>
      <c r="J96" s="77"/>
      <c r="K96" s="77"/>
      <c r="L96" s="77"/>
      <c r="M96" s="77"/>
      <c r="N96" s="77"/>
      <c r="O96" s="77"/>
      <c r="P96" s="77"/>
      <c r="Q96" s="77"/>
    </row>
    <row r="97" spans="1:17" s="39" customFormat="1">
      <c r="A97" s="77"/>
      <c r="B97" s="77"/>
      <c r="C97" s="77"/>
      <c r="D97" s="77"/>
      <c r="E97" s="77"/>
      <c r="F97" s="77"/>
      <c r="G97" s="77"/>
      <c r="H97" s="77"/>
      <c r="I97" s="77"/>
      <c r="J97" s="77"/>
      <c r="K97" s="77"/>
      <c r="L97" s="77"/>
      <c r="M97" s="77"/>
      <c r="N97" s="77"/>
      <c r="O97" s="77"/>
      <c r="P97" s="77"/>
      <c r="Q97" s="77"/>
    </row>
    <row r="98" spans="1:17" s="39" customFormat="1">
      <c r="A98" s="77"/>
      <c r="B98" s="77"/>
      <c r="C98" s="77"/>
      <c r="D98" s="77"/>
      <c r="E98" s="77"/>
      <c r="F98" s="77"/>
      <c r="G98" s="77"/>
      <c r="H98" s="77"/>
      <c r="I98" s="77"/>
      <c r="J98" s="77"/>
      <c r="K98" s="77"/>
      <c r="L98" s="77"/>
      <c r="M98" s="77"/>
      <c r="N98" s="77"/>
      <c r="O98" s="77"/>
      <c r="P98" s="77"/>
      <c r="Q98" s="77"/>
    </row>
    <row r="99" spans="1:17" s="39" customFormat="1">
      <c r="A99" s="77"/>
      <c r="B99" s="77"/>
      <c r="C99" s="77"/>
      <c r="D99" s="77"/>
      <c r="E99" s="77"/>
      <c r="F99" s="77"/>
      <c r="G99" s="77"/>
      <c r="H99" s="77"/>
      <c r="I99" s="77"/>
      <c r="J99" s="77"/>
      <c r="K99" s="77"/>
      <c r="L99" s="77"/>
      <c r="M99" s="77"/>
      <c r="N99" s="77"/>
      <c r="O99" s="77"/>
      <c r="P99" s="77"/>
      <c r="Q99" s="77"/>
    </row>
    <row r="100" spans="1:17" s="39" customFormat="1">
      <c r="A100" s="77"/>
      <c r="B100" s="77"/>
      <c r="C100" s="77"/>
      <c r="D100" s="77"/>
      <c r="E100" s="77"/>
      <c r="F100" s="77"/>
      <c r="G100" s="77"/>
      <c r="H100" s="77"/>
      <c r="I100" s="77"/>
      <c r="J100" s="77"/>
      <c r="K100" s="77"/>
      <c r="L100" s="77"/>
      <c r="M100" s="77"/>
      <c r="N100" s="77"/>
      <c r="O100" s="77"/>
      <c r="P100" s="77"/>
      <c r="Q100" s="77"/>
    </row>
    <row r="101" spans="1:17" s="39" customFormat="1">
      <c r="A101" s="77"/>
      <c r="B101" s="77"/>
      <c r="C101" s="77"/>
      <c r="D101" s="77"/>
      <c r="E101" s="77"/>
      <c r="F101" s="77"/>
      <c r="G101" s="77"/>
      <c r="H101" s="77"/>
      <c r="I101" s="77"/>
      <c r="J101" s="77"/>
      <c r="K101" s="77"/>
      <c r="L101" s="77"/>
      <c r="M101" s="77"/>
      <c r="N101" s="77"/>
      <c r="O101" s="77"/>
      <c r="P101" s="77"/>
      <c r="Q101" s="77"/>
    </row>
    <row r="102" spans="1:17" s="39" customFormat="1">
      <c r="A102" s="77"/>
      <c r="B102" s="77"/>
      <c r="C102" s="77"/>
      <c r="D102" s="77"/>
      <c r="E102" s="77"/>
      <c r="F102" s="77"/>
      <c r="G102" s="77"/>
      <c r="H102" s="77"/>
      <c r="I102" s="77"/>
      <c r="J102" s="77"/>
      <c r="K102" s="77"/>
      <c r="L102" s="77"/>
      <c r="M102" s="77"/>
      <c r="N102" s="77"/>
      <c r="O102" s="77"/>
      <c r="P102" s="77"/>
      <c r="Q102" s="77"/>
    </row>
    <row r="103" spans="1:17" s="39" customFormat="1">
      <c r="A103" s="77"/>
      <c r="B103" s="77"/>
      <c r="C103" s="77"/>
      <c r="D103" s="77"/>
      <c r="E103" s="77"/>
      <c r="F103" s="77"/>
      <c r="G103" s="77"/>
      <c r="H103" s="77"/>
      <c r="I103" s="77"/>
      <c r="J103" s="77"/>
      <c r="K103" s="77"/>
      <c r="L103" s="77"/>
      <c r="M103" s="77"/>
      <c r="N103" s="77"/>
      <c r="O103" s="77"/>
      <c r="P103" s="77"/>
      <c r="Q103" s="77"/>
    </row>
    <row r="104" spans="1:17" s="39" customFormat="1">
      <c r="A104" s="77"/>
      <c r="B104" s="77"/>
      <c r="C104" s="77"/>
      <c r="D104" s="77"/>
      <c r="E104" s="77"/>
      <c r="F104" s="77"/>
      <c r="G104" s="77"/>
      <c r="H104" s="77"/>
      <c r="I104" s="77"/>
      <c r="J104" s="77"/>
      <c r="K104" s="77"/>
      <c r="L104" s="77"/>
      <c r="M104" s="77"/>
      <c r="N104" s="77"/>
      <c r="O104" s="77"/>
      <c r="P104" s="77"/>
      <c r="Q104" s="77"/>
    </row>
    <row r="105" spans="1:17" s="39" customFormat="1">
      <c r="A105" s="77"/>
      <c r="B105" s="77"/>
      <c r="C105" s="77"/>
      <c r="D105" s="77"/>
      <c r="E105" s="77"/>
      <c r="F105" s="77"/>
      <c r="G105" s="77"/>
      <c r="H105" s="77"/>
      <c r="I105" s="77"/>
      <c r="J105" s="77"/>
      <c r="K105" s="77"/>
      <c r="L105" s="77"/>
      <c r="M105" s="77"/>
      <c r="N105" s="77"/>
      <c r="O105" s="77"/>
      <c r="P105" s="77"/>
      <c r="Q105" s="77"/>
    </row>
    <row r="106" spans="1:17" s="39" customFormat="1">
      <c r="A106" s="77"/>
      <c r="B106" s="77"/>
      <c r="C106" s="77"/>
      <c r="D106" s="77"/>
      <c r="E106" s="77"/>
      <c r="F106" s="77"/>
      <c r="G106" s="77"/>
      <c r="H106" s="77"/>
      <c r="I106" s="77"/>
      <c r="J106" s="77"/>
      <c r="K106" s="77"/>
      <c r="L106" s="77"/>
      <c r="M106" s="77"/>
      <c r="N106" s="77"/>
      <c r="O106" s="77"/>
      <c r="P106" s="77"/>
      <c r="Q106" s="77"/>
    </row>
    <row r="107" spans="1:17" s="39" customFormat="1">
      <c r="A107" s="77"/>
      <c r="B107" s="77"/>
      <c r="C107" s="77"/>
      <c r="D107" s="77"/>
      <c r="E107" s="77"/>
      <c r="F107" s="77"/>
      <c r="G107" s="77"/>
      <c r="H107" s="77"/>
      <c r="I107" s="77"/>
      <c r="J107" s="77"/>
      <c r="K107" s="77"/>
      <c r="L107" s="77"/>
      <c r="M107" s="77"/>
      <c r="N107" s="77"/>
      <c r="O107" s="77"/>
      <c r="P107" s="77"/>
      <c r="Q107" s="77"/>
    </row>
    <row r="108" spans="1:17" s="39" customFormat="1"/>
    <row r="109" spans="1:17" s="39" customFormat="1"/>
    <row r="110" spans="1:17" s="39" customFormat="1"/>
    <row r="111" spans="1:17" s="39" customFormat="1"/>
  </sheetData>
  <mergeCells count="2">
    <mergeCell ref="A1:Q1"/>
    <mergeCell ref="A3:B3"/>
  </mergeCells>
  <printOptions horizontalCentered="1" verticalCentered="1"/>
  <pageMargins left="0.39370078740157483" right="0.39370078740157483" top="0.23622047244094491" bottom="0.23622047244094491" header="0.31496062992125984" footer="0.31496062992125984"/>
  <pageSetup scale="50" orientation="landscape"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2">
    <tabColor rgb="FF7030A0"/>
    <pageSetUpPr fitToPage="1"/>
  </sheetPr>
  <dimension ref="A1:T111"/>
  <sheetViews>
    <sheetView showGridLines="0" view="pageBreakPreview" zoomScale="55" zoomScaleNormal="78" zoomScaleSheetLayoutView="55" workbookViewId="0">
      <pane ySplit="1" topLeftCell="A2" activePane="bottomLeft" state="frozen"/>
      <selection pane="bottomLeft" activeCell="S31" sqref="S31"/>
    </sheetView>
  </sheetViews>
  <sheetFormatPr baseColWidth="10" defaultColWidth="11.42578125" defaultRowHeight="15"/>
  <cols>
    <col min="1" max="1" width="22.85546875" style="77" customWidth="1"/>
    <col min="2" max="2" width="8.5703125" style="77" customWidth="1"/>
    <col min="3" max="3" width="10.28515625" style="77" customWidth="1"/>
    <col min="4" max="4" width="11.28515625" style="77" customWidth="1"/>
    <col min="5" max="5" width="12.140625" style="77" customWidth="1"/>
    <col min="6" max="6" width="13.85546875" style="77" customWidth="1"/>
    <col min="7" max="7" width="10.7109375" style="77" customWidth="1"/>
    <col min="8" max="8" width="12.85546875" style="77" customWidth="1"/>
    <col min="9" max="9" width="14.85546875" style="77" customWidth="1"/>
    <col min="10" max="10" width="14.7109375" style="77" customWidth="1"/>
    <col min="11" max="11" width="11" style="77" customWidth="1"/>
    <col min="12" max="12" width="13.85546875" style="77" customWidth="1"/>
    <col min="13" max="13" width="14.5703125" style="77" customWidth="1"/>
    <col min="14" max="14" width="16.42578125" style="77" customWidth="1"/>
    <col min="15" max="15" width="18.7109375" style="77" customWidth="1"/>
    <col min="16" max="16" width="16.28515625" style="77" customWidth="1"/>
    <col min="17" max="17" width="15.28515625" style="77" customWidth="1"/>
    <col min="18" max="18" width="12.140625" style="77" customWidth="1"/>
    <col min="19" max="19" width="20.28515625" style="77" customWidth="1"/>
    <col min="20" max="16384" width="11.42578125" style="77"/>
  </cols>
  <sheetData>
    <row r="1" spans="1:20" ht="85.5" customHeight="1">
      <c r="A1" s="2069"/>
      <c r="B1" s="2069"/>
      <c r="C1" s="2069"/>
      <c r="D1" s="2069"/>
      <c r="E1" s="2069"/>
      <c r="F1" s="2069"/>
      <c r="G1" s="2069"/>
      <c r="H1" s="2069"/>
      <c r="I1" s="2069"/>
      <c r="J1" s="2069"/>
      <c r="K1" s="2069"/>
      <c r="L1" s="2069"/>
      <c r="M1" s="2069"/>
      <c r="N1" s="2069"/>
      <c r="O1" s="2069"/>
      <c r="P1" s="2069"/>
      <c r="Q1" s="2069"/>
    </row>
    <row r="2" spans="1:20" s="38" customFormat="1" ht="12" customHeight="1">
      <c r="A2" s="2089" t="s">
        <v>623</v>
      </c>
      <c r="B2" s="2089"/>
      <c r="C2" s="2089"/>
      <c r="D2" s="2089"/>
      <c r="E2" s="2089"/>
      <c r="F2" s="2089"/>
      <c r="G2" s="2089"/>
      <c r="H2" s="2089"/>
      <c r="I2" s="2089"/>
      <c r="J2" s="2089"/>
      <c r="K2" s="2089"/>
      <c r="L2" s="2089"/>
      <c r="M2" s="2089"/>
      <c r="N2" s="2089"/>
      <c r="O2" s="2089"/>
      <c r="P2" s="2089"/>
      <c r="Q2" s="2089"/>
    </row>
    <row r="3" spans="1:20" s="39" customFormat="1" ht="23.25" customHeight="1">
      <c r="A3" s="2090" t="s">
        <v>213</v>
      </c>
      <c r="B3" s="2091"/>
      <c r="C3" s="2091"/>
      <c r="D3" s="2091"/>
      <c r="E3" s="2091"/>
      <c r="F3" s="2091"/>
      <c r="G3" s="2091"/>
      <c r="H3" s="2091"/>
      <c r="I3" s="2091"/>
      <c r="J3" s="2091"/>
      <c r="K3" s="2091"/>
      <c r="L3" s="2091"/>
      <c r="M3" s="2091"/>
      <c r="N3" s="2091"/>
      <c r="O3" s="2091"/>
      <c r="P3" s="2091"/>
      <c r="Q3" s="2092"/>
    </row>
    <row r="4" spans="1:20" s="187" customFormat="1" ht="33" customHeight="1">
      <c r="A4" s="385" t="s">
        <v>45</v>
      </c>
      <c r="B4" s="446" t="s">
        <v>84</v>
      </c>
      <c r="C4" s="446" t="s">
        <v>85</v>
      </c>
      <c r="D4" s="446" t="s">
        <v>86</v>
      </c>
      <c r="E4" s="446" t="s">
        <v>87</v>
      </c>
      <c r="F4" s="446" t="s">
        <v>88</v>
      </c>
      <c r="G4" s="446" t="s">
        <v>89</v>
      </c>
      <c r="H4" s="446" t="s">
        <v>90</v>
      </c>
      <c r="I4" s="312" t="s">
        <v>91</v>
      </c>
      <c r="J4" s="446" t="s">
        <v>92</v>
      </c>
      <c r="K4" s="385" t="s">
        <v>93</v>
      </c>
      <c r="L4" s="446" t="s">
        <v>94</v>
      </c>
      <c r="M4" s="312" t="s">
        <v>438</v>
      </c>
      <c r="N4" s="446" t="s">
        <v>83</v>
      </c>
      <c r="O4" s="312" t="s">
        <v>194</v>
      </c>
      <c r="P4" s="314" t="s">
        <v>97</v>
      </c>
      <c r="Q4" s="451" t="s">
        <v>98</v>
      </c>
      <c r="S4" s="722"/>
    </row>
    <row r="5" spans="1:20" s="39" customFormat="1" ht="15.75">
      <c r="A5" s="447">
        <v>2005</v>
      </c>
      <c r="B5" s="445">
        <v>0</v>
      </c>
      <c r="C5" s="445">
        <v>4</v>
      </c>
      <c r="D5" s="445">
        <v>279</v>
      </c>
      <c r="E5" s="445">
        <v>115</v>
      </c>
      <c r="F5" s="445">
        <v>0</v>
      </c>
      <c r="G5" s="445">
        <v>128</v>
      </c>
      <c r="H5" s="445">
        <v>3</v>
      </c>
      <c r="I5" s="445">
        <v>68</v>
      </c>
      <c r="J5" s="445">
        <v>136</v>
      </c>
      <c r="K5" s="450">
        <f t="shared" ref="K5:K15" si="0">SUM(B5:J5)</f>
        <v>733</v>
      </c>
      <c r="L5" s="445">
        <v>0</v>
      </c>
      <c r="M5" s="445">
        <v>0</v>
      </c>
      <c r="N5" s="445">
        <v>0</v>
      </c>
      <c r="O5" s="445">
        <v>0</v>
      </c>
      <c r="P5" s="452">
        <f>SUM(L5:O5)</f>
        <v>0</v>
      </c>
      <c r="Q5" s="450">
        <f>K5+P5</f>
        <v>733</v>
      </c>
      <c r="S5" s="187"/>
      <c r="T5" s="187"/>
    </row>
    <row r="6" spans="1:20" s="39" customFormat="1" ht="15.75">
      <c r="A6" s="447">
        <v>2006</v>
      </c>
      <c r="B6" s="445">
        <v>0</v>
      </c>
      <c r="C6" s="445">
        <v>19</v>
      </c>
      <c r="D6" s="445">
        <v>349</v>
      </c>
      <c r="E6" s="445">
        <v>176</v>
      </c>
      <c r="F6" s="445">
        <v>0</v>
      </c>
      <c r="G6" s="445">
        <v>1070</v>
      </c>
      <c r="H6" s="445">
        <v>19</v>
      </c>
      <c r="I6" s="445">
        <v>94</v>
      </c>
      <c r="J6" s="445">
        <v>112</v>
      </c>
      <c r="K6" s="450">
        <f t="shared" si="0"/>
        <v>1839</v>
      </c>
      <c r="L6" s="445">
        <v>0</v>
      </c>
      <c r="M6" s="445">
        <v>0</v>
      </c>
      <c r="N6" s="445">
        <v>0</v>
      </c>
      <c r="O6" s="445">
        <v>20</v>
      </c>
      <c r="P6" s="452">
        <f t="shared" ref="P6:P14" si="1">SUM(L6:O6)</f>
        <v>20</v>
      </c>
      <c r="Q6" s="450">
        <f>K6+P6</f>
        <v>1859</v>
      </c>
      <c r="S6" s="187"/>
      <c r="T6" s="187"/>
    </row>
    <row r="7" spans="1:20" s="39" customFormat="1" ht="15.75">
      <c r="A7" s="447">
        <v>2007</v>
      </c>
      <c r="B7" s="445">
        <v>0</v>
      </c>
      <c r="C7" s="445">
        <v>0</v>
      </c>
      <c r="D7" s="445">
        <v>57</v>
      </c>
      <c r="E7" s="445">
        <v>136</v>
      </c>
      <c r="F7" s="445">
        <v>0</v>
      </c>
      <c r="G7" s="445">
        <v>585</v>
      </c>
      <c r="H7" s="445">
        <v>8</v>
      </c>
      <c r="I7" s="445">
        <v>27</v>
      </c>
      <c r="J7" s="445">
        <v>434</v>
      </c>
      <c r="K7" s="450">
        <f t="shared" si="0"/>
        <v>1247</v>
      </c>
      <c r="L7" s="445">
        <v>0</v>
      </c>
      <c r="M7" s="445">
        <v>0</v>
      </c>
      <c r="N7" s="445">
        <v>0</v>
      </c>
      <c r="O7" s="445">
        <v>0</v>
      </c>
      <c r="P7" s="452">
        <f t="shared" si="1"/>
        <v>0</v>
      </c>
      <c r="Q7" s="450">
        <f>K7+P7</f>
        <v>1247</v>
      </c>
      <c r="S7" s="187"/>
      <c r="T7" s="187"/>
    </row>
    <row r="8" spans="1:20" s="39" customFormat="1" ht="15.75">
      <c r="A8" s="447">
        <v>2008</v>
      </c>
      <c r="B8" s="445">
        <v>0</v>
      </c>
      <c r="C8" s="445">
        <v>0</v>
      </c>
      <c r="D8" s="445">
        <v>0</v>
      </c>
      <c r="E8" s="445">
        <v>217</v>
      </c>
      <c r="F8" s="445">
        <v>0</v>
      </c>
      <c r="G8" s="445">
        <v>497</v>
      </c>
      <c r="H8" s="445">
        <v>3</v>
      </c>
      <c r="I8" s="445">
        <v>131</v>
      </c>
      <c r="J8" s="445">
        <v>180</v>
      </c>
      <c r="K8" s="450">
        <f t="shared" si="0"/>
        <v>1028</v>
      </c>
      <c r="L8" s="445">
        <v>0</v>
      </c>
      <c r="M8" s="445">
        <v>0</v>
      </c>
      <c r="N8" s="445">
        <v>0</v>
      </c>
      <c r="O8" s="445">
        <v>0</v>
      </c>
      <c r="P8" s="452">
        <f t="shared" si="1"/>
        <v>0</v>
      </c>
      <c r="Q8" s="450">
        <f>K8+P8</f>
        <v>1028</v>
      </c>
      <c r="S8" s="187"/>
      <c r="T8" s="187"/>
    </row>
    <row r="9" spans="1:20" s="39" customFormat="1" ht="15.75">
      <c r="A9" s="447">
        <v>2009</v>
      </c>
      <c r="B9" s="445">
        <v>0</v>
      </c>
      <c r="C9" s="445">
        <v>0</v>
      </c>
      <c r="D9" s="445">
        <v>0</v>
      </c>
      <c r="E9" s="445">
        <v>174</v>
      </c>
      <c r="F9" s="445">
        <v>0</v>
      </c>
      <c r="G9" s="445">
        <v>1232</v>
      </c>
      <c r="H9" s="445">
        <v>3</v>
      </c>
      <c r="I9" s="445">
        <v>52</v>
      </c>
      <c r="J9" s="445">
        <v>105</v>
      </c>
      <c r="K9" s="450">
        <f t="shared" si="0"/>
        <v>1566</v>
      </c>
      <c r="L9" s="445">
        <v>0</v>
      </c>
      <c r="M9" s="445">
        <v>0</v>
      </c>
      <c r="N9" s="445">
        <v>21139</v>
      </c>
      <c r="O9" s="445">
        <v>2582</v>
      </c>
      <c r="P9" s="452">
        <f t="shared" si="1"/>
        <v>23721</v>
      </c>
      <c r="Q9" s="450">
        <f>K9+P9</f>
        <v>25287</v>
      </c>
      <c r="S9" s="187"/>
      <c r="T9" s="187"/>
    </row>
    <row r="10" spans="1:20" s="39" customFormat="1" ht="15.75">
      <c r="A10" s="447">
        <v>2010</v>
      </c>
      <c r="B10" s="445">
        <v>0</v>
      </c>
      <c r="C10" s="445">
        <v>0</v>
      </c>
      <c r="D10" s="445">
        <v>0</v>
      </c>
      <c r="E10" s="445">
        <v>505</v>
      </c>
      <c r="F10" s="445">
        <v>0</v>
      </c>
      <c r="G10" s="445">
        <v>2471</v>
      </c>
      <c r="H10" s="445">
        <v>2</v>
      </c>
      <c r="I10" s="445">
        <v>116</v>
      </c>
      <c r="J10" s="445">
        <v>125</v>
      </c>
      <c r="K10" s="450">
        <f t="shared" si="0"/>
        <v>3219</v>
      </c>
      <c r="L10" s="445">
        <v>0</v>
      </c>
      <c r="M10" s="445">
        <v>1</v>
      </c>
      <c r="N10" s="445">
        <v>3310</v>
      </c>
      <c r="O10" s="445">
        <v>4114</v>
      </c>
      <c r="P10" s="452">
        <f t="shared" si="1"/>
        <v>7425</v>
      </c>
      <c r="Q10" s="450">
        <f t="shared" ref="Q10:Q15" si="2">K10+P10</f>
        <v>10644</v>
      </c>
      <c r="S10" s="187"/>
      <c r="T10" s="187"/>
    </row>
    <row r="11" spans="1:20" s="39" customFormat="1" ht="15.75">
      <c r="A11" s="447">
        <v>2011</v>
      </c>
      <c r="B11" s="445">
        <v>0</v>
      </c>
      <c r="C11" s="445">
        <v>0</v>
      </c>
      <c r="D11" s="445">
        <v>0</v>
      </c>
      <c r="E11" s="445">
        <v>572</v>
      </c>
      <c r="F11" s="445">
        <v>0</v>
      </c>
      <c r="G11" s="445">
        <v>3158</v>
      </c>
      <c r="H11" s="445">
        <v>8</v>
      </c>
      <c r="I11" s="445">
        <v>306</v>
      </c>
      <c r="J11" s="445">
        <v>247</v>
      </c>
      <c r="K11" s="450">
        <f t="shared" si="0"/>
        <v>4291</v>
      </c>
      <c r="L11" s="445">
        <v>0</v>
      </c>
      <c r="M11" s="445">
        <v>0</v>
      </c>
      <c r="N11" s="445">
        <v>1778</v>
      </c>
      <c r="O11" s="445">
        <v>199</v>
      </c>
      <c r="P11" s="452">
        <f t="shared" si="1"/>
        <v>1977</v>
      </c>
      <c r="Q11" s="450">
        <f t="shared" si="2"/>
        <v>6268</v>
      </c>
      <c r="S11" s="187"/>
      <c r="T11" s="187"/>
    </row>
    <row r="12" spans="1:20" s="39" customFormat="1" ht="15.75">
      <c r="A12" s="447" t="s">
        <v>482</v>
      </c>
      <c r="B12" s="445">
        <v>0</v>
      </c>
      <c r="C12" s="445">
        <v>0</v>
      </c>
      <c r="D12" s="445">
        <v>0</v>
      </c>
      <c r="E12" s="445">
        <v>1014</v>
      </c>
      <c r="F12" s="445">
        <v>0</v>
      </c>
      <c r="G12" s="445">
        <v>3741</v>
      </c>
      <c r="H12" s="445">
        <v>11</v>
      </c>
      <c r="I12" s="445">
        <v>1022</v>
      </c>
      <c r="J12" s="445">
        <v>783</v>
      </c>
      <c r="K12" s="450">
        <f t="shared" si="0"/>
        <v>6571</v>
      </c>
      <c r="L12" s="445">
        <v>0</v>
      </c>
      <c r="M12" s="445">
        <v>513</v>
      </c>
      <c r="N12" s="445">
        <v>2945</v>
      </c>
      <c r="O12" s="445">
        <v>17</v>
      </c>
      <c r="P12" s="452">
        <f t="shared" si="1"/>
        <v>3475</v>
      </c>
      <c r="Q12" s="450">
        <f t="shared" si="2"/>
        <v>10046</v>
      </c>
      <c r="S12" s="187"/>
      <c r="T12" s="187"/>
    </row>
    <row r="13" spans="1:20" s="39" customFormat="1" ht="15.75">
      <c r="A13" s="447" t="s">
        <v>561</v>
      </c>
      <c r="B13" s="445">
        <v>0</v>
      </c>
      <c r="C13" s="445">
        <v>0</v>
      </c>
      <c r="D13" s="445">
        <v>0</v>
      </c>
      <c r="E13" s="445">
        <v>1482</v>
      </c>
      <c r="F13" s="445">
        <v>0</v>
      </c>
      <c r="G13" s="445">
        <v>7614</v>
      </c>
      <c r="H13" s="445">
        <v>7</v>
      </c>
      <c r="I13" s="445">
        <v>1578</v>
      </c>
      <c r="J13" s="445">
        <v>1278</v>
      </c>
      <c r="K13" s="450">
        <f t="shared" si="0"/>
        <v>11959</v>
      </c>
      <c r="L13" s="445">
        <v>0</v>
      </c>
      <c r="M13" s="445">
        <v>0</v>
      </c>
      <c r="N13" s="445">
        <v>2249</v>
      </c>
      <c r="O13" s="445">
        <v>1532</v>
      </c>
      <c r="P13" s="452">
        <f t="shared" si="1"/>
        <v>3781</v>
      </c>
      <c r="Q13" s="450">
        <f t="shared" si="2"/>
        <v>15740</v>
      </c>
      <c r="S13" s="187"/>
      <c r="T13" s="187"/>
    </row>
    <row r="14" spans="1:20" s="39" customFormat="1" ht="15.75">
      <c r="A14" s="447" t="s">
        <v>569</v>
      </c>
      <c r="B14" s="445">
        <v>0</v>
      </c>
      <c r="C14" s="445">
        <v>0</v>
      </c>
      <c r="D14" s="445">
        <v>0</v>
      </c>
      <c r="E14" s="445">
        <f>233+2235</f>
        <v>2468</v>
      </c>
      <c r="F14" s="445">
        <v>0</v>
      </c>
      <c r="G14" s="445">
        <f>1369+13437</f>
        <v>14806</v>
      </c>
      <c r="H14" s="445">
        <f>127+641</f>
        <v>768</v>
      </c>
      <c r="I14" s="445">
        <f>298+4015</f>
        <v>4313</v>
      </c>
      <c r="J14" s="445">
        <f>232+2281</f>
        <v>2513</v>
      </c>
      <c r="K14" s="450">
        <f t="shared" si="0"/>
        <v>24868</v>
      </c>
      <c r="L14" s="445">
        <v>0</v>
      </c>
      <c r="M14" s="445">
        <v>0</v>
      </c>
      <c r="N14" s="445">
        <f>1036+5999</f>
        <v>7035</v>
      </c>
      <c r="O14" s="445">
        <v>462</v>
      </c>
      <c r="P14" s="452">
        <f t="shared" si="1"/>
        <v>7497</v>
      </c>
      <c r="Q14" s="450">
        <f t="shared" si="2"/>
        <v>32365</v>
      </c>
      <c r="S14" s="187"/>
      <c r="T14" s="187"/>
    </row>
    <row r="15" spans="1:20" s="39" customFormat="1" ht="15.75">
      <c r="A15" s="447" t="s">
        <v>1015</v>
      </c>
      <c r="B15" s="445">
        <v>0</v>
      </c>
      <c r="C15" s="445">
        <v>0</v>
      </c>
      <c r="D15" s="445">
        <v>0</v>
      </c>
      <c r="E15" s="445">
        <f>532+3193+753</f>
        <v>4478</v>
      </c>
      <c r="F15" s="445">
        <v>0</v>
      </c>
      <c r="G15" s="445">
        <f>14059+1752+2452</f>
        <v>18263</v>
      </c>
      <c r="H15" s="445">
        <f>768+82+111</f>
        <v>961</v>
      </c>
      <c r="I15" s="445">
        <f>3949+466+756</f>
        <v>5171</v>
      </c>
      <c r="J15" s="445">
        <f>2981+529+501</f>
        <v>4011</v>
      </c>
      <c r="K15" s="450">
        <f t="shared" si="0"/>
        <v>32884</v>
      </c>
      <c r="L15" s="445">
        <v>0</v>
      </c>
      <c r="M15" s="445">
        <v>11</v>
      </c>
      <c r="N15" s="445">
        <f>2319+1590+1203</f>
        <v>5112</v>
      </c>
      <c r="O15" s="445">
        <f>119+307</f>
        <v>426</v>
      </c>
      <c r="P15" s="452">
        <f>SUM(L15:O15)</f>
        <v>5549</v>
      </c>
      <c r="Q15" s="450">
        <f t="shared" si="2"/>
        <v>38433</v>
      </c>
      <c r="S15" s="187"/>
      <c r="T15" s="187"/>
    </row>
    <row r="16" spans="1:20" s="39" customFormat="1" ht="15.75">
      <c r="A16" s="385" t="s">
        <v>23</v>
      </c>
      <c r="B16" s="449">
        <f>SUM(B5:B15)</f>
        <v>0</v>
      </c>
      <c r="C16" s="449">
        <f t="shared" ref="C16:O16" si="3">SUM(C5:C15)</f>
        <v>23</v>
      </c>
      <c r="D16" s="449">
        <f t="shared" si="3"/>
        <v>685</v>
      </c>
      <c r="E16" s="449">
        <f t="shared" si="3"/>
        <v>11337</v>
      </c>
      <c r="F16" s="449">
        <f t="shared" si="3"/>
        <v>0</v>
      </c>
      <c r="G16" s="449">
        <f t="shared" si="3"/>
        <v>53565</v>
      </c>
      <c r="H16" s="449">
        <f t="shared" si="3"/>
        <v>1793</v>
      </c>
      <c r="I16" s="449">
        <f t="shared" si="3"/>
        <v>12878</v>
      </c>
      <c r="J16" s="449">
        <f t="shared" si="3"/>
        <v>9924</v>
      </c>
      <c r="K16" s="972">
        <f t="shared" si="3"/>
        <v>90205</v>
      </c>
      <c r="L16" s="449">
        <f t="shared" si="3"/>
        <v>0</v>
      </c>
      <c r="M16" s="449">
        <f>SUM(M5:M15)</f>
        <v>525</v>
      </c>
      <c r="N16" s="449">
        <f t="shared" si="3"/>
        <v>43568</v>
      </c>
      <c r="O16" s="449">
        <f t="shared" si="3"/>
        <v>9352</v>
      </c>
      <c r="P16" s="973">
        <f>SUM(P5:P15)</f>
        <v>53445</v>
      </c>
      <c r="Q16" s="972">
        <f>+Q15+Q14+Q13+Q12+Q11+Q10+Q9+Q8+Q7+Q6+Q5</f>
        <v>143650</v>
      </c>
      <c r="R16" s="722"/>
      <c r="S16" s="187"/>
      <c r="T16" s="187"/>
    </row>
    <row r="17" spans="1:20" s="39" customFormat="1">
      <c r="A17" s="96"/>
      <c r="B17" s="96"/>
      <c r="C17" s="96"/>
      <c r="D17" s="96"/>
      <c r="E17" s="77"/>
      <c r="F17" s="77"/>
      <c r="G17" s="77"/>
      <c r="H17" s="96"/>
      <c r="I17" s="96"/>
      <c r="J17" s="96"/>
      <c r="K17" s="96"/>
      <c r="L17" s="96" t="s">
        <v>209</v>
      </c>
      <c r="M17" s="96"/>
      <c r="N17" s="96"/>
      <c r="O17" s="96"/>
      <c r="P17" s="96"/>
      <c r="Q17" s="96"/>
      <c r="S17" s="187"/>
      <c r="T17" s="187"/>
    </row>
    <row r="18" spans="1:20" s="39" customFormat="1">
      <c r="A18" s="96"/>
      <c r="B18" s="96"/>
      <c r="C18" s="44"/>
      <c r="D18" s="44"/>
      <c r="E18" s="44"/>
      <c r="F18" s="44"/>
      <c r="G18" s="61"/>
      <c r="H18" s="44"/>
      <c r="I18" s="61"/>
      <c r="J18" s="44"/>
      <c r="K18" s="44"/>
      <c r="L18" s="44"/>
      <c r="M18" s="44"/>
      <c r="N18" s="44"/>
      <c r="O18" s="44"/>
      <c r="P18" s="61"/>
      <c r="Q18" s="24"/>
    </row>
    <row r="19" spans="1:20" s="39" customFormat="1">
      <c r="A19" s="96"/>
      <c r="B19" s="96"/>
      <c r="C19" s="44"/>
      <c r="D19" s="44"/>
      <c r="E19" s="44"/>
      <c r="F19" s="44"/>
      <c r="G19" s="61"/>
      <c r="H19" s="44"/>
      <c r="I19" s="61"/>
      <c r="J19" s="44"/>
      <c r="K19" s="44"/>
      <c r="L19" s="44"/>
      <c r="M19" s="61"/>
      <c r="N19" s="44"/>
      <c r="O19" s="44"/>
      <c r="P19" s="44"/>
      <c r="Q19" s="44"/>
    </row>
    <row r="20" spans="1:20" s="39" customFormat="1">
      <c r="A20" s="96"/>
      <c r="B20" s="96"/>
      <c r="C20" s="44"/>
      <c r="D20" s="44"/>
      <c r="E20" s="44"/>
      <c r="F20" s="44"/>
      <c r="G20" s="61"/>
      <c r="H20" s="44"/>
      <c r="I20" s="61"/>
      <c r="J20" s="44"/>
      <c r="K20" s="44"/>
      <c r="L20" s="44"/>
      <c r="M20" s="61"/>
      <c r="N20" s="44"/>
      <c r="O20" s="44"/>
      <c r="P20" s="44"/>
      <c r="Q20" s="44"/>
    </row>
    <row r="21" spans="1:20" s="39" customFormat="1">
      <c r="A21" s="96"/>
      <c r="B21" s="96"/>
      <c r="C21" s="44"/>
      <c r="D21" s="44"/>
      <c r="E21" s="44"/>
      <c r="F21" s="44"/>
      <c r="G21" s="61"/>
      <c r="H21" s="44"/>
      <c r="I21" s="61"/>
      <c r="J21" s="44"/>
      <c r="K21" s="44"/>
      <c r="L21" s="44"/>
      <c r="M21" s="44"/>
      <c r="N21" s="44"/>
      <c r="O21" s="44"/>
      <c r="P21" s="61"/>
      <c r="Q21" s="44"/>
    </row>
    <row r="22" spans="1:20" s="39" customFormat="1">
      <c r="A22" s="96"/>
      <c r="B22" s="96"/>
      <c r="C22" s="44"/>
      <c r="D22" s="44"/>
      <c r="E22" s="44"/>
      <c r="F22" s="44"/>
      <c r="G22" s="61"/>
      <c r="H22" s="44"/>
      <c r="I22" s="61"/>
      <c r="J22" s="44"/>
      <c r="K22" s="44"/>
      <c r="L22" s="44"/>
      <c r="M22" s="61"/>
      <c r="N22" s="44"/>
      <c r="O22" s="44"/>
      <c r="P22" s="61"/>
      <c r="Q22" s="61"/>
    </row>
    <row r="23" spans="1:20" s="39" customFormat="1">
      <c r="A23" s="96"/>
      <c r="B23" s="96"/>
      <c r="C23" s="44"/>
      <c r="D23" s="44"/>
      <c r="E23" s="44"/>
      <c r="F23" s="44"/>
      <c r="G23" s="44"/>
      <c r="H23" s="44"/>
      <c r="I23" s="61"/>
      <c r="J23" s="44"/>
      <c r="K23" s="61"/>
      <c r="L23" s="61"/>
      <c r="M23" s="44"/>
      <c r="N23" s="44"/>
      <c r="O23" s="44"/>
      <c r="P23" s="44"/>
      <c r="Q23" s="44"/>
    </row>
    <row r="24" spans="1:20" s="39" customFormat="1">
      <c r="A24" s="96"/>
      <c r="B24" s="96"/>
      <c r="C24" s="44"/>
      <c r="D24" s="44"/>
      <c r="E24" s="44"/>
      <c r="F24" s="44"/>
      <c r="G24" s="44"/>
      <c r="H24" s="44"/>
      <c r="I24" s="61"/>
      <c r="J24" s="44"/>
      <c r="K24" s="44"/>
      <c r="L24" s="44"/>
      <c r="M24" s="61"/>
      <c r="N24" s="44"/>
      <c r="O24" s="44"/>
      <c r="P24" s="44"/>
      <c r="Q24" s="61"/>
    </row>
    <row r="25" spans="1:20" s="39" customFormat="1">
      <c r="A25" s="96"/>
      <c r="B25" s="96"/>
      <c r="C25" s="44"/>
      <c r="D25" s="44"/>
      <c r="E25" s="44"/>
      <c r="F25" s="44"/>
      <c r="G25" s="61"/>
      <c r="H25" s="44"/>
      <c r="I25" s="61"/>
      <c r="J25" s="44"/>
      <c r="K25" s="44"/>
      <c r="L25" s="44"/>
      <c r="M25" s="61"/>
      <c r="N25" s="44"/>
      <c r="O25" s="44"/>
      <c r="P25" s="44"/>
      <c r="Q25" s="61"/>
    </row>
    <row r="26" spans="1:20" s="39" customFormat="1">
      <c r="A26" s="96"/>
      <c r="B26" s="96"/>
      <c r="C26" s="96"/>
      <c r="D26" s="25"/>
      <c r="E26" s="25"/>
      <c r="F26" s="25"/>
      <c r="G26" s="26"/>
      <c r="H26" s="25"/>
      <c r="I26" s="26"/>
      <c r="J26" s="25"/>
      <c r="K26" s="26"/>
      <c r="L26" s="26"/>
      <c r="M26" s="26"/>
      <c r="N26" s="25"/>
      <c r="O26" s="25"/>
      <c r="P26" s="25"/>
      <c r="Q26" s="27"/>
    </row>
    <row r="27" spans="1:20" s="39" customFormat="1">
      <c r="A27" s="96"/>
      <c r="B27" s="96"/>
      <c r="C27" s="44"/>
      <c r="D27" s="44"/>
      <c r="E27" s="44"/>
      <c r="F27" s="44"/>
      <c r="G27" s="61"/>
      <c r="H27" s="44"/>
      <c r="I27" s="61"/>
      <c r="J27" s="44"/>
      <c r="K27" s="44"/>
      <c r="L27" s="44"/>
      <c r="M27" s="61"/>
      <c r="N27" s="44"/>
      <c r="O27" s="44"/>
      <c r="P27" s="61"/>
      <c r="Q27" s="61"/>
    </row>
    <row r="28" spans="1:20" s="39" customFormat="1">
      <c r="A28" s="96"/>
      <c r="B28" s="96"/>
      <c r="C28" s="96"/>
      <c r="D28" s="96"/>
      <c r="E28" s="96"/>
      <c r="F28" s="96"/>
      <c r="G28" s="96"/>
      <c r="H28" s="96"/>
      <c r="I28" s="96"/>
      <c r="J28" s="96"/>
      <c r="K28" s="96"/>
      <c r="L28" s="96"/>
      <c r="M28" s="96"/>
      <c r="N28" s="96"/>
      <c r="O28" s="96"/>
      <c r="P28" s="96"/>
      <c r="Q28" s="96"/>
    </row>
    <row r="29" spans="1:20" s="39" customFormat="1">
      <c r="A29" s="96"/>
      <c r="B29" s="96"/>
      <c r="C29" s="96"/>
      <c r="D29" s="96"/>
      <c r="E29" s="96"/>
      <c r="F29" s="96"/>
      <c r="G29" s="96"/>
      <c r="H29" s="96"/>
      <c r="I29" s="96"/>
      <c r="J29" s="96"/>
      <c r="K29" s="96"/>
      <c r="L29" s="96"/>
      <c r="M29" s="96"/>
      <c r="N29" s="96"/>
      <c r="O29" s="96"/>
      <c r="P29" s="96"/>
      <c r="Q29" s="96"/>
    </row>
    <row r="30" spans="1:20" s="39" customFormat="1">
      <c r="A30" s="96"/>
      <c r="B30" s="96"/>
      <c r="C30" s="96"/>
      <c r="D30" s="96"/>
      <c r="E30" s="96"/>
      <c r="F30" s="96"/>
      <c r="G30" s="96"/>
      <c r="H30" s="96"/>
      <c r="I30" s="96"/>
      <c r="J30" s="96"/>
      <c r="K30" s="96"/>
      <c r="L30" s="96"/>
      <c r="M30" s="96"/>
      <c r="N30" s="96"/>
      <c r="O30" s="96"/>
      <c r="P30" s="96"/>
      <c r="Q30" s="96"/>
    </row>
    <row r="31" spans="1:20" s="39" customFormat="1">
      <c r="A31" s="96"/>
      <c r="B31" s="96"/>
      <c r="C31" s="96"/>
      <c r="D31" s="96"/>
      <c r="E31" s="96"/>
      <c r="F31" s="96"/>
      <c r="G31" s="96"/>
      <c r="H31" s="96"/>
      <c r="I31" s="96"/>
      <c r="J31" s="96"/>
      <c r="K31" s="96"/>
      <c r="L31" s="96"/>
      <c r="M31" s="96"/>
      <c r="N31" s="96"/>
      <c r="O31" s="96"/>
      <c r="P31" s="96"/>
      <c r="Q31" s="96"/>
    </row>
    <row r="32" spans="1:20" s="39" customFormat="1">
      <c r="A32" s="96"/>
      <c r="B32" s="96"/>
      <c r="C32" s="96"/>
      <c r="D32" s="96"/>
      <c r="E32" s="96"/>
      <c r="F32" s="96"/>
      <c r="G32" s="96"/>
      <c r="H32" s="96"/>
      <c r="I32" s="96"/>
      <c r="J32" s="96"/>
      <c r="K32" s="96"/>
      <c r="L32" s="96"/>
      <c r="M32" s="96"/>
      <c r="N32" s="96"/>
      <c r="O32" s="96"/>
      <c r="P32" s="96"/>
      <c r="Q32" s="96"/>
    </row>
    <row r="33" spans="1:17" s="39" customFormat="1">
      <c r="A33" s="96"/>
      <c r="B33" s="96"/>
      <c r="C33" s="96"/>
      <c r="D33" s="96"/>
      <c r="E33" s="96"/>
      <c r="F33" s="96"/>
      <c r="G33" s="96"/>
      <c r="H33" s="96"/>
      <c r="I33" s="96"/>
      <c r="J33" s="96"/>
      <c r="K33" s="96"/>
      <c r="L33" s="96"/>
      <c r="M33" s="96"/>
      <c r="N33" s="96"/>
      <c r="O33" s="96"/>
      <c r="P33" s="96"/>
      <c r="Q33" s="96"/>
    </row>
    <row r="34" spans="1:17" s="39" customFormat="1">
      <c r="A34" s="96"/>
      <c r="B34" s="96"/>
      <c r="C34" s="96"/>
      <c r="D34" s="96"/>
      <c r="E34" s="96"/>
      <c r="F34" s="96"/>
      <c r="G34" s="96"/>
      <c r="H34" s="96"/>
      <c r="I34" s="96"/>
      <c r="J34" s="96"/>
      <c r="K34" s="96"/>
      <c r="L34" s="96"/>
      <c r="M34" s="96"/>
      <c r="N34" s="96"/>
      <c r="O34" s="96"/>
      <c r="P34" s="96"/>
      <c r="Q34" s="96"/>
    </row>
    <row r="35" spans="1:17" s="39" customFormat="1">
      <c r="A35" s="96"/>
      <c r="B35" s="96"/>
      <c r="C35" s="96"/>
      <c r="D35" s="96"/>
      <c r="E35" s="96"/>
      <c r="F35" s="96"/>
      <c r="G35" s="96"/>
      <c r="H35" s="96"/>
      <c r="I35" s="96"/>
      <c r="J35" s="96"/>
      <c r="K35" s="96"/>
      <c r="L35" s="96"/>
      <c r="M35" s="96"/>
      <c r="N35" s="96"/>
      <c r="O35" s="96"/>
      <c r="P35" s="96"/>
      <c r="Q35" s="96"/>
    </row>
    <row r="36" spans="1:17" s="39" customFormat="1">
      <c r="A36" s="96"/>
      <c r="B36" s="96"/>
      <c r="C36" s="96"/>
      <c r="D36" s="96"/>
      <c r="E36" s="96"/>
      <c r="F36" s="96"/>
      <c r="G36" s="96"/>
      <c r="H36" s="96"/>
      <c r="I36" s="96"/>
      <c r="J36" s="96"/>
      <c r="K36" s="96"/>
      <c r="L36" s="96"/>
      <c r="M36" s="96"/>
      <c r="N36" s="96"/>
      <c r="O36" s="96"/>
      <c r="P36" s="96"/>
      <c r="Q36" s="96"/>
    </row>
    <row r="37" spans="1:17" s="39" customFormat="1">
      <c r="A37" s="77"/>
      <c r="B37" s="77"/>
      <c r="C37" s="77"/>
      <c r="D37" s="77"/>
      <c r="E37" s="77"/>
      <c r="F37" s="77"/>
      <c r="G37" s="77"/>
      <c r="H37" s="77"/>
      <c r="I37" s="77"/>
      <c r="J37" s="77"/>
      <c r="K37" s="77"/>
      <c r="L37" s="77"/>
      <c r="M37" s="77"/>
      <c r="N37" s="77"/>
      <c r="O37" s="77"/>
      <c r="P37" s="77"/>
      <c r="Q37" s="77"/>
    </row>
    <row r="38" spans="1:17" s="39" customFormat="1">
      <c r="A38" s="77"/>
      <c r="B38" s="77"/>
      <c r="C38" s="77"/>
      <c r="D38" s="77"/>
      <c r="E38" s="77"/>
      <c r="F38" s="77"/>
      <c r="G38" s="77"/>
      <c r="H38" s="77"/>
      <c r="I38" s="77"/>
      <c r="J38" s="77"/>
      <c r="K38" s="77"/>
      <c r="L38" s="77"/>
      <c r="M38" s="77"/>
      <c r="N38" s="77"/>
      <c r="O38" s="77"/>
      <c r="P38" s="77"/>
      <c r="Q38" s="77"/>
    </row>
    <row r="39" spans="1:17" s="39" customFormat="1">
      <c r="A39" s="77"/>
      <c r="B39" s="77"/>
      <c r="C39" s="77"/>
      <c r="D39" s="77"/>
      <c r="E39" s="77"/>
      <c r="F39" s="77"/>
      <c r="G39" s="77"/>
      <c r="H39" s="77"/>
      <c r="I39" s="77"/>
      <c r="J39" s="77"/>
      <c r="K39" s="77"/>
      <c r="L39" s="77"/>
      <c r="M39" s="77"/>
      <c r="N39" s="77"/>
      <c r="O39" s="77"/>
      <c r="P39" s="77"/>
      <c r="Q39" s="77"/>
    </row>
    <row r="40" spans="1:17" s="39" customFormat="1">
      <c r="A40" s="77"/>
      <c r="B40" s="77"/>
      <c r="C40" s="77"/>
      <c r="D40" s="77"/>
      <c r="E40" s="77"/>
      <c r="F40" s="77"/>
      <c r="G40" s="77"/>
      <c r="H40" s="77"/>
      <c r="I40" s="77"/>
      <c r="J40" s="77"/>
      <c r="K40" s="77"/>
      <c r="L40" s="77"/>
      <c r="M40" s="77"/>
      <c r="N40" s="77"/>
      <c r="O40" s="77"/>
      <c r="P40" s="77"/>
      <c r="Q40" s="77"/>
    </row>
    <row r="41" spans="1:17" s="39" customFormat="1">
      <c r="A41" s="77"/>
      <c r="B41" s="77"/>
      <c r="C41" s="77"/>
      <c r="D41" s="77"/>
      <c r="E41" s="77"/>
      <c r="F41" s="77"/>
      <c r="G41" s="77"/>
      <c r="H41" s="77"/>
      <c r="I41" s="77"/>
      <c r="J41" s="77"/>
      <c r="K41" s="77"/>
      <c r="L41" s="77"/>
      <c r="M41" s="77"/>
      <c r="N41" s="77"/>
      <c r="O41" s="77"/>
      <c r="P41" s="77"/>
      <c r="Q41" s="77"/>
    </row>
    <row r="42" spans="1:17" s="39" customFormat="1">
      <c r="A42" s="77"/>
      <c r="B42" s="77"/>
      <c r="C42" s="77"/>
      <c r="D42" s="77"/>
      <c r="E42" s="77"/>
      <c r="F42" s="77"/>
      <c r="G42" s="77"/>
      <c r="H42" s="77"/>
      <c r="I42" s="77"/>
      <c r="J42" s="77"/>
      <c r="K42" s="77"/>
      <c r="L42" s="77"/>
      <c r="M42" s="77"/>
      <c r="N42" s="77"/>
      <c r="O42" s="77"/>
      <c r="P42" s="77"/>
      <c r="Q42" s="77"/>
    </row>
    <row r="43" spans="1:17" s="39" customFormat="1">
      <c r="A43" s="77"/>
      <c r="B43" s="77"/>
      <c r="C43" s="77"/>
      <c r="D43" s="77"/>
      <c r="E43" s="77"/>
      <c r="F43" s="77"/>
      <c r="G43" s="77"/>
      <c r="H43" s="77"/>
      <c r="I43" s="77"/>
      <c r="J43" s="77"/>
      <c r="K43" s="77"/>
      <c r="L43" s="77"/>
      <c r="M43" s="77"/>
      <c r="N43" s="77"/>
      <c r="O43" s="77"/>
      <c r="P43" s="77"/>
      <c r="Q43" s="77"/>
    </row>
    <row r="44" spans="1:17" s="39" customFormat="1">
      <c r="A44" s="77"/>
      <c r="B44" s="77"/>
      <c r="C44" s="77"/>
      <c r="D44" s="77"/>
      <c r="E44" s="77"/>
      <c r="F44" s="77"/>
      <c r="G44" s="77"/>
      <c r="H44" s="77"/>
      <c r="I44" s="77"/>
      <c r="J44" s="77"/>
      <c r="K44" s="77"/>
      <c r="L44" s="77"/>
      <c r="M44" s="77"/>
      <c r="N44" s="77"/>
      <c r="O44" s="77"/>
      <c r="P44" s="77"/>
      <c r="Q44" s="77"/>
    </row>
    <row r="45" spans="1:17" s="39" customFormat="1">
      <c r="A45" s="77"/>
      <c r="B45" s="77"/>
      <c r="C45" s="77"/>
      <c r="D45" s="77"/>
      <c r="E45" s="77"/>
      <c r="F45" s="77"/>
      <c r="G45" s="77"/>
      <c r="H45" s="77"/>
      <c r="I45" s="77"/>
      <c r="J45" s="77"/>
      <c r="K45" s="77"/>
      <c r="L45" s="77"/>
      <c r="M45" s="77"/>
      <c r="N45" s="77"/>
      <c r="O45" s="77"/>
      <c r="P45" s="77"/>
      <c r="Q45" s="77"/>
    </row>
    <row r="46" spans="1:17" s="39" customFormat="1">
      <c r="A46" s="77"/>
      <c r="B46" s="77"/>
      <c r="C46" s="77"/>
      <c r="D46" s="77"/>
      <c r="E46" s="77"/>
      <c r="F46" s="77"/>
      <c r="G46" s="77"/>
      <c r="H46" s="77"/>
      <c r="I46" s="77"/>
      <c r="J46" s="77"/>
      <c r="K46" s="77"/>
      <c r="L46" s="77"/>
      <c r="M46" s="77"/>
      <c r="N46" s="77"/>
      <c r="O46" s="77"/>
      <c r="P46" s="77"/>
      <c r="Q46" s="77"/>
    </row>
    <row r="47" spans="1:17" s="39" customFormat="1">
      <c r="A47" s="77"/>
      <c r="B47" s="77"/>
      <c r="C47" s="77"/>
      <c r="D47" s="77"/>
      <c r="E47" s="77"/>
      <c r="F47" s="77"/>
      <c r="G47" s="77"/>
      <c r="H47" s="77"/>
      <c r="I47" s="77"/>
      <c r="J47" s="77"/>
      <c r="K47" s="77"/>
      <c r="L47" s="77"/>
      <c r="M47" s="77"/>
      <c r="N47" s="77"/>
      <c r="O47" s="77"/>
      <c r="P47" s="77"/>
      <c r="Q47" s="77"/>
    </row>
    <row r="48" spans="1:17" s="39" customFormat="1">
      <c r="A48" s="77"/>
      <c r="B48" s="77"/>
      <c r="C48" s="77"/>
      <c r="D48" s="77"/>
      <c r="E48" s="77"/>
      <c r="F48" s="77"/>
      <c r="G48" s="77"/>
      <c r="H48" s="77"/>
      <c r="I48" s="77"/>
      <c r="J48" s="77"/>
      <c r="K48" s="77"/>
      <c r="L48" s="77"/>
      <c r="M48" s="77"/>
      <c r="N48" s="77"/>
      <c r="O48" s="77"/>
      <c r="P48" s="77"/>
      <c r="Q48" s="77"/>
    </row>
    <row r="49" spans="1:17" s="39" customFormat="1">
      <c r="A49" s="77"/>
      <c r="B49" s="77"/>
      <c r="C49" s="77"/>
      <c r="D49" s="77"/>
      <c r="E49" s="77"/>
      <c r="F49" s="77"/>
      <c r="G49" s="77"/>
      <c r="H49" s="77"/>
      <c r="I49" s="77"/>
      <c r="J49" s="77"/>
      <c r="K49" s="77"/>
      <c r="L49" s="77"/>
      <c r="M49" s="77"/>
      <c r="N49" s="77"/>
      <c r="O49" s="77"/>
      <c r="P49" s="77"/>
      <c r="Q49" s="77"/>
    </row>
    <row r="50" spans="1:17" s="39" customFormat="1">
      <c r="A50" s="77"/>
      <c r="B50" s="77"/>
      <c r="C50" s="77"/>
      <c r="D50" s="77"/>
      <c r="E50" s="77"/>
      <c r="F50" s="77"/>
      <c r="G50" s="77"/>
      <c r="H50" s="77"/>
      <c r="I50" s="77"/>
      <c r="J50" s="77"/>
      <c r="K50" s="77"/>
      <c r="L50" s="77"/>
      <c r="M50" s="77"/>
      <c r="N50" s="77"/>
      <c r="O50" s="77"/>
      <c r="P50" s="77"/>
      <c r="Q50" s="77"/>
    </row>
    <row r="51" spans="1:17" s="39" customFormat="1">
      <c r="A51" s="77"/>
      <c r="B51" s="77"/>
      <c r="C51" s="77"/>
      <c r="D51" s="77"/>
      <c r="E51" s="77"/>
      <c r="F51" s="77"/>
      <c r="G51" s="77"/>
      <c r="H51" s="77"/>
      <c r="I51" s="77"/>
      <c r="J51" s="77"/>
      <c r="K51" s="77"/>
      <c r="L51" s="77"/>
      <c r="M51" s="77"/>
      <c r="N51" s="77"/>
      <c r="O51" s="77"/>
      <c r="P51" s="77"/>
      <c r="Q51" s="77"/>
    </row>
    <row r="52" spans="1:17" s="39" customFormat="1">
      <c r="A52" s="77"/>
      <c r="B52" s="77"/>
      <c r="C52" s="77"/>
      <c r="D52" s="77"/>
      <c r="E52" s="77"/>
      <c r="F52" s="77"/>
      <c r="G52" s="77"/>
      <c r="H52" s="77"/>
      <c r="I52" s="77"/>
      <c r="J52" s="77"/>
      <c r="K52" s="77"/>
      <c r="L52" s="77"/>
      <c r="M52" s="77"/>
      <c r="N52" s="77"/>
      <c r="O52" s="77"/>
      <c r="P52" s="77"/>
      <c r="Q52" s="77"/>
    </row>
    <row r="53" spans="1:17" s="39" customFormat="1">
      <c r="A53" s="77"/>
      <c r="B53" s="77"/>
      <c r="C53" s="77"/>
      <c r="D53" s="77"/>
      <c r="E53" s="77"/>
      <c r="F53" s="77"/>
      <c r="G53" s="77"/>
      <c r="H53" s="77"/>
      <c r="I53" s="77"/>
      <c r="J53" s="77"/>
      <c r="K53" s="77"/>
      <c r="L53" s="77"/>
      <c r="M53" s="77"/>
      <c r="N53" s="77"/>
      <c r="O53" s="77"/>
      <c r="P53" s="77"/>
      <c r="Q53" s="77"/>
    </row>
    <row r="54" spans="1:17" s="39" customFormat="1">
      <c r="A54" s="77"/>
      <c r="B54" s="77"/>
      <c r="C54" s="77"/>
      <c r="D54" s="77"/>
      <c r="E54" s="77"/>
      <c r="F54" s="77"/>
      <c r="G54" s="77"/>
      <c r="H54" s="77"/>
      <c r="I54" s="77"/>
      <c r="J54" s="77"/>
      <c r="K54" s="77"/>
      <c r="L54" s="77"/>
      <c r="M54" s="77"/>
      <c r="N54" s="77"/>
      <c r="O54" s="77"/>
      <c r="P54" s="77"/>
      <c r="Q54" s="77"/>
    </row>
    <row r="55" spans="1:17" s="39" customFormat="1">
      <c r="A55" s="77"/>
      <c r="B55" s="77"/>
      <c r="C55" s="77"/>
      <c r="D55" s="77"/>
      <c r="E55" s="77"/>
      <c r="F55" s="77"/>
      <c r="G55" s="77"/>
      <c r="H55" s="77"/>
      <c r="I55" s="77"/>
      <c r="J55" s="77"/>
      <c r="K55" s="77"/>
      <c r="L55" s="77"/>
      <c r="M55" s="77"/>
      <c r="N55" s="77"/>
      <c r="O55" s="77"/>
      <c r="P55" s="77"/>
      <c r="Q55" s="77"/>
    </row>
    <row r="56" spans="1:17" s="39" customFormat="1">
      <c r="A56" s="77"/>
      <c r="B56" s="77"/>
      <c r="C56" s="77"/>
      <c r="D56" s="77"/>
      <c r="E56" s="77"/>
      <c r="F56" s="77"/>
      <c r="G56" s="77"/>
      <c r="H56" s="77"/>
      <c r="I56" s="77"/>
      <c r="J56" s="77"/>
      <c r="K56" s="77"/>
      <c r="L56" s="77"/>
      <c r="M56" s="77"/>
      <c r="N56" s="77"/>
      <c r="O56" s="77"/>
      <c r="P56" s="77"/>
      <c r="Q56" s="77"/>
    </row>
    <row r="57" spans="1:17" s="39" customFormat="1">
      <c r="A57" s="77"/>
      <c r="B57" s="77"/>
      <c r="C57" s="77"/>
      <c r="D57" s="77"/>
      <c r="E57" s="77"/>
      <c r="F57" s="77"/>
      <c r="G57" s="77"/>
      <c r="H57" s="77"/>
      <c r="I57" s="77"/>
      <c r="J57" s="77"/>
      <c r="K57" s="77"/>
      <c r="L57" s="77"/>
      <c r="M57" s="77"/>
      <c r="N57" s="77"/>
      <c r="O57" s="77"/>
      <c r="P57" s="77"/>
      <c r="Q57" s="77"/>
    </row>
    <row r="58" spans="1:17" s="39" customFormat="1">
      <c r="A58" s="77"/>
      <c r="B58" s="77"/>
      <c r="C58" s="77"/>
      <c r="D58" s="77"/>
      <c r="E58" s="77"/>
      <c r="F58" s="77"/>
      <c r="G58" s="77"/>
      <c r="H58" s="77"/>
      <c r="I58" s="77"/>
      <c r="J58" s="77"/>
      <c r="K58" s="77"/>
      <c r="L58" s="77"/>
      <c r="M58" s="77"/>
      <c r="N58" s="77"/>
      <c r="O58" s="77"/>
      <c r="P58" s="77"/>
      <c r="Q58" s="77"/>
    </row>
    <row r="59" spans="1:17" s="39" customFormat="1">
      <c r="A59" s="77"/>
      <c r="B59" s="77"/>
      <c r="C59" s="77"/>
      <c r="D59" s="77"/>
      <c r="E59" s="77"/>
      <c r="F59" s="77"/>
      <c r="G59" s="77"/>
      <c r="H59" s="77"/>
      <c r="I59" s="77"/>
      <c r="J59" s="77"/>
      <c r="K59" s="77"/>
      <c r="L59" s="77"/>
      <c r="M59" s="77"/>
      <c r="N59" s="77"/>
      <c r="O59" s="77"/>
      <c r="P59" s="77"/>
      <c r="Q59" s="77"/>
    </row>
    <row r="60" spans="1:17" s="39" customFormat="1">
      <c r="A60" s="77"/>
      <c r="B60" s="77"/>
      <c r="C60" s="77"/>
      <c r="D60" s="77"/>
      <c r="E60" s="77"/>
      <c r="F60" s="77"/>
      <c r="G60" s="77"/>
      <c r="H60" s="77"/>
      <c r="I60" s="77"/>
      <c r="J60" s="77"/>
      <c r="K60" s="77"/>
      <c r="L60" s="77"/>
      <c r="M60" s="77"/>
      <c r="N60" s="77"/>
      <c r="O60" s="77"/>
      <c r="P60" s="77"/>
      <c r="Q60" s="77"/>
    </row>
    <row r="61" spans="1:17" s="39" customFormat="1">
      <c r="A61" s="77"/>
      <c r="B61" s="77"/>
      <c r="C61" s="77"/>
      <c r="D61" s="77"/>
      <c r="E61" s="77"/>
      <c r="F61" s="77"/>
      <c r="G61" s="77"/>
      <c r="H61" s="77"/>
      <c r="I61" s="77"/>
      <c r="J61" s="77"/>
      <c r="K61" s="77"/>
      <c r="L61" s="77"/>
      <c r="M61" s="77"/>
      <c r="N61" s="77"/>
      <c r="O61" s="77"/>
      <c r="P61" s="77"/>
      <c r="Q61" s="77"/>
    </row>
    <row r="62" spans="1:17" s="39" customFormat="1">
      <c r="A62" s="77"/>
      <c r="B62" s="77"/>
      <c r="C62" s="77"/>
      <c r="D62" s="77"/>
      <c r="E62" s="77"/>
      <c r="F62" s="77"/>
      <c r="G62" s="77"/>
      <c r="H62" s="77"/>
      <c r="I62" s="77"/>
      <c r="J62" s="77"/>
      <c r="K62" s="77"/>
      <c r="L62" s="77"/>
      <c r="M62" s="77"/>
      <c r="N62" s="77"/>
      <c r="O62" s="77"/>
      <c r="P62" s="77"/>
      <c r="Q62" s="77"/>
    </row>
    <row r="63" spans="1:17" s="39" customFormat="1">
      <c r="A63" s="77"/>
      <c r="B63" s="77"/>
      <c r="C63" s="77"/>
      <c r="D63" s="77"/>
      <c r="E63" s="77"/>
      <c r="F63" s="77"/>
      <c r="G63" s="77"/>
      <c r="H63" s="77"/>
      <c r="I63" s="77"/>
      <c r="J63" s="77"/>
      <c r="K63" s="77"/>
      <c r="L63" s="77"/>
      <c r="M63" s="77"/>
      <c r="N63" s="77"/>
      <c r="O63" s="77"/>
      <c r="P63" s="77"/>
      <c r="Q63" s="77"/>
    </row>
    <row r="64" spans="1:17" s="39" customFormat="1">
      <c r="A64" s="77"/>
      <c r="B64" s="77"/>
      <c r="C64" s="77"/>
      <c r="D64" s="77"/>
      <c r="E64" s="77"/>
      <c r="F64" s="77"/>
      <c r="G64" s="77"/>
      <c r="H64" s="77"/>
      <c r="I64" s="77"/>
      <c r="J64" s="77"/>
      <c r="K64" s="77"/>
      <c r="L64" s="77"/>
      <c r="M64" s="77"/>
      <c r="N64" s="77"/>
      <c r="O64" s="77"/>
      <c r="P64" s="77"/>
      <c r="Q64" s="77"/>
    </row>
    <row r="65" spans="1:17" s="39" customFormat="1">
      <c r="A65" s="77"/>
      <c r="B65" s="77"/>
      <c r="C65" s="77"/>
      <c r="D65" s="77"/>
      <c r="E65" s="77"/>
      <c r="F65" s="77"/>
      <c r="G65" s="77"/>
      <c r="H65" s="77"/>
      <c r="I65" s="77"/>
      <c r="J65" s="77"/>
      <c r="K65" s="77"/>
      <c r="L65" s="77"/>
      <c r="M65" s="77"/>
      <c r="N65" s="77"/>
      <c r="O65" s="77"/>
      <c r="P65" s="77"/>
      <c r="Q65" s="77"/>
    </row>
    <row r="66" spans="1:17" s="39" customFormat="1">
      <c r="A66" s="77"/>
      <c r="B66" s="77"/>
      <c r="C66" s="77"/>
      <c r="D66" s="77"/>
      <c r="E66" s="77"/>
      <c r="F66" s="77"/>
      <c r="G66" s="77"/>
      <c r="H66" s="77"/>
      <c r="I66" s="77"/>
      <c r="J66" s="77"/>
      <c r="K66" s="77"/>
      <c r="L66" s="77"/>
      <c r="M66" s="77"/>
      <c r="N66" s="77"/>
      <c r="O66" s="77"/>
      <c r="P66" s="77"/>
      <c r="Q66" s="77"/>
    </row>
    <row r="67" spans="1:17" s="39" customFormat="1">
      <c r="A67" s="77"/>
      <c r="B67" s="77"/>
      <c r="C67" s="77"/>
      <c r="D67" s="77"/>
      <c r="E67" s="77"/>
      <c r="F67" s="77"/>
      <c r="G67" s="77"/>
      <c r="H67" s="77"/>
      <c r="I67" s="77"/>
      <c r="J67" s="77"/>
      <c r="K67" s="77"/>
      <c r="L67" s="77"/>
      <c r="M67" s="77"/>
      <c r="N67" s="77"/>
      <c r="O67" s="77"/>
      <c r="P67" s="77"/>
      <c r="Q67" s="77"/>
    </row>
    <row r="68" spans="1:17" s="39" customFormat="1">
      <c r="A68" s="77"/>
      <c r="B68" s="77"/>
      <c r="C68" s="77"/>
      <c r="D68" s="77"/>
      <c r="E68" s="77"/>
      <c r="F68" s="77"/>
      <c r="G68" s="77"/>
      <c r="H68" s="77"/>
      <c r="I68" s="77"/>
      <c r="J68" s="77"/>
      <c r="K68" s="77"/>
      <c r="L68" s="77"/>
      <c r="M68" s="77"/>
      <c r="N68" s="77"/>
      <c r="O68" s="77"/>
      <c r="P68" s="77"/>
      <c r="Q68" s="77"/>
    </row>
    <row r="69" spans="1:17" s="39" customFormat="1">
      <c r="A69" s="77"/>
      <c r="B69" s="77"/>
      <c r="C69" s="77"/>
      <c r="D69" s="77"/>
      <c r="E69" s="77"/>
      <c r="F69" s="77"/>
      <c r="G69" s="77"/>
      <c r="H69" s="77"/>
      <c r="I69" s="77"/>
      <c r="J69" s="77"/>
      <c r="K69" s="77"/>
      <c r="L69" s="77"/>
      <c r="M69" s="77"/>
      <c r="N69" s="77"/>
      <c r="O69" s="77"/>
      <c r="P69" s="77"/>
      <c r="Q69" s="77"/>
    </row>
    <row r="70" spans="1:17" s="39" customFormat="1">
      <c r="A70" s="77"/>
      <c r="B70" s="77"/>
      <c r="C70" s="77"/>
      <c r="D70" s="77"/>
      <c r="E70" s="77"/>
      <c r="F70" s="77"/>
      <c r="G70" s="77"/>
      <c r="H70" s="77"/>
      <c r="I70" s="77"/>
      <c r="J70" s="77"/>
      <c r="K70" s="77"/>
      <c r="L70" s="77"/>
      <c r="M70" s="77"/>
      <c r="N70" s="77"/>
      <c r="O70" s="77"/>
      <c r="P70" s="77"/>
      <c r="Q70" s="77"/>
    </row>
    <row r="71" spans="1:17" s="39" customFormat="1">
      <c r="A71" s="77"/>
      <c r="B71" s="77"/>
      <c r="C71" s="77"/>
      <c r="D71" s="77"/>
      <c r="E71" s="77"/>
      <c r="F71" s="77"/>
      <c r="G71" s="77"/>
      <c r="H71" s="77"/>
      <c r="I71" s="77"/>
      <c r="J71" s="77"/>
      <c r="K71" s="77"/>
      <c r="L71" s="77"/>
      <c r="M71" s="77"/>
      <c r="N71" s="77"/>
      <c r="O71" s="77"/>
      <c r="P71" s="77"/>
      <c r="Q71" s="77"/>
    </row>
    <row r="72" spans="1:17" s="39" customFormat="1">
      <c r="A72" s="77"/>
      <c r="B72" s="77"/>
      <c r="C72" s="77"/>
      <c r="D72" s="77"/>
      <c r="E72" s="77"/>
      <c r="F72" s="77"/>
      <c r="G72" s="77"/>
      <c r="H72" s="77"/>
      <c r="I72" s="77"/>
      <c r="J72" s="77"/>
      <c r="K72" s="77"/>
      <c r="L72" s="77"/>
      <c r="M72" s="77"/>
      <c r="N72" s="77"/>
      <c r="O72" s="77"/>
      <c r="P72" s="77"/>
      <c r="Q72" s="77"/>
    </row>
    <row r="73" spans="1:17" s="39" customFormat="1">
      <c r="A73" s="77"/>
      <c r="B73" s="77"/>
      <c r="C73" s="77"/>
      <c r="D73" s="77"/>
      <c r="E73" s="77"/>
      <c r="F73" s="77"/>
      <c r="G73" s="77"/>
      <c r="H73" s="77"/>
      <c r="I73" s="77"/>
      <c r="J73" s="77"/>
      <c r="K73" s="77"/>
      <c r="L73" s="77"/>
      <c r="M73" s="77"/>
      <c r="N73" s="77"/>
      <c r="O73" s="77"/>
      <c r="P73" s="77"/>
      <c r="Q73" s="77"/>
    </row>
    <row r="74" spans="1:17" s="39" customFormat="1">
      <c r="A74" s="77"/>
      <c r="B74" s="77"/>
      <c r="C74" s="77"/>
      <c r="D74" s="77"/>
      <c r="E74" s="77"/>
      <c r="F74" s="77"/>
      <c r="G74" s="77"/>
      <c r="H74" s="77"/>
      <c r="I74" s="77"/>
      <c r="J74" s="77"/>
      <c r="K74" s="77"/>
      <c r="L74" s="77"/>
      <c r="M74" s="77"/>
      <c r="N74" s="77"/>
      <c r="O74" s="77"/>
      <c r="P74" s="77"/>
      <c r="Q74" s="77"/>
    </row>
    <row r="75" spans="1:17" s="39" customFormat="1">
      <c r="A75" s="77"/>
      <c r="B75" s="77"/>
      <c r="C75" s="77"/>
      <c r="D75" s="77"/>
      <c r="E75" s="77"/>
      <c r="F75" s="77"/>
      <c r="G75" s="77"/>
      <c r="H75" s="77"/>
      <c r="I75" s="77"/>
      <c r="J75" s="77"/>
      <c r="K75" s="77"/>
      <c r="L75" s="77"/>
      <c r="M75" s="77"/>
      <c r="N75" s="77"/>
      <c r="O75" s="77"/>
      <c r="P75" s="77"/>
      <c r="Q75" s="77"/>
    </row>
    <row r="76" spans="1:17" s="39" customFormat="1">
      <c r="A76" s="77"/>
      <c r="B76" s="77"/>
      <c r="C76" s="77"/>
      <c r="D76" s="77"/>
      <c r="E76" s="77"/>
      <c r="F76" s="77"/>
      <c r="G76" s="77"/>
      <c r="H76" s="77"/>
      <c r="I76" s="77"/>
      <c r="J76" s="77"/>
      <c r="K76" s="77"/>
      <c r="L76" s="77"/>
      <c r="M76" s="77"/>
      <c r="N76" s="77"/>
      <c r="O76" s="77"/>
      <c r="P76" s="77"/>
      <c r="Q76" s="77"/>
    </row>
    <row r="77" spans="1:17" s="39" customFormat="1">
      <c r="A77" s="77"/>
      <c r="B77" s="77"/>
      <c r="C77" s="77"/>
      <c r="D77" s="77"/>
      <c r="E77" s="77"/>
      <c r="F77" s="77"/>
      <c r="G77" s="77"/>
      <c r="H77" s="77"/>
      <c r="I77" s="77"/>
      <c r="J77" s="77"/>
      <c r="K77" s="77"/>
      <c r="L77" s="77"/>
      <c r="M77" s="77"/>
      <c r="N77" s="77"/>
      <c r="O77" s="77"/>
      <c r="P77" s="77"/>
      <c r="Q77" s="77"/>
    </row>
    <row r="78" spans="1:17" s="39" customFormat="1">
      <c r="A78" s="77"/>
      <c r="B78" s="77"/>
      <c r="C78" s="77"/>
      <c r="D78" s="77"/>
      <c r="E78" s="77"/>
      <c r="F78" s="77"/>
      <c r="G78" s="77"/>
      <c r="H78" s="77"/>
      <c r="I78" s="77"/>
      <c r="J78" s="77"/>
      <c r="K78" s="77"/>
      <c r="L78" s="77"/>
      <c r="M78" s="77"/>
      <c r="N78" s="77"/>
      <c r="O78" s="77"/>
      <c r="P78" s="77"/>
      <c r="Q78" s="77"/>
    </row>
    <row r="79" spans="1:17" s="39" customFormat="1">
      <c r="A79" s="77"/>
      <c r="B79" s="77"/>
      <c r="C79" s="77"/>
      <c r="D79" s="77"/>
      <c r="E79" s="77"/>
      <c r="F79" s="77"/>
      <c r="G79" s="77"/>
      <c r="H79" s="77"/>
      <c r="I79" s="77"/>
      <c r="J79" s="77"/>
      <c r="K79" s="77"/>
      <c r="L79" s="77"/>
      <c r="M79" s="77"/>
      <c r="N79" s="77"/>
      <c r="O79" s="77"/>
      <c r="P79" s="77"/>
      <c r="Q79" s="77"/>
    </row>
    <row r="80" spans="1:17" s="39" customFormat="1">
      <c r="A80" s="77"/>
      <c r="B80" s="77"/>
      <c r="C80" s="77"/>
      <c r="D80" s="77"/>
      <c r="E80" s="77"/>
      <c r="F80" s="77"/>
      <c r="G80" s="77"/>
      <c r="H80" s="77"/>
      <c r="I80" s="77"/>
      <c r="J80" s="77"/>
      <c r="K80" s="77"/>
      <c r="L80" s="77"/>
      <c r="M80" s="77"/>
      <c r="N80" s="77"/>
      <c r="O80" s="77"/>
      <c r="P80" s="77"/>
      <c r="Q80" s="77"/>
    </row>
    <row r="81" spans="1:17" s="39" customFormat="1">
      <c r="A81" s="77"/>
      <c r="B81" s="77"/>
      <c r="C81" s="77"/>
      <c r="D81" s="77"/>
      <c r="E81" s="77"/>
      <c r="F81" s="77"/>
      <c r="G81" s="77"/>
      <c r="H81" s="77"/>
      <c r="I81" s="77"/>
      <c r="J81" s="77"/>
      <c r="K81" s="77"/>
      <c r="L81" s="77"/>
      <c r="M81" s="77"/>
      <c r="N81" s="77"/>
      <c r="O81" s="77"/>
      <c r="P81" s="77"/>
      <c r="Q81" s="77"/>
    </row>
    <row r="82" spans="1:17" s="39" customFormat="1">
      <c r="A82" s="77"/>
      <c r="B82" s="77"/>
      <c r="C82" s="77"/>
      <c r="D82" s="77"/>
      <c r="E82" s="77"/>
      <c r="F82" s="77"/>
      <c r="G82" s="77"/>
      <c r="H82" s="77"/>
      <c r="I82" s="77"/>
      <c r="J82" s="77"/>
      <c r="K82" s="77"/>
      <c r="L82" s="77"/>
      <c r="M82" s="77"/>
      <c r="N82" s="77"/>
      <c r="O82" s="77"/>
      <c r="P82" s="77"/>
      <c r="Q82" s="77"/>
    </row>
    <row r="83" spans="1:17" s="39" customFormat="1">
      <c r="A83" s="77"/>
      <c r="B83" s="77"/>
      <c r="C83" s="77"/>
      <c r="D83" s="77"/>
      <c r="E83" s="77"/>
      <c r="F83" s="77"/>
      <c r="G83" s="77"/>
      <c r="H83" s="77"/>
      <c r="I83" s="77"/>
      <c r="J83" s="77"/>
      <c r="K83" s="77"/>
      <c r="L83" s="77"/>
      <c r="M83" s="77"/>
      <c r="N83" s="77"/>
      <c r="O83" s="77"/>
      <c r="P83" s="77"/>
      <c r="Q83" s="77"/>
    </row>
    <row r="84" spans="1:17" s="39" customFormat="1">
      <c r="A84" s="77"/>
      <c r="B84" s="77"/>
      <c r="C84" s="77"/>
      <c r="D84" s="77"/>
      <c r="E84" s="77"/>
      <c r="F84" s="77"/>
      <c r="G84" s="77"/>
      <c r="H84" s="77"/>
      <c r="I84" s="77"/>
      <c r="J84" s="77"/>
      <c r="K84" s="77"/>
      <c r="L84" s="77"/>
      <c r="M84" s="77"/>
      <c r="N84" s="77"/>
      <c r="O84" s="77"/>
      <c r="P84" s="77"/>
      <c r="Q84" s="77"/>
    </row>
    <row r="85" spans="1:17" s="39" customFormat="1">
      <c r="A85" s="77"/>
      <c r="B85" s="77"/>
      <c r="C85" s="77"/>
      <c r="D85" s="77"/>
      <c r="E85" s="77"/>
      <c r="F85" s="77"/>
      <c r="G85" s="77"/>
      <c r="H85" s="77"/>
      <c r="I85" s="77"/>
      <c r="J85" s="77"/>
      <c r="K85" s="77"/>
      <c r="L85" s="77"/>
      <c r="M85" s="77"/>
      <c r="N85" s="77"/>
      <c r="O85" s="77"/>
      <c r="P85" s="77"/>
      <c r="Q85" s="77"/>
    </row>
    <row r="86" spans="1:17" s="39" customFormat="1">
      <c r="A86" s="77"/>
      <c r="B86" s="77"/>
      <c r="C86" s="77"/>
      <c r="D86" s="77"/>
      <c r="E86" s="77"/>
      <c r="F86" s="77"/>
      <c r="G86" s="77"/>
      <c r="H86" s="77"/>
      <c r="I86" s="77"/>
      <c r="J86" s="77"/>
      <c r="K86" s="77"/>
      <c r="L86" s="77"/>
      <c r="M86" s="77"/>
      <c r="N86" s="77"/>
      <c r="O86" s="77"/>
      <c r="P86" s="77"/>
      <c r="Q86" s="77"/>
    </row>
    <row r="87" spans="1:17" s="39" customFormat="1">
      <c r="A87" s="77"/>
      <c r="B87" s="77"/>
      <c r="C87" s="77"/>
      <c r="D87" s="77"/>
      <c r="E87" s="77"/>
      <c r="F87" s="77"/>
      <c r="G87" s="77"/>
      <c r="H87" s="77"/>
      <c r="I87" s="77"/>
      <c r="J87" s="77"/>
      <c r="K87" s="77"/>
      <c r="L87" s="77"/>
      <c r="M87" s="77"/>
      <c r="N87" s="77"/>
      <c r="O87" s="77"/>
      <c r="P87" s="77"/>
      <c r="Q87" s="77"/>
    </row>
    <row r="88" spans="1:17" s="39" customFormat="1">
      <c r="A88" s="77"/>
      <c r="B88" s="77"/>
      <c r="C88" s="77"/>
      <c r="D88" s="77"/>
      <c r="E88" s="77"/>
      <c r="F88" s="77"/>
      <c r="G88" s="77"/>
      <c r="H88" s="77"/>
      <c r="I88" s="77"/>
      <c r="J88" s="77"/>
      <c r="K88" s="77"/>
      <c r="L88" s="77"/>
      <c r="M88" s="77"/>
      <c r="N88" s="77"/>
      <c r="O88" s="77"/>
      <c r="P88" s="77"/>
      <c r="Q88" s="77"/>
    </row>
    <row r="89" spans="1:17" s="39" customFormat="1">
      <c r="A89" s="77"/>
      <c r="B89" s="77"/>
      <c r="C89" s="77"/>
      <c r="D89" s="77"/>
      <c r="E89" s="77"/>
      <c r="F89" s="77"/>
      <c r="G89" s="77"/>
      <c r="H89" s="77"/>
      <c r="I89" s="77"/>
      <c r="J89" s="77"/>
      <c r="K89" s="77"/>
      <c r="L89" s="77"/>
      <c r="M89" s="77"/>
      <c r="N89" s="77"/>
      <c r="O89" s="77"/>
      <c r="P89" s="77"/>
      <c r="Q89" s="77"/>
    </row>
    <row r="90" spans="1:17" s="39" customFormat="1">
      <c r="A90" s="77"/>
      <c r="B90" s="77"/>
      <c r="C90" s="77"/>
      <c r="D90" s="77"/>
      <c r="E90" s="77"/>
      <c r="F90" s="77"/>
      <c r="G90" s="77"/>
      <c r="H90" s="77"/>
      <c r="I90" s="77"/>
      <c r="J90" s="77"/>
      <c r="K90" s="77"/>
      <c r="L90" s="77"/>
      <c r="M90" s="77"/>
      <c r="N90" s="77"/>
      <c r="O90" s="77"/>
      <c r="P90" s="77"/>
      <c r="Q90" s="77"/>
    </row>
    <row r="91" spans="1:17" s="39" customFormat="1">
      <c r="A91" s="77"/>
      <c r="B91" s="77"/>
      <c r="C91" s="77"/>
      <c r="D91" s="77"/>
      <c r="E91" s="77"/>
      <c r="F91" s="77"/>
      <c r="G91" s="77"/>
      <c r="H91" s="77"/>
      <c r="I91" s="77"/>
      <c r="J91" s="77"/>
      <c r="K91" s="77"/>
      <c r="L91" s="77"/>
      <c r="M91" s="77"/>
      <c r="N91" s="77"/>
      <c r="O91" s="77"/>
      <c r="P91" s="77"/>
      <c r="Q91" s="77"/>
    </row>
    <row r="92" spans="1:17" s="39" customFormat="1">
      <c r="A92" s="77"/>
      <c r="B92" s="77"/>
      <c r="C92" s="77"/>
      <c r="D92" s="77"/>
      <c r="E92" s="77"/>
      <c r="F92" s="77"/>
      <c r="G92" s="77"/>
      <c r="H92" s="77"/>
      <c r="I92" s="77"/>
      <c r="J92" s="77"/>
      <c r="K92" s="77"/>
      <c r="L92" s="77"/>
      <c r="M92" s="77"/>
      <c r="N92" s="77"/>
      <c r="O92" s="77"/>
      <c r="P92" s="77"/>
      <c r="Q92" s="77"/>
    </row>
    <row r="93" spans="1:17" s="39" customFormat="1">
      <c r="A93" s="77"/>
      <c r="B93" s="77"/>
      <c r="C93" s="77"/>
      <c r="D93" s="77"/>
      <c r="E93" s="77"/>
      <c r="F93" s="77"/>
      <c r="G93" s="77"/>
      <c r="H93" s="77"/>
      <c r="I93" s="77"/>
      <c r="J93" s="77"/>
      <c r="K93" s="77"/>
      <c r="L93" s="77"/>
      <c r="M93" s="77"/>
      <c r="N93" s="77"/>
      <c r="O93" s="77"/>
      <c r="P93" s="77"/>
      <c r="Q93" s="77"/>
    </row>
    <row r="94" spans="1:17" s="39" customFormat="1">
      <c r="A94" s="77"/>
      <c r="B94" s="77"/>
      <c r="C94" s="77"/>
      <c r="D94" s="77"/>
      <c r="E94" s="77"/>
      <c r="F94" s="77"/>
      <c r="G94" s="77"/>
      <c r="H94" s="77"/>
      <c r="I94" s="77"/>
      <c r="J94" s="77"/>
      <c r="K94" s="77"/>
      <c r="L94" s="77"/>
      <c r="M94" s="77"/>
      <c r="N94" s="77"/>
      <c r="O94" s="77"/>
      <c r="P94" s="77"/>
      <c r="Q94" s="77"/>
    </row>
    <row r="95" spans="1:17" s="39" customFormat="1">
      <c r="A95" s="77"/>
      <c r="B95" s="77"/>
      <c r="C95" s="77"/>
      <c r="D95" s="77"/>
      <c r="E95" s="77"/>
      <c r="F95" s="77"/>
      <c r="G95" s="77"/>
      <c r="H95" s="77"/>
      <c r="I95" s="77"/>
      <c r="J95" s="77"/>
      <c r="K95" s="77"/>
      <c r="L95" s="77"/>
      <c r="M95" s="77"/>
      <c r="N95" s="77"/>
      <c r="O95" s="77"/>
      <c r="P95" s="77"/>
      <c r="Q95" s="77"/>
    </row>
    <row r="96" spans="1:17" s="39" customFormat="1">
      <c r="A96" s="77"/>
      <c r="B96" s="77"/>
      <c r="C96" s="77"/>
      <c r="D96" s="77"/>
      <c r="E96" s="77"/>
      <c r="F96" s="77"/>
      <c r="G96" s="77"/>
      <c r="H96" s="77"/>
      <c r="I96" s="77"/>
      <c r="J96" s="77"/>
      <c r="K96" s="77"/>
      <c r="L96" s="77"/>
      <c r="M96" s="77"/>
      <c r="N96" s="77"/>
      <c r="O96" s="77"/>
      <c r="P96" s="77"/>
      <c r="Q96" s="77"/>
    </row>
    <row r="97" spans="1:17" s="39" customFormat="1">
      <c r="A97" s="77"/>
      <c r="B97" s="77"/>
      <c r="C97" s="77"/>
      <c r="D97" s="77"/>
      <c r="E97" s="77"/>
      <c r="F97" s="77"/>
      <c r="G97" s="77"/>
      <c r="H97" s="77"/>
      <c r="I97" s="77"/>
      <c r="J97" s="77"/>
      <c r="K97" s="77"/>
      <c r="L97" s="77"/>
      <c r="M97" s="77"/>
      <c r="N97" s="77"/>
      <c r="O97" s="77"/>
      <c r="P97" s="77"/>
      <c r="Q97" s="77"/>
    </row>
    <row r="98" spans="1:17" s="39" customFormat="1">
      <c r="A98" s="77"/>
      <c r="B98" s="77"/>
      <c r="C98" s="77"/>
      <c r="D98" s="77"/>
      <c r="E98" s="77"/>
      <c r="F98" s="77"/>
      <c r="G98" s="77"/>
      <c r="H98" s="77"/>
      <c r="I98" s="77"/>
      <c r="J98" s="77"/>
      <c r="K98" s="77"/>
      <c r="L98" s="77"/>
      <c r="M98" s="77"/>
      <c r="N98" s="77"/>
      <c r="O98" s="77"/>
      <c r="P98" s="77"/>
      <c r="Q98" s="77"/>
    </row>
    <row r="99" spans="1:17" s="39" customFormat="1">
      <c r="A99" s="77"/>
      <c r="B99" s="77"/>
      <c r="C99" s="77"/>
      <c r="D99" s="77"/>
      <c r="E99" s="77"/>
      <c r="F99" s="77"/>
      <c r="G99" s="77"/>
      <c r="H99" s="77"/>
      <c r="I99" s="77"/>
      <c r="J99" s="77"/>
      <c r="K99" s="77"/>
      <c r="L99" s="77"/>
      <c r="M99" s="77"/>
      <c r="N99" s="77"/>
      <c r="O99" s="77"/>
      <c r="P99" s="77"/>
      <c r="Q99" s="77"/>
    </row>
    <row r="100" spans="1:17" s="39" customFormat="1">
      <c r="A100" s="77"/>
      <c r="B100" s="77"/>
      <c r="C100" s="77"/>
      <c r="D100" s="77"/>
      <c r="E100" s="77"/>
      <c r="F100" s="77"/>
      <c r="G100" s="77"/>
      <c r="H100" s="77"/>
      <c r="I100" s="77"/>
      <c r="J100" s="77"/>
      <c r="K100" s="77"/>
      <c r="L100" s="77"/>
      <c r="M100" s="77"/>
      <c r="N100" s="77"/>
      <c r="O100" s="77"/>
      <c r="P100" s="77"/>
      <c r="Q100" s="77"/>
    </row>
    <row r="101" spans="1:17" s="39" customFormat="1">
      <c r="A101" s="77"/>
      <c r="B101" s="77"/>
      <c r="C101" s="77"/>
      <c r="D101" s="77"/>
      <c r="E101" s="77"/>
      <c r="F101" s="77"/>
      <c r="G101" s="77"/>
      <c r="H101" s="77"/>
      <c r="I101" s="77"/>
      <c r="J101" s="77"/>
      <c r="K101" s="77"/>
      <c r="L101" s="77"/>
      <c r="M101" s="77"/>
      <c r="N101" s="77"/>
      <c r="O101" s="77"/>
      <c r="P101" s="77"/>
      <c r="Q101" s="77"/>
    </row>
    <row r="102" spans="1:17" s="39" customFormat="1">
      <c r="A102" s="77"/>
      <c r="B102" s="77"/>
      <c r="C102" s="77"/>
      <c r="D102" s="77"/>
      <c r="E102" s="77"/>
      <c r="F102" s="77"/>
      <c r="G102" s="77"/>
      <c r="H102" s="77"/>
      <c r="I102" s="77"/>
      <c r="J102" s="77"/>
      <c r="K102" s="77"/>
      <c r="L102" s="77"/>
      <c r="M102" s="77"/>
      <c r="N102" s="77"/>
      <c r="O102" s="77"/>
      <c r="P102" s="77"/>
      <c r="Q102" s="77"/>
    </row>
    <row r="103" spans="1:17" s="39" customFormat="1">
      <c r="A103" s="77"/>
      <c r="B103" s="77"/>
      <c r="C103" s="77"/>
      <c r="D103" s="77"/>
      <c r="E103" s="77"/>
      <c r="F103" s="77"/>
      <c r="G103" s="77"/>
      <c r="H103" s="77"/>
      <c r="I103" s="77"/>
      <c r="J103" s="77"/>
      <c r="K103" s="77"/>
      <c r="L103" s="77"/>
      <c r="M103" s="77"/>
      <c r="N103" s="77"/>
      <c r="O103" s="77"/>
      <c r="P103" s="77"/>
      <c r="Q103" s="77"/>
    </row>
    <row r="104" spans="1:17" s="39" customFormat="1">
      <c r="A104" s="77"/>
      <c r="B104" s="77"/>
      <c r="C104" s="77"/>
      <c r="D104" s="77"/>
      <c r="E104" s="77"/>
      <c r="F104" s="77"/>
      <c r="G104" s="77"/>
      <c r="H104" s="77"/>
      <c r="I104" s="77"/>
      <c r="J104" s="77"/>
      <c r="K104" s="77"/>
      <c r="L104" s="77"/>
      <c r="M104" s="77"/>
      <c r="N104" s="77"/>
      <c r="O104" s="77"/>
      <c r="P104" s="77"/>
      <c r="Q104" s="77"/>
    </row>
    <row r="105" spans="1:17" s="39" customFormat="1">
      <c r="A105" s="77"/>
      <c r="B105" s="77"/>
      <c r="C105" s="77"/>
      <c r="D105" s="77"/>
      <c r="E105" s="77"/>
      <c r="F105" s="77"/>
      <c r="G105" s="77"/>
      <c r="H105" s="77"/>
      <c r="I105" s="77"/>
      <c r="J105" s="77"/>
      <c r="K105" s="77"/>
      <c r="L105" s="77"/>
      <c r="M105" s="77"/>
      <c r="N105" s="77"/>
      <c r="O105" s="77"/>
      <c r="P105" s="77"/>
      <c r="Q105" s="77"/>
    </row>
    <row r="106" spans="1:17" s="39" customFormat="1">
      <c r="A106" s="77"/>
      <c r="B106" s="77"/>
      <c r="C106" s="77"/>
      <c r="D106" s="77"/>
      <c r="E106" s="77"/>
      <c r="F106" s="77"/>
      <c r="G106" s="77"/>
      <c r="H106" s="77"/>
      <c r="I106" s="77"/>
      <c r="J106" s="77"/>
      <c r="K106" s="77"/>
      <c r="L106" s="77"/>
      <c r="M106" s="77"/>
      <c r="N106" s="77"/>
      <c r="O106" s="77"/>
      <c r="P106" s="77"/>
      <c r="Q106" s="77"/>
    </row>
    <row r="107" spans="1:17" s="39" customFormat="1">
      <c r="A107" s="77"/>
      <c r="B107" s="77"/>
      <c r="C107" s="77"/>
      <c r="D107" s="77"/>
      <c r="E107" s="77"/>
      <c r="F107" s="77"/>
      <c r="G107" s="77"/>
      <c r="H107" s="77"/>
      <c r="I107" s="77"/>
      <c r="J107" s="77"/>
      <c r="K107" s="77"/>
      <c r="L107" s="77"/>
      <c r="M107" s="77"/>
      <c r="N107" s="77"/>
      <c r="O107" s="77"/>
      <c r="P107" s="77"/>
      <c r="Q107" s="77"/>
    </row>
    <row r="108" spans="1:17" s="39" customFormat="1"/>
    <row r="109" spans="1:17" s="39" customFormat="1"/>
    <row r="110" spans="1:17" s="39" customFormat="1"/>
    <row r="111" spans="1:17">
      <c r="A111" s="39"/>
      <c r="B111" s="39"/>
      <c r="C111" s="39"/>
      <c r="D111" s="39"/>
      <c r="E111" s="39"/>
      <c r="F111" s="39"/>
      <c r="G111" s="39"/>
      <c r="H111" s="39"/>
      <c r="I111" s="39"/>
      <c r="J111" s="39"/>
      <c r="K111" s="39"/>
      <c r="L111" s="39"/>
      <c r="M111" s="39"/>
      <c r="N111" s="39"/>
      <c r="O111" s="39"/>
      <c r="P111" s="39"/>
      <c r="Q111" s="39"/>
    </row>
  </sheetData>
  <mergeCells count="3">
    <mergeCell ref="A1:Q1"/>
    <mergeCell ref="A2:Q2"/>
    <mergeCell ref="A3:Q3"/>
  </mergeCells>
  <printOptions horizontalCentered="1" verticalCentered="1"/>
  <pageMargins left="0.39370078740157483" right="0.39370078740157483" top="0.23622047244094491" bottom="0.23622047244094491" header="0.31496062992125984" footer="0.31496062992125984"/>
  <pageSetup scale="55" orientation="landscape"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3">
    <tabColor rgb="FF7030A0"/>
    <pageSetUpPr fitToPage="1"/>
  </sheetPr>
  <dimension ref="A1:S115"/>
  <sheetViews>
    <sheetView showGridLines="0" view="pageBreakPreview" zoomScale="70" zoomScaleNormal="40" zoomScaleSheetLayoutView="70" workbookViewId="0">
      <selection activeCell="A3" sqref="A3:Q3"/>
    </sheetView>
  </sheetViews>
  <sheetFormatPr baseColWidth="10" defaultColWidth="11.42578125" defaultRowHeight="15"/>
  <cols>
    <col min="1" max="1" width="17" style="77" customWidth="1"/>
    <col min="2" max="2" width="9.85546875" style="77" customWidth="1"/>
    <col min="3" max="3" width="11.42578125" style="77" customWidth="1"/>
    <col min="4" max="4" width="9.140625" style="77" customWidth="1"/>
    <col min="5" max="5" width="11.42578125" style="77" customWidth="1"/>
    <col min="6" max="6" width="11.140625" style="77" customWidth="1"/>
    <col min="7" max="7" width="12.140625" style="77" customWidth="1"/>
    <col min="8" max="10" width="10.5703125" style="77" customWidth="1"/>
    <col min="11" max="11" width="12.28515625" style="77" customWidth="1"/>
    <col min="12" max="12" width="14" style="77" customWidth="1"/>
    <col min="13" max="13" width="17" style="77" customWidth="1"/>
    <col min="14" max="14" width="13.85546875" style="77" customWidth="1"/>
    <col min="15" max="15" width="9.5703125" style="77" customWidth="1"/>
    <col min="16" max="16" width="10.42578125" style="77" customWidth="1"/>
    <col min="17" max="17" width="15.140625" style="77" customWidth="1"/>
    <col min="18" max="18" width="5.140625" style="77" customWidth="1"/>
    <col min="19" max="19" width="12.42578125" style="77" bestFit="1" customWidth="1"/>
    <col min="20" max="16384" width="11.42578125" style="77"/>
  </cols>
  <sheetData>
    <row r="1" spans="1:19" ht="78.75" customHeight="1">
      <c r="A1" s="2062"/>
      <c r="B1" s="2062"/>
      <c r="C1" s="2062"/>
      <c r="D1" s="2062"/>
      <c r="E1" s="2062"/>
      <c r="F1" s="2062"/>
      <c r="G1" s="2062"/>
      <c r="H1" s="2062"/>
      <c r="I1" s="2062"/>
      <c r="J1" s="2062"/>
      <c r="K1" s="2062"/>
      <c r="L1" s="2062"/>
      <c r="M1" s="2062"/>
      <c r="N1" s="2062"/>
      <c r="O1" s="2062"/>
      <c r="P1" s="2062"/>
      <c r="Q1" s="2062"/>
    </row>
    <row r="2" spans="1:19" ht="4.5" customHeight="1">
      <c r="A2" s="179"/>
      <c r="B2" s="179"/>
      <c r="C2" s="179"/>
      <c r="D2" s="179"/>
      <c r="E2" s="179"/>
      <c r="F2" s="179"/>
      <c r="G2" s="179"/>
      <c r="H2" s="179"/>
      <c r="I2" s="179"/>
      <c r="J2" s="179"/>
      <c r="K2" s="179"/>
      <c r="L2" s="179"/>
      <c r="M2" s="179"/>
      <c r="N2" s="179"/>
      <c r="O2" s="179"/>
      <c r="P2" s="179"/>
      <c r="Q2" s="179"/>
    </row>
    <row r="3" spans="1:19" s="39" customFormat="1" ht="21" customHeight="1">
      <c r="A3" s="2093" t="s">
        <v>168</v>
      </c>
      <c r="B3" s="2094"/>
      <c r="C3" s="2094"/>
      <c r="D3" s="2094"/>
      <c r="E3" s="2094"/>
      <c r="F3" s="2094"/>
      <c r="G3" s="2094"/>
      <c r="H3" s="2094"/>
      <c r="I3" s="2094"/>
      <c r="J3" s="2094"/>
      <c r="K3" s="2094"/>
      <c r="L3" s="2094"/>
      <c r="M3" s="2094"/>
      <c r="N3" s="2094"/>
      <c r="O3" s="2094"/>
      <c r="P3" s="2094"/>
      <c r="Q3" s="2095"/>
    </row>
    <row r="4" spans="1:19" s="39" customFormat="1" ht="33" customHeight="1">
      <c r="A4" s="461" t="s">
        <v>0</v>
      </c>
      <c r="B4" s="455" t="s">
        <v>84</v>
      </c>
      <c r="C4" s="455" t="s">
        <v>85</v>
      </c>
      <c r="D4" s="455" t="s">
        <v>86</v>
      </c>
      <c r="E4" s="455" t="s">
        <v>87</v>
      </c>
      <c r="F4" s="455" t="s">
        <v>88</v>
      </c>
      <c r="G4" s="455" t="s">
        <v>89</v>
      </c>
      <c r="H4" s="455" t="s">
        <v>90</v>
      </c>
      <c r="I4" s="456" t="s">
        <v>91</v>
      </c>
      <c r="J4" s="455" t="s">
        <v>92</v>
      </c>
      <c r="K4" s="448" t="s">
        <v>93</v>
      </c>
      <c r="L4" s="455" t="s">
        <v>94</v>
      </c>
      <c r="M4" s="455" t="s">
        <v>95</v>
      </c>
      <c r="N4" s="455" t="s">
        <v>83</v>
      </c>
      <c r="O4" s="455" t="s">
        <v>96</v>
      </c>
      <c r="P4" s="462" t="s">
        <v>97</v>
      </c>
      <c r="Q4" s="451" t="s">
        <v>98</v>
      </c>
    </row>
    <row r="5" spans="1:19" s="39" customFormat="1" ht="15.75">
      <c r="A5" s="447">
        <v>2005</v>
      </c>
      <c r="B5" s="453">
        <v>0</v>
      </c>
      <c r="C5" s="453">
        <v>57</v>
      </c>
      <c r="D5" s="453">
        <v>14</v>
      </c>
      <c r="E5" s="454">
        <v>135</v>
      </c>
      <c r="F5" s="453">
        <v>0</v>
      </c>
      <c r="G5" s="454">
        <v>76</v>
      </c>
      <c r="H5" s="453">
        <v>8</v>
      </c>
      <c r="I5" s="454">
        <v>133</v>
      </c>
      <c r="J5" s="454">
        <v>310</v>
      </c>
      <c r="K5" s="1107">
        <f t="shared" ref="K5:K14" si="0">SUM(B5:J5)</f>
        <v>733</v>
      </c>
      <c r="L5" s="453">
        <v>0</v>
      </c>
      <c r="M5" s="453">
        <v>0</v>
      </c>
      <c r="N5" s="453">
        <v>0</v>
      </c>
      <c r="O5" s="453">
        <v>0</v>
      </c>
      <c r="P5" s="1106">
        <f t="shared" ref="P5:P14" si="1">SUM(L5:O5)</f>
        <v>0</v>
      </c>
      <c r="Q5" s="1967">
        <f t="shared" ref="Q5:Q14" si="2">K5+P5</f>
        <v>733</v>
      </c>
      <c r="R5" s="53"/>
    </row>
    <row r="6" spans="1:19" s="39" customFormat="1" ht="15.75">
      <c r="A6" s="447">
        <v>2006</v>
      </c>
      <c r="B6" s="453">
        <v>0</v>
      </c>
      <c r="C6" s="453">
        <v>81</v>
      </c>
      <c r="D6" s="453">
        <v>13</v>
      </c>
      <c r="E6" s="454">
        <v>181</v>
      </c>
      <c r="F6" s="453">
        <v>0</v>
      </c>
      <c r="G6" s="454">
        <v>81</v>
      </c>
      <c r="H6" s="453">
        <v>5</v>
      </c>
      <c r="I6" s="454">
        <v>230</v>
      </c>
      <c r="J6" s="454">
        <v>290</v>
      </c>
      <c r="K6" s="459">
        <f t="shared" si="0"/>
        <v>881</v>
      </c>
      <c r="L6" s="453">
        <v>259</v>
      </c>
      <c r="M6" s="453">
        <v>719</v>
      </c>
      <c r="N6" s="453">
        <v>0</v>
      </c>
      <c r="O6" s="453">
        <v>0</v>
      </c>
      <c r="P6" s="460">
        <f t="shared" si="1"/>
        <v>978</v>
      </c>
      <c r="Q6" s="1968">
        <f t="shared" si="2"/>
        <v>1859</v>
      </c>
    </row>
    <row r="7" spans="1:19" s="39" customFormat="1" ht="15.75">
      <c r="A7" s="447">
        <v>2007</v>
      </c>
      <c r="B7" s="453">
        <v>0</v>
      </c>
      <c r="C7" s="453">
        <v>363</v>
      </c>
      <c r="D7" s="453">
        <v>10</v>
      </c>
      <c r="E7" s="454">
        <v>208</v>
      </c>
      <c r="F7" s="453">
        <v>0</v>
      </c>
      <c r="G7" s="454">
        <v>55</v>
      </c>
      <c r="H7" s="453">
        <v>8</v>
      </c>
      <c r="I7" s="454">
        <v>288</v>
      </c>
      <c r="J7" s="454">
        <v>213</v>
      </c>
      <c r="K7" s="459">
        <f t="shared" si="0"/>
        <v>1145</v>
      </c>
      <c r="L7" s="453">
        <v>25</v>
      </c>
      <c r="M7" s="453">
        <v>77</v>
      </c>
      <c r="N7" s="453">
        <v>0</v>
      </c>
      <c r="O7" s="453">
        <v>0</v>
      </c>
      <c r="P7" s="460">
        <f t="shared" si="1"/>
        <v>102</v>
      </c>
      <c r="Q7" s="1968">
        <f t="shared" si="2"/>
        <v>1247</v>
      </c>
    </row>
    <row r="8" spans="1:19" s="39" customFormat="1" ht="15.75">
      <c r="A8" s="447">
        <v>2008</v>
      </c>
      <c r="B8" s="453">
        <v>0</v>
      </c>
      <c r="C8" s="453">
        <v>0</v>
      </c>
      <c r="D8" s="453">
        <v>0</v>
      </c>
      <c r="E8" s="454">
        <v>288</v>
      </c>
      <c r="F8" s="453">
        <v>0</v>
      </c>
      <c r="G8" s="454">
        <v>65</v>
      </c>
      <c r="H8" s="453">
        <v>19</v>
      </c>
      <c r="I8" s="454">
        <v>362</v>
      </c>
      <c r="J8" s="454">
        <v>228</v>
      </c>
      <c r="K8" s="459">
        <f t="shared" si="0"/>
        <v>962</v>
      </c>
      <c r="L8" s="453">
        <v>7</v>
      </c>
      <c r="M8" s="453">
        <v>59</v>
      </c>
      <c r="N8" s="453">
        <v>0</v>
      </c>
      <c r="O8" s="453">
        <v>0</v>
      </c>
      <c r="P8" s="460">
        <f t="shared" si="1"/>
        <v>66</v>
      </c>
      <c r="Q8" s="1968">
        <f t="shared" si="2"/>
        <v>1028</v>
      </c>
    </row>
    <row r="9" spans="1:19" s="39" customFormat="1" ht="15.75">
      <c r="A9" s="447">
        <v>2009</v>
      </c>
      <c r="B9" s="453">
        <v>0</v>
      </c>
      <c r="C9" s="453">
        <v>0</v>
      </c>
      <c r="D9" s="453">
        <v>0</v>
      </c>
      <c r="E9" s="454">
        <v>5982</v>
      </c>
      <c r="F9" s="453">
        <v>0</v>
      </c>
      <c r="G9" s="454">
        <v>5612</v>
      </c>
      <c r="H9" s="453">
        <v>59</v>
      </c>
      <c r="I9" s="454">
        <v>9295</v>
      </c>
      <c r="J9" s="454">
        <v>4268</v>
      </c>
      <c r="K9" s="459">
        <f t="shared" si="0"/>
        <v>25216</v>
      </c>
      <c r="L9" s="453">
        <v>7</v>
      </c>
      <c r="M9" s="453">
        <v>64</v>
      </c>
      <c r="N9" s="453">
        <v>0</v>
      </c>
      <c r="O9" s="453">
        <v>0</v>
      </c>
      <c r="P9" s="460">
        <f t="shared" si="1"/>
        <v>71</v>
      </c>
      <c r="Q9" s="1968">
        <f t="shared" si="2"/>
        <v>25287</v>
      </c>
    </row>
    <row r="10" spans="1:19" s="39" customFormat="1" ht="15.75">
      <c r="A10" s="447">
        <v>2010</v>
      </c>
      <c r="B10" s="453">
        <v>0</v>
      </c>
      <c r="C10" s="453">
        <v>0</v>
      </c>
      <c r="D10" s="453">
        <v>0</v>
      </c>
      <c r="E10" s="454">
        <v>2345</v>
      </c>
      <c r="F10" s="453">
        <v>0</v>
      </c>
      <c r="G10" s="454">
        <v>3608</v>
      </c>
      <c r="H10" s="453">
        <v>22</v>
      </c>
      <c r="I10" s="454">
        <v>2869</v>
      </c>
      <c r="J10" s="454">
        <v>1752</v>
      </c>
      <c r="K10" s="459">
        <f t="shared" si="0"/>
        <v>10596</v>
      </c>
      <c r="L10" s="453">
        <v>5</v>
      </c>
      <c r="M10" s="453">
        <v>43</v>
      </c>
      <c r="N10" s="453">
        <v>0</v>
      </c>
      <c r="O10" s="453">
        <v>0</v>
      </c>
      <c r="P10" s="460">
        <f t="shared" si="1"/>
        <v>48</v>
      </c>
      <c r="Q10" s="1968">
        <f t="shared" si="2"/>
        <v>10644</v>
      </c>
      <c r="R10" s="111"/>
    </row>
    <row r="11" spans="1:19" s="39" customFormat="1" ht="15.75">
      <c r="A11" s="447">
        <v>2011</v>
      </c>
      <c r="B11" s="453">
        <v>0</v>
      </c>
      <c r="C11" s="453">
        <v>0</v>
      </c>
      <c r="D11" s="453">
        <v>0</v>
      </c>
      <c r="E11" s="454">
        <v>1603</v>
      </c>
      <c r="F11" s="453">
        <v>0</v>
      </c>
      <c r="G11" s="454">
        <v>1068</v>
      </c>
      <c r="H11" s="453">
        <v>23</v>
      </c>
      <c r="I11" s="454">
        <v>2173</v>
      </c>
      <c r="J11" s="454">
        <v>1337</v>
      </c>
      <c r="K11" s="459">
        <f t="shared" si="0"/>
        <v>6204</v>
      </c>
      <c r="L11" s="453">
        <v>23</v>
      </c>
      <c r="M11" s="453">
        <v>41</v>
      </c>
      <c r="N11" s="453">
        <v>0</v>
      </c>
      <c r="O11" s="453">
        <v>0</v>
      </c>
      <c r="P11" s="460">
        <f t="shared" si="1"/>
        <v>64</v>
      </c>
      <c r="Q11" s="1968">
        <f t="shared" si="2"/>
        <v>6268</v>
      </c>
      <c r="R11" s="111"/>
    </row>
    <row r="12" spans="1:19" s="39" customFormat="1" ht="15.75">
      <c r="A12" s="447" t="s">
        <v>482</v>
      </c>
      <c r="B12" s="453">
        <v>0</v>
      </c>
      <c r="C12" s="453">
        <v>0</v>
      </c>
      <c r="D12" s="453">
        <v>0</v>
      </c>
      <c r="E12" s="454">
        <v>2631</v>
      </c>
      <c r="F12" s="453">
        <v>0</v>
      </c>
      <c r="G12" s="454">
        <v>1755</v>
      </c>
      <c r="H12" s="453">
        <v>39</v>
      </c>
      <c r="I12" s="454">
        <v>3381</v>
      </c>
      <c r="J12" s="454">
        <v>2221</v>
      </c>
      <c r="K12" s="459">
        <f t="shared" si="0"/>
        <v>10027</v>
      </c>
      <c r="L12" s="453">
        <v>3</v>
      </c>
      <c r="M12" s="453">
        <v>16</v>
      </c>
      <c r="N12" s="453">
        <v>0</v>
      </c>
      <c r="O12" s="453">
        <v>0</v>
      </c>
      <c r="P12" s="460">
        <f t="shared" si="1"/>
        <v>19</v>
      </c>
      <c r="Q12" s="1968">
        <f t="shared" si="2"/>
        <v>10046</v>
      </c>
      <c r="R12" s="111"/>
    </row>
    <row r="13" spans="1:19" s="39" customFormat="1" ht="15.75">
      <c r="A13" s="447" t="s">
        <v>561</v>
      </c>
      <c r="B13" s="453">
        <v>0</v>
      </c>
      <c r="C13" s="453">
        <v>0</v>
      </c>
      <c r="D13" s="453">
        <v>0</v>
      </c>
      <c r="E13" s="454">
        <v>3642</v>
      </c>
      <c r="F13" s="453">
        <v>0</v>
      </c>
      <c r="G13" s="454">
        <v>3099</v>
      </c>
      <c r="H13" s="453">
        <v>33</v>
      </c>
      <c r="I13" s="454">
        <v>5417</v>
      </c>
      <c r="J13" s="454">
        <v>3510</v>
      </c>
      <c r="K13" s="459">
        <f t="shared" si="0"/>
        <v>15701</v>
      </c>
      <c r="L13" s="453">
        <v>7</v>
      </c>
      <c r="M13" s="453">
        <v>32</v>
      </c>
      <c r="N13" s="453">
        <v>0</v>
      </c>
      <c r="O13" s="453">
        <v>0</v>
      </c>
      <c r="P13" s="460">
        <f t="shared" si="1"/>
        <v>39</v>
      </c>
      <c r="Q13" s="1968">
        <f t="shared" si="2"/>
        <v>15740</v>
      </c>
      <c r="R13" s="111"/>
    </row>
    <row r="14" spans="1:19" s="39" customFormat="1" ht="15.75">
      <c r="A14" s="447" t="str">
        <f>+'[3]V.3.2 Trasp. recibidos'!A15</f>
        <v>2014</v>
      </c>
      <c r="B14" s="453">
        <v>0</v>
      </c>
      <c r="C14" s="453">
        <v>0</v>
      </c>
      <c r="D14" s="453">
        <v>0</v>
      </c>
      <c r="E14" s="454">
        <v>7753</v>
      </c>
      <c r="F14" s="453">
        <v>0</v>
      </c>
      <c r="G14" s="454">
        <v>7468</v>
      </c>
      <c r="H14" s="453">
        <f>14+93</f>
        <v>107</v>
      </c>
      <c r="I14" s="454">
        <v>11143</v>
      </c>
      <c r="J14" s="454">
        <v>5850</v>
      </c>
      <c r="K14" s="459">
        <f t="shared" si="0"/>
        <v>32321</v>
      </c>
      <c r="L14" s="453">
        <v>5</v>
      </c>
      <c r="M14" s="453">
        <f>3+29</f>
        <v>32</v>
      </c>
      <c r="N14" s="453">
        <v>0</v>
      </c>
      <c r="O14" s="453">
        <v>7</v>
      </c>
      <c r="P14" s="460">
        <f t="shared" si="1"/>
        <v>44</v>
      </c>
      <c r="Q14" s="1968">
        <f t="shared" si="2"/>
        <v>32365</v>
      </c>
      <c r="R14" s="111"/>
    </row>
    <row r="15" spans="1:19" s="39" customFormat="1" ht="15.75">
      <c r="A15" s="447" t="s">
        <v>1007</v>
      </c>
      <c r="B15" s="453">
        <v>0</v>
      </c>
      <c r="C15" s="453">
        <v>0</v>
      </c>
      <c r="D15" s="453">
        <v>0</v>
      </c>
      <c r="E15" s="454">
        <f>1557+6505+1510</f>
        <v>9572</v>
      </c>
      <c r="F15" s="453">
        <v>0</v>
      </c>
      <c r="G15" s="454">
        <f>1180+5298+1095</f>
        <v>7573</v>
      </c>
      <c r="H15" s="453">
        <f>18+124+25</f>
        <v>167</v>
      </c>
      <c r="I15" s="454">
        <f>1903+9268+1891</f>
        <v>13062</v>
      </c>
      <c r="J15" s="454">
        <f>1130+5562+1245</f>
        <v>7937</v>
      </c>
      <c r="K15" s="459">
        <f>SUM(B15:J15)</f>
        <v>38311</v>
      </c>
      <c r="L15" s="453">
        <v>2</v>
      </c>
      <c r="M15" s="453">
        <f>3+31+1</f>
        <v>35</v>
      </c>
      <c r="N15" s="453">
        <v>0</v>
      </c>
      <c r="O15" s="453">
        <f>8+68+9</f>
        <v>85</v>
      </c>
      <c r="P15" s="460">
        <f>SUM(L15:O15)</f>
        <v>122</v>
      </c>
      <c r="Q15" s="1968">
        <f>K15+P15</f>
        <v>38433</v>
      </c>
      <c r="R15" s="111"/>
    </row>
    <row r="16" spans="1:19" ht="15.75">
      <c r="A16" s="385" t="s">
        <v>23</v>
      </c>
      <c r="B16" s="774">
        <f>SUM(B5:B15)</f>
        <v>0</v>
      </c>
      <c r="C16" s="458">
        <f>SUM(C5:C15)</f>
        <v>501</v>
      </c>
      <c r="D16" s="458">
        <f t="shared" ref="D16:Q16" si="3">SUM(D5:D15)</f>
        <v>37</v>
      </c>
      <c r="E16" s="458">
        <f t="shared" si="3"/>
        <v>34340</v>
      </c>
      <c r="F16" s="458">
        <f t="shared" si="3"/>
        <v>0</v>
      </c>
      <c r="G16" s="458">
        <f t="shared" si="3"/>
        <v>30460</v>
      </c>
      <c r="H16" s="458">
        <f t="shared" si="3"/>
        <v>490</v>
      </c>
      <c r="I16" s="458">
        <f t="shared" si="3"/>
        <v>48353</v>
      </c>
      <c r="J16" s="458">
        <f t="shared" si="3"/>
        <v>27916</v>
      </c>
      <c r="K16" s="1108">
        <f>SUM(K5:K15)</f>
        <v>142097</v>
      </c>
      <c r="L16" s="458">
        <f t="shared" si="3"/>
        <v>343</v>
      </c>
      <c r="M16" s="458">
        <f t="shared" si="3"/>
        <v>1118</v>
      </c>
      <c r="N16" s="458">
        <f>SUM(N5:N15)</f>
        <v>0</v>
      </c>
      <c r="O16" s="458">
        <f t="shared" si="3"/>
        <v>92</v>
      </c>
      <c r="P16" s="774">
        <f t="shared" si="3"/>
        <v>1553</v>
      </c>
      <c r="Q16" s="1108">
        <f t="shared" si="3"/>
        <v>143650</v>
      </c>
      <c r="R16" s="111"/>
      <c r="S16" s="39"/>
    </row>
    <row r="17" spans="1:19" s="39" customFormat="1" ht="18" customHeight="1">
      <c r="A17" s="77"/>
      <c r="B17" s="77"/>
      <c r="C17" s="77"/>
      <c r="D17" s="77"/>
      <c r="E17" s="77"/>
      <c r="F17" s="77"/>
      <c r="G17" s="77"/>
      <c r="H17" s="77"/>
      <c r="I17" s="77"/>
      <c r="J17" s="77"/>
      <c r="K17" s="77"/>
      <c r="L17" s="77"/>
      <c r="M17" s="77"/>
      <c r="N17" s="77"/>
      <c r="O17" s="77"/>
      <c r="P17" s="77"/>
      <c r="Q17" s="77"/>
    </row>
    <row r="18" spans="1:19" s="39" customFormat="1">
      <c r="A18" s="96"/>
      <c r="B18" s="96"/>
      <c r="C18" s="96"/>
      <c r="D18" s="96"/>
      <c r="E18" s="96"/>
      <c r="F18" s="96"/>
      <c r="G18" s="96"/>
      <c r="H18" s="96"/>
      <c r="I18" s="96"/>
      <c r="J18" s="96"/>
      <c r="K18" s="96"/>
      <c r="L18" s="96"/>
      <c r="M18" s="96"/>
      <c r="N18" s="96"/>
      <c r="O18" s="96"/>
      <c r="P18" s="96"/>
      <c r="Q18" s="96"/>
    </row>
    <row r="19" spans="1:19" s="39" customFormat="1">
      <c r="A19" s="96"/>
      <c r="B19" s="96"/>
      <c r="C19" s="96"/>
      <c r="D19" s="96"/>
      <c r="E19" s="96"/>
      <c r="F19" s="96"/>
      <c r="G19" s="96"/>
      <c r="H19" s="96"/>
      <c r="I19" s="96"/>
      <c r="J19" s="96"/>
      <c r="K19" s="96"/>
      <c r="L19" s="96"/>
      <c r="M19" s="96"/>
      <c r="N19" s="96"/>
      <c r="O19" s="96"/>
      <c r="P19" s="96"/>
      <c r="Q19" s="96"/>
    </row>
    <row r="20" spans="1:19" s="39" customFormat="1">
      <c r="A20" s="96"/>
      <c r="B20" s="96"/>
      <c r="C20" s="96"/>
      <c r="D20" s="96"/>
      <c r="E20" s="96"/>
      <c r="F20" s="96"/>
      <c r="G20" s="96"/>
      <c r="H20" s="96"/>
      <c r="I20" s="96"/>
      <c r="J20" s="96"/>
      <c r="K20" s="96"/>
      <c r="L20" s="96"/>
      <c r="M20" s="96"/>
      <c r="N20" s="96"/>
      <c r="O20" s="96"/>
      <c r="P20" s="96"/>
      <c r="Q20" s="96"/>
    </row>
    <row r="21" spans="1:19" s="39" customFormat="1">
      <c r="A21" s="96"/>
      <c r="B21" s="96"/>
      <c r="C21" s="96"/>
      <c r="D21" s="96"/>
      <c r="E21" s="96"/>
      <c r="F21" s="96"/>
      <c r="G21" s="96"/>
      <c r="H21" s="96"/>
      <c r="I21" s="96"/>
      <c r="J21" s="96"/>
      <c r="K21" s="96"/>
      <c r="L21" s="96"/>
      <c r="M21" s="96"/>
      <c r="N21" s="96"/>
      <c r="O21" s="96"/>
      <c r="P21" s="96"/>
      <c r="Q21" s="96"/>
    </row>
    <row r="22" spans="1:19" s="39" customFormat="1">
      <c r="A22" s="96"/>
      <c r="B22" s="96"/>
      <c r="C22" s="96"/>
      <c r="D22" s="96"/>
      <c r="E22" s="96"/>
      <c r="F22" s="96"/>
      <c r="G22" s="96"/>
      <c r="H22" s="96"/>
      <c r="I22" s="96"/>
      <c r="J22" s="96"/>
      <c r="K22" s="96"/>
      <c r="L22" s="96"/>
      <c r="M22" s="96"/>
      <c r="N22" s="96"/>
      <c r="O22" s="96"/>
      <c r="P22" s="96"/>
      <c r="Q22" s="96"/>
    </row>
    <row r="23" spans="1:19" s="39" customFormat="1">
      <c r="A23" s="96"/>
      <c r="B23" s="96"/>
      <c r="C23" s="96"/>
      <c r="D23" s="96"/>
      <c r="E23" s="96"/>
      <c r="F23" s="96"/>
      <c r="G23" s="96"/>
      <c r="H23" s="96"/>
      <c r="I23" s="96"/>
      <c r="J23" s="96"/>
      <c r="K23" s="96"/>
      <c r="L23" s="96"/>
      <c r="M23" s="96"/>
      <c r="N23" s="96"/>
      <c r="O23" s="96"/>
      <c r="P23" s="96"/>
      <c r="Q23" s="96"/>
    </row>
    <row r="24" spans="1:19" s="39" customFormat="1">
      <c r="A24" s="96"/>
      <c r="B24" s="96"/>
      <c r="C24" s="96"/>
      <c r="D24" s="96"/>
      <c r="E24" s="96"/>
      <c r="F24" s="96"/>
      <c r="G24" s="96"/>
      <c r="H24" s="96"/>
      <c r="I24" s="96"/>
      <c r="J24" s="96"/>
      <c r="K24" s="96"/>
      <c r="L24" s="96"/>
      <c r="M24" s="96"/>
      <c r="N24" s="96"/>
      <c r="O24" s="96"/>
      <c r="P24" s="96"/>
      <c r="Q24" s="96"/>
    </row>
    <row r="25" spans="1:19" s="39" customFormat="1">
      <c r="A25" s="96"/>
      <c r="B25" s="96"/>
      <c r="C25" s="96"/>
      <c r="D25" s="96"/>
      <c r="E25" s="96"/>
      <c r="F25" s="96"/>
      <c r="G25" s="96"/>
      <c r="H25" s="96"/>
      <c r="I25" s="96"/>
      <c r="J25" s="96"/>
      <c r="K25" s="96"/>
      <c r="L25" s="96"/>
      <c r="M25" s="96"/>
      <c r="N25" s="96"/>
      <c r="O25" s="96"/>
      <c r="P25" s="96"/>
      <c r="Q25" s="96"/>
      <c r="S25" s="77"/>
    </row>
    <row r="26" spans="1:19" s="39" customFormat="1">
      <c r="A26" s="96"/>
      <c r="B26" s="96"/>
      <c r="C26" s="96"/>
      <c r="D26" s="96"/>
      <c r="E26" s="96"/>
      <c r="F26" s="96"/>
      <c r="G26" s="96"/>
      <c r="H26" s="96"/>
      <c r="I26" s="96"/>
      <c r="J26" s="96"/>
      <c r="K26" s="96"/>
      <c r="L26" s="96"/>
      <c r="M26" s="96"/>
      <c r="N26" s="96"/>
      <c r="O26" s="96"/>
      <c r="P26" s="96"/>
      <c r="Q26" s="96"/>
      <c r="S26" s="77"/>
    </row>
    <row r="27" spans="1:19" s="39" customFormat="1">
      <c r="A27" s="96"/>
      <c r="B27" s="96"/>
      <c r="C27" s="96"/>
      <c r="D27" s="96"/>
      <c r="E27" s="96"/>
      <c r="F27" s="96"/>
      <c r="G27" s="96"/>
      <c r="H27" s="96"/>
      <c r="I27" s="96"/>
      <c r="J27" s="96"/>
      <c r="K27" s="96"/>
      <c r="L27" s="96"/>
      <c r="M27" s="96"/>
      <c r="N27" s="96"/>
      <c r="O27" s="96"/>
      <c r="P27" s="96"/>
      <c r="Q27" s="96"/>
      <c r="S27" s="77"/>
    </row>
    <row r="28" spans="1:19" s="39" customFormat="1">
      <c r="A28" s="96"/>
      <c r="B28" s="96"/>
      <c r="C28" s="96"/>
      <c r="D28" s="96"/>
      <c r="E28" s="96"/>
      <c r="F28" s="96"/>
      <c r="G28" s="96"/>
      <c r="H28" s="96"/>
      <c r="I28" s="96"/>
      <c r="J28" s="96"/>
      <c r="K28" s="96"/>
      <c r="L28" s="96"/>
      <c r="M28" s="96"/>
      <c r="N28" s="96"/>
      <c r="O28" s="96"/>
      <c r="P28" s="96"/>
      <c r="Q28" s="96"/>
      <c r="S28" s="77"/>
    </row>
    <row r="29" spans="1:19" s="39" customFormat="1">
      <c r="A29" s="96"/>
      <c r="B29" s="96"/>
      <c r="C29" s="96"/>
      <c r="D29" s="96"/>
      <c r="E29" s="96"/>
      <c r="F29" s="96"/>
      <c r="G29" s="96"/>
      <c r="H29" s="96"/>
      <c r="I29" s="96"/>
      <c r="J29" s="96"/>
      <c r="K29" s="96"/>
      <c r="L29" s="96"/>
      <c r="M29" s="96"/>
      <c r="N29" s="96"/>
      <c r="O29" s="96"/>
      <c r="P29" s="96"/>
      <c r="Q29" s="96"/>
      <c r="S29" s="77"/>
    </row>
    <row r="30" spans="1:19" s="39" customFormat="1">
      <c r="A30" s="96"/>
      <c r="B30" s="96"/>
      <c r="C30" s="96"/>
      <c r="D30" s="96"/>
      <c r="E30" s="96"/>
      <c r="F30" s="96"/>
      <c r="G30" s="96"/>
      <c r="H30" s="96"/>
      <c r="I30" s="96"/>
      <c r="J30" s="96"/>
      <c r="K30" s="96"/>
      <c r="L30" s="96"/>
      <c r="M30" s="96"/>
      <c r="N30" s="96"/>
      <c r="O30" s="96"/>
      <c r="P30" s="96"/>
      <c r="Q30" s="96"/>
      <c r="S30" s="77"/>
    </row>
    <row r="31" spans="1:19" s="39" customFormat="1">
      <c r="A31" s="96"/>
      <c r="B31" s="11"/>
      <c r="C31" s="96"/>
      <c r="D31" s="96"/>
      <c r="E31" s="96"/>
      <c r="F31" s="96"/>
      <c r="G31" s="96"/>
      <c r="H31" s="96"/>
      <c r="I31" s="96"/>
      <c r="J31" s="96"/>
      <c r="K31" s="96"/>
      <c r="L31" s="96"/>
      <c r="M31" s="96"/>
      <c r="N31" s="96"/>
      <c r="O31" s="96"/>
      <c r="P31" s="96"/>
      <c r="Q31" s="96"/>
      <c r="S31" s="77"/>
    </row>
    <row r="32" spans="1:19" s="39" customFormat="1">
      <c r="A32" s="96"/>
      <c r="B32" s="10"/>
      <c r="C32" s="96"/>
      <c r="D32" s="96"/>
      <c r="E32" s="96"/>
      <c r="F32" s="96"/>
      <c r="G32" s="96"/>
      <c r="H32" s="96"/>
      <c r="I32" s="96"/>
      <c r="J32" s="96"/>
      <c r="K32" s="96"/>
      <c r="L32" s="96"/>
      <c r="M32" s="96"/>
      <c r="N32" s="96"/>
      <c r="O32" s="96"/>
      <c r="P32" s="96"/>
      <c r="Q32" s="96"/>
      <c r="S32" s="77"/>
    </row>
    <row r="33" spans="1:19" s="39" customFormat="1">
      <c r="A33" s="96"/>
      <c r="B33" s="28"/>
      <c r="C33" s="96"/>
      <c r="D33" s="96"/>
      <c r="E33" s="96"/>
      <c r="F33" s="96"/>
      <c r="G33" s="96"/>
      <c r="H33" s="96"/>
      <c r="I33" s="96"/>
      <c r="J33" s="96"/>
      <c r="K33" s="96"/>
      <c r="L33" s="96"/>
      <c r="M33" s="96"/>
      <c r="N33" s="96"/>
      <c r="O33" s="96"/>
      <c r="P33" s="96"/>
      <c r="Q33" s="96"/>
      <c r="S33" s="77"/>
    </row>
    <row r="34" spans="1:19" s="39" customFormat="1">
      <c r="A34" s="96"/>
      <c r="B34" s="96"/>
      <c r="C34" s="96"/>
      <c r="D34" s="96"/>
      <c r="E34" s="96"/>
      <c r="F34" s="96"/>
      <c r="G34" s="96"/>
      <c r="H34" s="96"/>
      <c r="I34" s="96"/>
      <c r="J34" s="96"/>
      <c r="K34" s="96"/>
      <c r="L34" s="96"/>
      <c r="M34" s="96"/>
      <c r="N34" s="96"/>
      <c r="O34" s="96"/>
      <c r="P34" s="96"/>
      <c r="Q34" s="96"/>
      <c r="S34" s="77"/>
    </row>
    <row r="35" spans="1:19" s="39" customFormat="1">
      <c r="A35" s="96"/>
      <c r="B35" s="96"/>
      <c r="C35" s="96"/>
      <c r="D35" s="96"/>
      <c r="E35" s="96"/>
      <c r="F35" s="96"/>
      <c r="G35" s="96"/>
      <c r="H35" s="96"/>
      <c r="I35" s="96"/>
      <c r="J35" s="96"/>
      <c r="K35" s="96"/>
      <c r="L35" s="96"/>
      <c r="M35" s="96"/>
      <c r="N35" s="96"/>
      <c r="O35" s="96"/>
      <c r="P35" s="96"/>
      <c r="Q35" s="96"/>
      <c r="S35" s="77"/>
    </row>
    <row r="36" spans="1:19" s="39" customFormat="1">
      <c r="A36" s="96"/>
      <c r="B36" s="96"/>
      <c r="C36" s="96"/>
      <c r="D36" s="96"/>
      <c r="E36" s="96"/>
      <c r="F36" s="96"/>
      <c r="G36" s="96"/>
      <c r="H36" s="96"/>
      <c r="I36" s="96"/>
      <c r="J36" s="96"/>
      <c r="K36" s="96"/>
      <c r="L36" s="96"/>
      <c r="M36" s="96"/>
      <c r="N36" s="96"/>
      <c r="O36" s="96"/>
      <c r="P36" s="96"/>
      <c r="Q36" s="96"/>
      <c r="S36" s="77"/>
    </row>
    <row r="37" spans="1:19" s="39" customFormat="1">
      <c r="A37" s="96"/>
      <c r="B37" s="96"/>
      <c r="C37" s="96"/>
      <c r="D37" s="96"/>
      <c r="E37" s="96"/>
      <c r="F37" s="96"/>
      <c r="G37" s="96"/>
      <c r="H37" s="96"/>
      <c r="I37" s="96"/>
      <c r="J37" s="96"/>
      <c r="K37" s="96"/>
      <c r="L37" s="96"/>
      <c r="M37" s="96"/>
      <c r="N37" s="96"/>
      <c r="O37" s="96"/>
      <c r="P37" s="96"/>
      <c r="Q37" s="96"/>
      <c r="S37" s="77"/>
    </row>
    <row r="38" spans="1:19" s="39" customFormat="1">
      <c r="A38" s="96"/>
      <c r="B38" s="96"/>
      <c r="C38" s="96"/>
      <c r="D38" s="96"/>
      <c r="E38" s="96"/>
      <c r="F38" s="96"/>
      <c r="G38" s="16"/>
      <c r="H38" s="96"/>
      <c r="I38" s="96"/>
      <c r="J38" s="96"/>
      <c r="K38" s="96"/>
      <c r="L38" s="96"/>
      <c r="M38" s="96"/>
      <c r="N38" s="96"/>
      <c r="O38" s="96"/>
      <c r="P38" s="96"/>
      <c r="Q38" s="96"/>
      <c r="S38" s="77"/>
    </row>
    <row r="39" spans="1:19" s="39" customFormat="1">
      <c r="A39" s="77"/>
      <c r="B39" s="77"/>
      <c r="C39" s="77"/>
      <c r="D39" s="77"/>
      <c r="E39" s="77"/>
      <c r="F39" s="77"/>
      <c r="G39" s="77"/>
      <c r="H39" s="77"/>
      <c r="I39" s="77"/>
      <c r="J39" s="77"/>
      <c r="K39" s="77"/>
      <c r="L39" s="77"/>
      <c r="M39" s="77"/>
      <c r="N39" s="77"/>
      <c r="O39" s="77"/>
      <c r="P39" s="77"/>
      <c r="Q39" s="77"/>
      <c r="S39" s="77"/>
    </row>
    <row r="40" spans="1:19" s="39" customFormat="1">
      <c r="A40" s="77"/>
      <c r="B40" s="77"/>
      <c r="C40" s="77"/>
      <c r="D40" s="77"/>
      <c r="E40" s="77"/>
      <c r="F40" s="77"/>
      <c r="G40" s="77"/>
      <c r="H40" s="77"/>
      <c r="I40" s="77"/>
      <c r="J40" s="77"/>
      <c r="K40" s="77"/>
      <c r="L40" s="77"/>
      <c r="M40" s="77"/>
      <c r="N40" s="77"/>
      <c r="O40" s="77"/>
      <c r="P40" s="77"/>
      <c r="Q40" s="77"/>
      <c r="S40" s="77"/>
    </row>
    <row r="41" spans="1:19" s="39" customFormat="1">
      <c r="A41" s="77"/>
      <c r="B41" s="77"/>
      <c r="C41" s="77"/>
      <c r="D41" s="77"/>
      <c r="E41" s="77"/>
      <c r="F41" s="77"/>
      <c r="G41" s="77"/>
      <c r="H41" s="77"/>
      <c r="I41" s="77"/>
      <c r="J41" s="77"/>
      <c r="K41" s="77"/>
      <c r="L41" s="77"/>
      <c r="M41" s="77"/>
      <c r="N41" s="77"/>
      <c r="O41" s="77"/>
      <c r="P41" s="77"/>
      <c r="Q41" s="77"/>
      <c r="S41" s="77"/>
    </row>
    <row r="42" spans="1:19" s="39" customFormat="1">
      <c r="A42" s="77"/>
      <c r="B42" s="77"/>
      <c r="C42" s="77"/>
      <c r="D42" s="77"/>
      <c r="E42" s="77"/>
      <c r="F42" s="77"/>
      <c r="G42" s="77"/>
      <c r="H42" s="77"/>
      <c r="I42" s="77"/>
      <c r="J42" s="77"/>
      <c r="K42" s="77"/>
      <c r="L42" s="77"/>
      <c r="M42" s="77"/>
      <c r="N42" s="77"/>
      <c r="O42" s="77"/>
      <c r="P42" s="77"/>
      <c r="Q42" s="77"/>
      <c r="S42" s="77"/>
    </row>
    <row r="43" spans="1:19" s="39" customFormat="1">
      <c r="A43" s="77"/>
      <c r="B43" s="77"/>
      <c r="C43" s="77"/>
      <c r="D43" s="77"/>
      <c r="E43" s="77"/>
      <c r="F43" s="77"/>
      <c r="G43" s="77"/>
      <c r="H43" s="77"/>
      <c r="I43" s="77"/>
      <c r="J43" s="77"/>
      <c r="K43" s="77"/>
      <c r="L43" s="77"/>
      <c r="M43" s="77"/>
      <c r="N43" s="77"/>
      <c r="O43" s="77"/>
      <c r="P43" s="77"/>
      <c r="Q43" s="77"/>
      <c r="S43" s="77"/>
    </row>
    <row r="44" spans="1:19" s="39" customFormat="1">
      <c r="A44" s="77"/>
      <c r="B44" s="77"/>
      <c r="C44" s="77"/>
      <c r="D44" s="77"/>
      <c r="E44" s="77"/>
      <c r="F44" s="77"/>
      <c r="G44" s="77"/>
      <c r="H44" s="77"/>
      <c r="I44" s="77"/>
      <c r="J44" s="77"/>
      <c r="K44" s="77"/>
      <c r="L44" s="77"/>
      <c r="M44" s="77"/>
      <c r="N44" s="77"/>
      <c r="O44" s="77"/>
      <c r="P44" s="77"/>
      <c r="Q44" s="77"/>
      <c r="S44" s="77"/>
    </row>
    <row r="45" spans="1:19" s="39" customFormat="1">
      <c r="A45" s="77"/>
      <c r="B45" s="77"/>
      <c r="C45" s="77"/>
      <c r="D45" s="77"/>
      <c r="E45" s="77"/>
      <c r="F45" s="77"/>
      <c r="G45" s="77"/>
      <c r="H45" s="77"/>
      <c r="I45" s="77"/>
      <c r="J45" s="77"/>
      <c r="K45" s="77"/>
      <c r="L45" s="77"/>
      <c r="M45" s="77"/>
      <c r="N45" s="77"/>
      <c r="O45" s="77"/>
      <c r="P45" s="77"/>
      <c r="Q45" s="77"/>
      <c r="S45" s="77"/>
    </row>
    <row r="46" spans="1:19" s="39" customFormat="1">
      <c r="A46" s="77"/>
      <c r="B46" s="77"/>
      <c r="C46" s="77"/>
      <c r="D46" s="77"/>
      <c r="E46" s="77"/>
      <c r="F46" s="77"/>
      <c r="G46" s="77"/>
      <c r="H46" s="77"/>
      <c r="I46" s="77"/>
      <c r="J46" s="77"/>
      <c r="K46" s="77"/>
      <c r="L46" s="77"/>
      <c r="M46" s="77"/>
      <c r="N46" s="77"/>
      <c r="O46" s="77"/>
      <c r="P46" s="77"/>
      <c r="Q46" s="77"/>
      <c r="S46" s="77"/>
    </row>
    <row r="47" spans="1:19" s="39" customFormat="1">
      <c r="A47" s="77"/>
      <c r="B47" s="77"/>
      <c r="C47" s="77"/>
      <c r="D47" s="77"/>
      <c r="E47" s="77"/>
      <c r="F47" s="77"/>
      <c r="G47" s="77"/>
      <c r="H47" s="77"/>
      <c r="I47" s="77"/>
      <c r="J47" s="77"/>
      <c r="K47" s="77"/>
      <c r="L47" s="77"/>
      <c r="M47" s="77"/>
      <c r="N47" s="77"/>
      <c r="O47" s="77"/>
      <c r="P47" s="77"/>
      <c r="Q47" s="77"/>
      <c r="S47" s="77"/>
    </row>
    <row r="48" spans="1:19" s="39" customFormat="1">
      <c r="A48" s="77"/>
      <c r="B48" s="77"/>
      <c r="C48" s="77"/>
      <c r="D48" s="77"/>
      <c r="E48" s="77"/>
      <c r="F48" s="77"/>
      <c r="G48" s="77"/>
      <c r="H48" s="77"/>
      <c r="I48" s="77"/>
      <c r="J48" s="77"/>
      <c r="K48" s="77"/>
      <c r="L48" s="77"/>
      <c r="M48" s="77"/>
      <c r="N48" s="77"/>
      <c r="O48" s="77"/>
      <c r="P48" s="77"/>
      <c r="Q48" s="77"/>
      <c r="S48" s="77"/>
    </row>
    <row r="49" spans="1:19" s="39" customFormat="1">
      <c r="A49" s="77"/>
      <c r="B49" s="77"/>
      <c r="C49" s="77"/>
      <c r="D49" s="77"/>
      <c r="E49" s="77"/>
      <c r="F49" s="77"/>
      <c r="G49" s="77"/>
      <c r="H49" s="77"/>
      <c r="I49" s="77"/>
      <c r="J49" s="77"/>
      <c r="K49" s="77"/>
      <c r="L49" s="77"/>
      <c r="M49" s="77"/>
      <c r="N49" s="77"/>
      <c r="O49" s="77"/>
      <c r="P49" s="77"/>
      <c r="Q49" s="77"/>
      <c r="S49" s="77"/>
    </row>
    <row r="50" spans="1:19" s="39" customFormat="1">
      <c r="A50" s="77"/>
      <c r="B50" s="77"/>
      <c r="C50" s="77"/>
      <c r="D50" s="77"/>
      <c r="E50" s="77"/>
      <c r="F50" s="77"/>
      <c r="G50" s="77"/>
      <c r="H50" s="77"/>
      <c r="I50" s="77"/>
      <c r="J50" s="77"/>
      <c r="K50" s="77"/>
      <c r="L50" s="77"/>
      <c r="M50" s="77"/>
      <c r="N50" s="77"/>
      <c r="O50" s="77"/>
      <c r="P50" s="77"/>
      <c r="Q50" s="77"/>
      <c r="S50" s="77"/>
    </row>
    <row r="51" spans="1:19" s="39" customFormat="1">
      <c r="A51" s="77"/>
      <c r="B51" s="77"/>
      <c r="C51" s="77"/>
      <c r="D51" s="77"/>
      <c r="E51" s="77"/>
      <c r="F51" s="77"/>
      <c r="G51" s="77"/>
      <c r="H51" s="77"/>
      <c r="I51" s="77"/>
      <c r="J51" s="77"/>
      <c r="K51" s="77"/>
      <c r="L51" s="77"/>
      <c r="M51" s="77"/>
      <c r="N51" s="77"/>
      <c r="O51" s="77"/>
      <c r="P51" s="77"/>
      <c r="Q51" s="77"/>
      <c r="S51" s="77"/>
    </row>
    <row r="52" spans="1:19" s="39" customFormat="1">
      <c r="A52" s="77"/>
      <c r="B52" s="77"/>
      <c r="C52" s="77"/>
      <c r="D52" s="77"/>
      <c r="E52" s="77"/>
      <c r="F52" s="77"/>
      <c r="G52" s="77"/>
      <c r="H52" s="77"/>
      <c r="I52" s="77"/>
      <c r="J52" s="77"/>
      <c r="K52" s="77"/>
      <c r="L52" s="77"/>
      <c r="M52" s="77"/>
      <c r="N52" s="77"/>
      <c r="O52" s="77"/>
      <c r="P52" s="77"/>
      <c r="Q52" s="77"/>
      <c r="S52" s="77"/>
    </row>
    <row r="53" spans="1:19" s="39" customFormat="1">
      <c r="A53" s="77"/>
      <c r="B53" s="77"/>
      <c r="C53" s="77"/>
      <c r="D53" s="77"/>
      <c r="E53" s="77"/>
      <c r="F53" s="77"/>
      <c r="G53" s="77"/>
      <c r="H53" s="77"/>
      <c r="I53" s="77"/>
      <c r="J53" s="77"/>
      <c r="K53" s="77"/>
      <c r="L53" s="77"/>
      <c r="M53" s="77"/>
      <c r="N53" s="77"/>
      <c r="O53" s="77"/>
      <c r="P53" s="77"/>
      <c r="Q53" s="77"/>
      <c r="S53" s="77"/>
    </row>
    <row r="54" spans="1:19" s="39" customFormat="1">
      <c r="A54" s="77"/>
      <c r="B54" s="77"/>
      <c r="C54" s="77"/>
      <c r="D54" s="77"/>
      <c r="E54" s="77"/>
      <c r="F54" s="77"/>
      <c r="G54" s="77"/>
      <c r="H54" s="77"/>
      <c r="I54" s="77"/>
      <c r="J54" s="77"/>
      <c r="K54" s="77"/>
      <c r="L54" s="77"/>
      <c r="M54" s="77"/>
      <c r="N54" s="77"/>
      <c r="O54" s="77"/>
      <c r="P54" s="77"/>
      <c r="Q54" s="77"/>
      <c r="S54" s="77"/>
    </row>
    <row r="55" spans="1:19" s="39" customFormat="1">
      <c r="A55" s="77"/>
      <c r="B55" s="77"/>
      <c r="C55" s="77"/>
      <c r="D55" s="77"/>
      <c r="E55" s="77"/>
      <c r="F55" s="77"/>
      <c r="G55" s="77"/>
      <c r="H55" s="77"/>
      <c r="I55" s="77"/>
      <c r="J55" s="77"/>
      <c r="K55" s="77"/>
      <c r="L55" s="77"/>
      <c r="M55" s="77"/>
      <c r="N55" s="77"/>
      <c r="O55" s="77"/>
      <c r="P55" s="77"/>
      <c r="Q55" s="77"/>
      <c r="S55" s="77"/>
    </row>
    <row r="56" spans="1:19" s="39" customFormat="1">
      <c r="A56" s="77"/>
      <c r="B56" s="77"/>
      <c r="C56" s="77"/>
      <c r="D56" s="77"/>
      <c r="E56" s="77"/>
      <c r="F56" s="77"/>
      <c r="G56" s="77"/>
      <c r="H56" s="77"/>
      <c r="I56" s="77"/>
      <c r="J56" s="77"/>
      <c r="K56" s="77"/>
      <c r="L56" s="77"/>
      <c r="M56" s="77"/>
      <c r="N56" s="77"/>
      <c r="O56" s="77"/>
      <c r="P56" s="77"/>
      <c r="Q56" s="77"/>
      <c r="S56" s="77"/>
    </row>
    <row r="57" spans="1:19" s="39" customFormat="1">
      <c r="A57" s="77"/>
      <c r="B57" s="77"/>
      <c r="C57" s="77"/>
      <c r="D57" s="77"/>
      <c r="E57" s="77"/>
      <c r="F57" s="77"/>
      <c r="G57" s="77"/>
      <c r="H57" s="77"/>
      <c r="I57" s="77"/>
      <c r="J57" s="77"/>
      <c r="K57" s="77"/>
      <c r="L57" s="77"/>
      <c r="M57" s="77"/>
      <c r="N57" s="77"/>
      <c r="O57" s="77"/>
      <c r="P57" s="77"/>
      <c r="Q57" s="77"/>
      <c r="S57" s="77"/>
    </row>
    <row r="58" spans="1:19" s="39" customFormat="1">
      <c r="A58" s="77"/>
      <c r="B58" s="77"/>
      <c r="C58" s="77"/>
      <c r="D58" s="77"/>
      <c r="E58" s="77"/>
      <c r="F58" s="77"/>
      <c r="G58" s="77"/>
      <c r="H58" s="77"/>
      <c r="I58" s="77"/>
      <c r="J58" s="77"/>
      <c r="K58" s="77"/>
      <c r="L58" s="77"/>
      <c r="M58" s="77"/>
      <c r="N58" s="77"/>
      <c r="O58" s="77"/>
      <c r="P58" s="77"/>
      <c r="Q58" s="77"/>
      <c r="S58" s="77"/>
    </row>
    <row r="59" spans="1:19" s="39" customFormat="1">
      <c r="A59" s="77"/>
      <c r="B59" s="77"/>
      <c r="C59" s="77"/>
      <c r="D59" s="77"/>
      <c r="E59" s="77"/>
      <c r="F59" s="77"/>
      <c r="G59" s="77"/>
      <c r="H59" s="77"/>
      <c r="I59" s="77"/>
      <c r="J59" s="77"/>
      <c r="K59" s="77"/>
      <c r="L59" s="77"/>
      <c r="M59" s="77"/>
      <c r="N59" s="77"/>
      <c r="O59" s="77"/>
      <c r="P59" s="77"/>
      <c r="Q59" s="77"/>
      <c r="S59" s="77"/>
    </row>
    <row r="60" spans="1:19" s="39" customFormat="1">
      <c r="A60" s="77"/>
      <c r="B60" s="77"/>
      <c r="C60" s="77"/>
      <c r="D60" s="77"/>
      <c r="E60" s="77"/>
      <c r="F60" s="77"/>
      <c r="G60" s="77"/>
      <c r="H60" s="77"/>
      <c r="I60" s="77"/>
      <c r="J60" s="77"/>
      <c r="K60" s="77"/>
      <c r="L60" s="77"/>
      <c r="M60" s="77"/>
      <c r="N60" s="77"/>
      <c r="O60" s="77"/>
      <c r="P60" s="77"/>
      <c r="Q60" s="77"/>
      <c r="S60" s="77"/>
    </row>
    <row r="61" spans="1:19" s="39" customFormat="1">
      <c r="A61" s="77"/>
      <c r="B61" s="77"/>
      <c r="C61" s="77"/>
      <c r="D61" s="77"/>
      <c r="E61" s="77"/>
      <c r="F61" s="77"/>
      <c r="G61" s="77"/>
      <c r="H61" s="77"/>
      <c r="I61" s="77"/>
      <c r="J61" s="77"/>
      <c r="K61" s="77"/>
      <c r="L61" s="77"/>
      <c r="M61" s="77"/>
      <c r="N61" s="77"/>
      <c r="O61" s="77"/>
      <c r="P61" s="77"/>
      <c r="Q61" s="77"/>
      <c r="S61" s="77"/>
    </row>
    <row r="62" spans="1:19" s="39" customFormat="1">
      <c r="A62" s="77"/>
      <c r="B62" s="77"/>
      <c r="C62" s="77"/>
      <c r="D62" s="77"/>
      <c r="E62" s="77"/>
      <c r="F62" s="77"/>
      <c r="G62" s="77"/>
      <c r="H62" s="77"/>
      <c r="I62" s="77"/>
      <c r="J62" s="77"/>
      <c r="K62" s="77"/>
      <c r="L62" s="77"/>
      <c r="M62" s="77"/>
      <c r="N62" s="77"/>
      <c r="O62" s="77"/>
      <c r="P62" s="77"/>
      <c r="Q62" s="77"/>
      <c r="S62" s="77"/>
    </row>
    <row r="63" spans="1:19" s="39" customFormat="1">
      <c r="A63" s="77"/>
      <c r="B63" s="77"/>
      <c r="C63" s="77"/>
      <c r="D63" s="77"/>
      <c r="E63" s="77"/>
      <c r="F63" s="77"/>
      <c r="G63" s="77"/>
      <c r="H63" s="77"/>
      <c r="I63" s="77"/>
      <c r="J63" s="77"/>
      <c r="K63" s="77"/>
      <c r="L63" s="77"/>
      <c r="M63" s="77"/>
      <c r="N63" s="77"/>
      <c r="O63" s="77"/>
      <c r="P63" s="77"/>
      <c r="Q63" s="77"/>
      <c r="S63" s="77"/>
    </row>
    <row r="64" spans="1:19" s="39" customFormat="1">
      <c r="A64" s="77"/>
      <c r="B64" s="77"/>
      <c r="C64" s="77"/>
      <c r="D64" s="77"/>
      <c r="E64" s="77"/>
      <c r="F64" s="77"/>
      <c r="G64" s="77"/>
      <c r="H64" s="77"/>
      <c r="I64" s="77"/>
      <c r="J64" s="77"/>
      <c r="K64" s="77"/>
      <c r="L64" s="77"/>
      <c r="M64" s="77"/>
      <c r="N64" s="77"/>
      <c r="O64" s="77"/>
      <c r="P64" s="77"/>
      <c r="Q64" s="77"/>
      <c r="S64" s="77"/>
    </row>
    <row r="65" spans="1:19" s="39" customFormat="1">
      <c r="A65" s="77"/>
      <c r="B65" s="77"/>
      <c r="C65" s="77"/>
      <c r="D65" s="77"/>
      <c r="E65" s="77"/>
      <c r="F65" s="77"/>
      <c r="G65" s="77"/>
      <c r="H65" s="77"/>
      <c r="I65" s="77"/>
      <c r="J65" s="77"/>
      <c r="K65" s="77"/>
      <c r="L65" s="77"/>
      <c r="M65" s="77"/>
      <c r="N65" s="77"/>
      <c r="O65" s="77"/>
      <c r="P65" s="77"/>
      <c r="Q65" s="77"/>
      <c r="S65" s="77"/>
    </row>
    <row r="66" spans="1:19" s="39" customFormat="1">
      <c r="A66" s="77"/>
      <c r="B66" s="77"/>
      <c r="C66" s="77"/>
      <c r="D66" s="77"/>
      <c r="E66" s="77"/>
      <c r="F66" s="77"/>
      <c r="G66" s="77"/>
      <c r="H66" s="77"/>
      <c r="I66" s="77"/>
      <c r="J66" s="77"/>
      <c r="K66" s="77"/>
      <c r="L66" s="77"/>
      <c r="M66" s="77"/>
      <c r="N66" s="77"/>
      <c r="O66" s="77"/>
      <c r="P66" s="77"/>
      <c r="Q66" s="77"/>
      <c r="S66" s="77"/>
    </row>
    <row r="67" spans="1:19" s="39" customFormat="1">
      <c r="A67" s="77"/>
      <c r="B67" s="77"/>
      <c r="C67" s="77"/>
      <c r="D67" s="77"/>
      <c r="E67" s="77"/>
      <c r="F67" s="77"/>
      <c r="G67" s="77"/>
      <c r="H67" s="77"/>
      <c r="I67" s="77"/>
      <c r="J67" s="77"/>
      <c r="K67" s="77"/>
      <c r="L67" s="77"/>
      <c r="M67" s="77"/>
      <c r="N67" s="77"/>
      <c r="O67" s="77"/>
      <c r="P67" s="77"/>
      <c r="Q67" s="77"/>
      <c r="S67" s="77"/>
    </row>
    <row r="68" spans="1:19" s="39" customFormat="1">
      <c r="A68" s="77"/>
      <c r="B68" s="77"/>
      <c r="C68" s="77"/>
      <c r="D68" s="77"/>
      <c r="E68" s="77"/>
      <c r="F68" s="77"/>
      <c r="G68" s="77"/>
      <c r="H68" s="77"/>
      <c r="I68" s="77"/>
      <c r="J68" s="77"/>
      <c r="K68" s="77"/>
      <c r="L68" s="77"/>
      <c r="M68" s="77"/>
      <c r="N68" s="77"/>
      <c r="O68" s="77"/>
      <c r="P68" s="77"/>
      <c r="Q68" s="77"/>
      <c r="S68" s="77"/>
    </row>
    <row r="69" spans="1:19" s="39" customFormat="1">
      <c r="A69" s="77"/>
      <c r="B69" s="77"/>
      <c r="C69" s="77"/>
      <c r="D69" s="77"/>
      <c r="E69" s="77"/>
      <c r="F69" s="77"/>
      <c r="G69" s="77"/>
      <c r="H69" s="77"/>
      <c r="I69" s="77"/>
      <c r="J69" s="77"/>
      <c r="K69" s="77"/>
      <c r="L69" s="77"/>
      <c r="M69" s="77"/>
      <c r="N69" s="77"/>
      <c r="O69" s="77"/>
      <c r="P69" s="77"/>
      <c r="Q69" s="77"/>
      <c r="S69" s="77"/>
    </row>
    <row r="70" spans="1:19" s="39" customFormat="1">
      <c r="A70" s="77"/>
      <c r="B70" s="77"/>
      <c r="C70" s="77"/>
      <c r="D70" s="77"/>
      <c r="E70" s="77"/>
      <c r="F70" s="77"/>
      <c r="G70" s="77"/>
      <c r="H70" s="77"/>
      <c r="I70" s="77"/>
      <c r="J70" s="77"/>
      <c r="K70" s="77"/>
      <c r="L70" s="77"/>
      <c r="M70" s="77"/>
      <c r="N70" s="77"/>
      <c r="O70" s="77"/>
      <c r="P70" s="77"/>
      <c r="Q70" s="77"/>
      <c r="S70" s="77"/>
    </row>
    <row r="71" spans="1:19" s="39" customFormat="1">
      <c r="A71" s="77"/>
      <c r="B71" s="77"/>
      <c r="C71" s="77"/>
      <c r="D71" s="77"/>
      <c r="E71" s="77"/>
      <c r="F71" s="77"/>
      <c r="G71" s="77"/>
      <c r="H71" s="77"/>
      <c r="I71" s="77"/>
      <c r="J71" s="77"/>
      <c r="K71" s="77"/>
      <c r="L71" s="77"/>
      <c r="M71" s="77"/>
      <c r="N71" s="77"/>
      <c r="O71" s="77"/>
      <c r="P71" s="77"/>
      <c r="Q71" s="77"/>
      <c r="S71" s="77"/>
    </row>
    <row r="72" spans="1:19" s="39" customFormat="1">
      <c r="A72" s="77"/>
      <c r="B72" s="77"/>
      <c r="C72" s="77"/>
      <c r="D72" s="77"/>
      <c r="E72" s="77"/>
      <c r="F72" s="77"/>
      <c r="G72" s="77"/>
      <c r="H72" s="77"/>
      <c r="I72" s="77"/>
      <c r="J72" s="77"/>
      <c r="K72" s="77"/>
      <c r="L72" s="77"/>
      <c r="M72" s="77"/>
      <c r="N72" s="77"/>
      <c r="O72" s="77"/>
      <c r="P72" s="77"/>
      <c r="Q72" s="77"/>
      <c r="S72" s="77"/>
    </row>
    <row r="73" spans="1:19" s="39" customFormat="1">
      <c r="A73" s="77"/>
      <c r="B73" s="77"/>
      <c r="C73" s="77"/>
      <c r="D73" s="77"/>
      <c r="E73" s="77"/>
      <c r="F73" s="77"/>
      <c r="G73" s="77"/>
      <c r="H73" s="77"/>
      <c r="I73" s="77"/>
      <c r="J73" s="77"/>
      <c r="K73" s="77"/>
      <c r="L73" s="77"/>
      <c r="M73" s="77"/>
      <c r="N73" s="77"/>
      <c r="O73" s="77"/>
      <c r="P73" s="77"/>
      <c r="Q73" s="77"/>
      <c r="S73" s="77"/>
    </row>
    <row r="74" spans="1:19" s="39" customFormat="1">
      <c r="A74" s="77"/>
      <c r="B74" s="77"/>
      <c r="C74" s="77"/>
      <c r="D74" s="77"/>
      <c r="E74" s="77"/>
      <c r="F74" s="77"/>
      <c r="G74" s="77"/>
      <c r="H74" s="77"/>
      <c r="I74" s="77"/>
      <c r="J74" s="77"/>
      <c r="K74" s="77"/>
      <c r="L74" s="77"/>
      <c r="M74" s="77"/>
      <c r="N74" s="77"/>
      <c r="O74" s="77"/>
      <c r="P74" s="77"/>
      <c r="Q74" s="77"/>
      <c r="S74" s="77"/>
    </row>
    <row r="75" spans="1:19" s="39" customFormat="1">
      <c r="A75" s="77"/>
      <c r="B75" s="77"/>
      <c r="C75" s="77"/>
      <c r="D75" s="77"/>
      <c r="E75" s="77"/>
      <c r="F75" s="77"/>
      <c r="G75" s="77"/>
      <c r="H75" s="77"/>
      <c r="I75" s="77"/>
      <c r="J75" s="77"/>
      <c r="K75" s="77"/>
      <c r="L75" s="77"/>
      <c r="M75" s="77"/>
      <c r="N75" s="77"/>
      <c r="O75" s="77"/>
      <c r="P75" s="77"/>
      <c r="Q75" s="77"/>
      <c r="S75" s="77"/>
    </row>
    <row r="76" spans="1:19" s="39" customFormat="1">
      <c r="A76" s="77"/>
      <c r="B76" s="77"/>
      <c r="C76" s="77"/>
      <c r="D76" s="77"/>
      <c r="E76" s="77"/>
      <c r="F76" s="77"/>
      <c r="G76" s="77"/>
      <c r="H76" s="77"/>
      <c r="I76" s="77"/>
      <c r="J76" s="77"/>
      <c r="K76" s="77"/>
      <c r="L76" s="77"/>
      <c r="M76" s="77"/>
      <c r="N76" s="77"/>
      <c r="O76" s="77"/>
      <c r="P76" s="77"/>
      <c r="Q76" s="77"/>
      <c r="S76" s="77"/>
    </row>
    <row r="77" spans="1:19" s="39" customFormat="1">
      <c r="A77" s="77"/>
      <c r="B77" s="77"/>
      <c r="C77" s="77"/>
      <c r="D77" s="77"/>
      <c r="E77" s="77"/>
      <c r="F77" s="77"/>
      <c r="G77" s="77"/>
      <c r="H77" s="77"/>
      <c r="I77" s="77"/>
      <c r="J77" s="77"/>
      <c r="K77" s="77"/>
      <c r="L77" s="77"/>
      <c r="M77" s="77"/>
      <c r="N77" s="77"/>
      <c r="O77" s="77"/>
      <c r="P77" s="77"/>
      <c r="Q77" s="77"/>
      <c r="S77" s="77"/>
    </row>
    <row r="78" spans="1:19" s="39" customFormat="1">
      <c r="A78" s="77"/>
      <c r="B78" s="77"/>
      <c r="C78" s="77"/>
      <c r="D78" s="77"/>
      <c r="E78" s="77"/>
      <c r="F78" s="77"/>
      <c r="G78" s="77"/>
      <c r="H78" s="77"/>
      <c r="I78" s="77"/>
      <c r="J78" s="77"/>
      <c r="K78" s="77"/>
      <c r="L78" s="77"/>
      <c r="M78" s="77"/>
      <c r="N78" s="77"/>
      <c r="O78" s="77"/>
      <c r="P78" s="77"/>
      <c r="Q78" s="77"/>
      <c r="S78" s="77"/>
    </row>
    <row r="79" spans="1:19" s="39" customFormat="1">
      <c r="A79" s="77"/>
      <c r="B79" s="77"/>
      <c r="C79" s="77"/>
      <c r="D79" s="77"/>
      <c r="E79" s="77"/>
      <c r="F79" s="77"/>
      <c r="G79" s="77"/>
      <c r="H79" s="77"/>
      <c r="I79" s="77"/>
      <c r="J79" s="77"/>
      <c r="K79" s="77"/>
      <c r="L79" s="77"/>
      <c r="M79" s="77"/>
      <c r="N79" s="77"/>
      <c r="O79" s="77"/>
      <c r="P79" s="77"/>
      <c r="Q79" s="77"/>
      <c r="S79" s="77"/>
    </row>
    <row r="80" spans="1:19" s="39" customFormat="1">
      <c r="A80" s="77"/>
      <c r="B80" s="77"/>
      <c r="C80" s="77"/>
      <c r="D80" s="77"/>
      <c r="E80" s="77"/>
      <c r="F80" s="77"/>
      <c r="G80" s="77"/>
      <c r="H80" s="77"/>
      <c r="I80" s="77"/>
      <c r="J80" s="77"/>
      <c r="K80" s="77"/>
      <c r="L80" s="77"/>
      <c r="M80" s="77"/>
      <c r="N80" s="77"/>
      <c r="O80" s="77"/>
      <c r="P80" s="77"/>
      <c r="Q80" s="77"/>
      <c r="S80" s="77"/>
    </row>
    <row r="81" spans="1:19" s="39" customFormat="1">
      <c r="A81" s="77"/>
      <c r="B81" s="77"/>
      <c r="C81" s="77"/>
      <c r="D81" s="77"/>
      <c r="E81" s="77"/>
      <c r="F81" s="77"/>
      <c r="G81" s="77"/>
      <c r="H81" s="77"/>
      <c r="I81" s="77"/>
      <c r="J81" s="77"/>
      <c r="K81" s="77"/>
      <c r="L81" s="77"/>
      <c r="M81" s="77"/>
      <c r="N81" s="77"/>
      <c r="O81" s="77"/>
      <c r="P81" s="77"/>
      <c r="Q81" s="77"/>
      <c r="S81" s="77"/>
    </row>
    <row r="82" spans="1:19" s="39" customFormat="1">
      <c r="A82" s="77"/>
      <c r="B82" s="77"/>
      <c r="C82" s="77"/>
      <c r="D82" s="77"/>
      <c r="E82" s="77"/>
      <c r="F82" s="77"/>
      <c r="G82" s="77"/>
      <c r="H82" s="77"/>
      <c r="I82" s="77"/>
      <c r="J82" s="77"/>
      <c r="K82" s="77"/>
      <c r="L82" s="77"/>
      <c r="M82" s="77"/>
      <c r="N82" s="77"/>
      <c r="O82" s="77"/>
      <c r="P82" s="77"/>
      <c r="Q82" s="77"/>
      <c r="S82" s="77"/>
    </row>
    <row r="83" spans="1:19" s="39" customFormat="1">
      <c r="A83" s="77"/>
      <c r="B83" s="77"/>
      <c r="C83" s="77"/>
      <c r="D83" s="77"/>
      <c r="E83" s="77"/>
      <c r="F83" s="77"/>
      <c r="G83" s="77"/>
      <c r="H83" s="77"/>
      <c r="I83" s="77"/>
      <c r="J83" s="77"/>
      <c r="K83" s="77"/>
      <c r="L83" s="77"/>
      <c r="M83" s="77"/>
      <c r="N83" s="77"/>
      <c r="O83" s="77"/>
      <c r="P83" s="77"/>
      <c r="Q83" s="77"/>
      <c r="S83" s="77"/>
    </row>
    <row r="84" spans="1:19" s="39" customFormat="1">
      <c r="A84" s="77"/>
      <c r="B84" s="77"/>
      <c r="C84" s="77"/>
      <c r="D84" s="77"/>
      <c r="E84" s="77"/>
      <c r="F84" s="77"/>
      <c r="G84" s="77"/>
      <c r="H84" s="77"/>
      <c r="I84" s="77"/>
      <c r="J84" s="77"/>
      <c r="K84" s="77"/>
      <c r="L84" s="77"/>
      <c r="M84" s="77"/>
      <c r="N84" s="77"/>
      <c r="O84" s="77"/>
      <c r="P84" s="77"/>
      <c r="Q84" s="77"/>
      <c r="S84" s="77"/>
    </row>
    <row r="85" spans="1:19" s="39" customFormat="1">
      <c r="A85" s="77"/>
      <c r="B85" s="77"/>
      <c r="C85" s="77"/>
      <c r="D85" s="77"/>
      <c r="E85" s="77"/>
      <c r="F85" s="77"/>
      <c r="G85" s="77"/>
      <c r="H85" s="77"/>
      <c r="I85" s="77"/>
      <c r="J85" s="77"/>
      <c r="K85" s="77"/>
      <c r="L85" s="77"/>
      <c r="M85" s="77"/>
      <c r="N85" s="77"/>
      <c r="O85" s="77"/>
      <c r="P85" s="77"/>
      <c r="Q85" s="77"/>
      <c r="S85" s="77"/>
    </row>
    <row r="86" spans="1:19" s="39" customFormat="1">
      <c r="A86" s="77"/>
      <c r="B86" s="77"/>
      <c r="C86" s="77"/>
      <c r="D86" s="77"/>
      <c r="E86" s="77"/>
      <c r="F86" s="77"/>
      <c r="G86" s="77"/>
      <c r="H86" s="77"/>
      <c r="I86" s="77"/>
      <c r="J86" s="77"/>
      <c r="K86" s="77"/>
      <c r="L86" s="77"/>
      <c r="M86" s="77"/>
      <c r="N86" s="77"/>
      <c r="O86" s="77"/>
      <c r="P86" s="77"/>
      <c r="Q86" s="77"/>
      <c r="S86" s="77"/>
    </row>
    <row r="87" spans="1:19" s="39" customFormat="1">
      <c r="A87" s="77"/>
      <c r="B87" s="77"/>
      <c r="C87" s="77"/>
      <c r="D87" s="77"/>
      <c r="E87" s="77"/>
      <c r="F87" s="77"/>
      <c r="G87" s="77"/>
      <c r="H87" s="77"/>
      <c r="I87" s="77"/>
      <c r="J87" s="77"/>
      <c r="K87" s="77"/>
      <c r="L87" s="77"/>
      <c r="M87" s="77"/>
      <c r="N87" s="77"/>
      <c r="O87" s="77"/>
      <c r="P87" s="77"/>
      <c r="Q87" s="77"/>
      <c r="S87" s="77"/>
    </row>
    <row r="88" spans="1:19" s="39" customFormat="1">
      <c r="A88" s="77"/>
      <c r="B88" s="77"/>
      <c r="C88" s="77"/>
      <c r="D88" s="77"/>
      <c r="E88" s="77"/>
      <c r="F88" s="77"/>
      <c r="G88" s="77"/>
      <c r="H88" s="77"/>
      <c r="I88" s="77"/>
      <c r="J88" s="77"/>
      <c r="K88" s="77"/>
      <c r="L88" s="77"/>
      <c r="M88" s="77"/>
      <c r="N88" s="77"/>
      <c r="O88" s="77"/>
      <c r="P88" s="77"/>
      <c r="Q88" s="77"/>
      <c r="S88" s="77"/>
    </row>
    <row r="89" spans="1:19" s="39" customFormat="1">
      <c r="A89" s="77"/>
      <c r="B89" s="77"/>
      <c r="C89" s="77"/>
      <c r="D89" s="77"/>
      <c r="E89" s="77"/>
      <c r="F89" s="77"/>
      <c r="G89" s="77"/>
      <c r="H89" s="77"/>
      <c r="I89" s="77"/>
      <c r="J89" s="77"/>
      <c r="K89" s="77"/>
      <c r="L89" s="77"/>
      <c r="M89" s="77"/>
      <c r="N89" s="77"/>
      <c r="O89" s="77"/>
      <c r="P89" s="77"/>
      <c r="Q89" s="77"/>
      <c r="S89" s="77"/>
    </row>
    <row r="90" spans="1:19" s="39" customFormat="1">
      <c r="A90" s="77"/>
      <c r="B90" s="77"/>
      <c r="C90" s="77"/>
      <c r="D90" s="77"/>
      <c r="E90" s="77"/>
      <c r="F90" s="77"/>
      <c r="G90" s="77"/>
      <c r="H90" s="77"/>
      <c r="I90" s="77"/>
      <c r="J90" s="77"/>
      <c r="K90" s="77"/>
      <c r="L90" s="77"/>
      <c r="M90" s="77"/>
      <c r="N90" s="77"/>
      <c r="O90" s="77"/>
      <c r="P90" s="77"/>
      <c r="Q90" s="77"/>
      <c r="S90" s="77"/>
    </row>
    <row r="91" spans="1:19" s="39" customFormat="1">
      <c r="A91" s="77"/>
      <c r="B91" s="77"/>
      <c r="C91" s="77"/>
      <c r="D91" s="77"/>
      <c r="E91" s="77"/>
      <c r="F91" s="77"/>
      <c r="G91" s="77"/>
      <c r="H91" s="77"/>
      <c r="I91" s="77"/>
      <c r="J91" s="77"/>
      <c r="K91" s="77"/>
      <c r="L91" s="77"/>
      <c r="M91" s="77"/>
      <c r="N91" s="77"/>
      <c r="O91" s="77"/>
      <c r="P91" s="77"/>
      <c r="Q91" s="77"/>
      <c r="S91" s="77"/>
    </row>
    <row r="92" spans="1:19" s="39" customFormat="1">
      <c r="A92" s="77"/>
      <c r="B92" s="77"/>
      <c r="C92" s="77"/>
      <c r="D92" s="77"/>
      <c r="E92" s="77"/>
      <c r="F92" s="77"/>
      <c r="G92" s="77"/>
      <c r="H92" s="77"/>
      <c r="I92" s="77"/>
      <c r="J92" s="77"/>
      <c r="K92" s="77"/>
      <c r="L92" s="77"/>
      <c r="M92" s="77"/>
      <c r="N92" s="77"/>
      <c r="O92" s="77"/>
      <c r="P92" s="77"/>
      <c r="Q92" s="77"/>
      <c r="S92" s="77"/>
    </row>
    <row r="93" spans="1:19" s="39" customFormat="1">
      <c r="A93" s="77"/>
      <c r="B93" s="77"/>
      <c r="C93" s="77"/>
      <c r="D93" s="77"/>
      <c r="E93" s="77"/>
      <c r="F93" s="77"/>
      <c r="G93" s="77"/>
      <c r="H93" s="77"/>
      <c r="I93" s="77"/>
      <c r="J93" s="77"/>
      <c r="K93" s="77"/>
      <c r="L93" s="77"/>
      <c r="M93" s="77"/>
      <c r="N93" s="77"/>
      <c r="O93" s="77"/>
      <c r="P93" s="77"/>
      <c r="Q93" s="77"/>
      <c r="S93" s="77"/>
    </row>
    <row r="94" spans="1:19" s="39" customFormat="1">
      <c r="A94" s="77"/>
      <c r="B94" s="77"/>
      <c r="C94" s="77"/>
      <c r="D94" s="77"/>
      <c r="E94" s="77"/>
      <c r="F94" s="77"/>
      <c r="G94" s="77"/>
      <c r="H94" s="77"/>
      <c r="I94" s="77"/>
      <c r="J94" s="77"/>
      <c r="K94" s="77"/>
      <c r="L94" s="77"/>
      <c r="M94" s="77"/>
      <c r="N94" s="77"/>
      <c r="O94" s="77"/>
      <c r="P94" s="77"/>
      <c r="Q94" s="77"/>
      <c r="S94" s="77"/>
    </row>
    <row r="95" spans="1:19" s="39" customFormat="1">
      <c r="A95" s="77"/>
      <c r="B95" s="77"/>
      <c r="C95" s="77"/>
      <c r="D95" s="77"/>
      <c r="E95" s="77"/>
      <c r="F95" s="77"/>
      <c r="G95" s="77"/>
      <c r="H95" s="77"/>
      <c r="I95" s="77"/>
      <c r="J95" s="77"/>
      <c r="K95" s="77"/>
      <c r="L95" s="77"/>
      <c r="M95" s="77"/>
      <c r="N95" s="77"/>
      <c r="O95" s="77"/>
      <c r="P95" s="77"/>
      <c r="Q95" s="77"/>
      <c r="S95" s="77"/>
    </row>
    <row r="96" spans="1:19" s="39" customFormat="1">
      <c r="A96" s="77"/>
      <c r="B96" s="77"/>
      <c r="C96" s="77"/>
      <c r="D96" s="77"/>
      <c r="E96" s="77"/>
      <c r="F96" s="77"/>
      <c r="G96" s="77"/>
      <c r="H96" s="77"/>
      <c r="I96" s="77"/>
      <c r="J96" s="77"/>
      <c r="K96" s="77"/>
      <c r="L96" s="77"/>
      <c r="M96" s="77"/>
      <c r="N96" s="77"/>
      <c r="O96" s="77"/>
      <c r="P96" s="77"/>
      <c r="Q96" s="77"/>
      <c r="S96" s="77"/>
    </row>
    <row r="97" spans="1:19" s="39" customFormat="1">
      <c r="A97" s="77"/>
      <c r="B97" s="77"/>
      <c r="C97" s="77"/>
      <c r="D97" s="77"/>
      <c r="E97" s="77"/>
      <c r="F97" s="77"/>
      <c r="G97" s="77"/>
      <c r="H97" s="77"/>
      <c r="I97" s="77"/>
      <c r="J97" s="77"/>
      <c r="K97" s="77"/>
      <c r="L97" s="77"/>
      <c r="M97" s="77"/>
      <c r="N97" s="77"/>
      <c r="O97" s="77"/>
      <c r="P97" s="77"/>
      <c r="Q97" s="77"/>
      <c r="S97" s="77"/>
    </row>
    <row r="98" spans="1:19" s="39" customFormat="1">
      <c r="A98" s="77"/>
      <c r="B98" s="77"/>
      <c r="C98" s="77"/>
      <c r="D98" s="77"/>
      <c r="E98" s="77"/>
      <c r="F98" s="77"/>
      <c r="G98" s="77"/>
      <c r="H98" s="77"/>
      <c r="I98" s="77"/>
      <c r="J98" s="77"/>
      <c r="K98" s="77"/>
      <c r="L98" s="77"/>
      <c r="M98" s="77"/>
      <c r="N98" s="77"/>
      <c r="O98" s="77"/>
      <c r="P98" s="77"/>
      <c r="Q98" s="77"/>
      <c r="S98" s="77"/>
    </row>
    <row r="99" spans="1:19" s="39" customFormat="1">
      <c r="A99" s="77"/>
      <c r="B99" s="77"/>
      <c r="C99" s="77"/>
      <c r="D99" s="77"/>
      <c r="E99" s="77"/>
      <c r="F99" s="77"/>
      <c r="G99" s="77"/>
      <c r="H99" s="77"/>
      <c r="I99" s="77"/>
      <c r="J99" s="77"/>
      <c r="K99" s="77"/>
      <c r="L99" s="77"/>
      <c r="M99" s="77"/>
      <c r="N99" s="77"/>
      <c r="O99" s="77"/>
      <c r="P99" s="77"/>
      <c r="Q99" s="77"/>
      <c r="S99" s="77"/>
    </row>
    <row r="100" spans="1:19" s="39" customFormat="1">
      <c r="A100" s="77"/>
      <c r="B100" s="77"/>
      <c r="C100" s="77"/>
      <c r="D100" s="77"/>
      <c r="E100" s="77"/>
      <c r="F100" s="77"/>
      <c r="G100" s="77"/>
      <c r="H100" s="77"/>
      <c r="I100" s="77"/>
      <c r="J100" s="77"/>
      <c r="K100" s="77"/>
      <c r="L100" s="77"/>
      <c r="M100" s="77"/>
      <c r="N100" s="77"/>
      <c r="O100" s="77"/>
      <c r="P100" s="77"/>
      <c r="Q100" s="77"/>
      <c r="S100" s="77"/>
    </row>
    <row r="101" spans="1:19" s="39" customFormat="1">
      <c r="A101" s="77"/>
      <c r="B101" s="77"/>
      <c r="C101" s="77"/>
      <c r="D101" s="77"/>
      <c r="E101" s="77"/>
      <c r="F101" s="77"/>
      <c r="G101" s="77"/>
      <c r="H101" s="77"/>
      <c r="I101" s="77"/>
      <c r="J101" s="77"/>
      <c r="K101" s="77"/>
      <c r="L101" s="77"/>
      <c r="M101" s="77"/>
      <c r="N101" s="77"/>
      <c r="O101" s="77"/>
      <c r="P101" s="77"/>
      <c r="Q101" s="77"/>
      <c r="S101" s="77"/>
    </row>
    <row r="102" spans="1:19" s="39" customFormat="1">
      <c r="A102" s="77"/>
      <c r="B102" s="77"/>
      <c r="C102" s="77"/>
      <c r="D102" s="77"/>
      <c r="E102" s="77"/>
      <c r="F102" s="77"/>
      <c r="G102" s="77"/>
      <c r="H102" s="77"/>
      <c r="I102" s="77"/>
      <c r="J102" s="77"/>
      <c r="K102" s="77"/>
      <c r="L102" s="77"/>
      <c r="M102" s="77"/>
      <c r="N102" s="77"/>
      <c r="O102" s="77"/>
      <c r="P102" s="77"/>
      <c r="Q102" s="77"/>
      <c r="S102" s="77"/>
    </row>
    <row r="103" spans="1:19" s="39" customFormat="1">
      <c r="S103" s="77"/>
    </row>
    <row r="104" spans="1:19" s="39" customFormat="1">
      <c r="S104" s="77"/>
    </row>
    <row r="105" spans="1:19" s="39" customFormat="1">
      <c r="S105" s="77"/>
    </row>
    <row r="106" spans="1:19" s="39" customFormat="1">
      <c r="S106" s="77"/>
    </row>
    <row r="107" spans="1:19" s="39" customFormat="1">
      <c r="S107" s="77"/>
    </row>
    <row r="108" spans="1:19" s="39" customFormat="1">
      <c r="S108" s="77"/>
    </row>
    <row r="109" spans="1:19" s="39" customFormat="1">
      <c r="S109" s="77"/>
    </row>
    <row r="110" spans="1:19" s="39" customFormat="1">
      <c r="S110" s="77"/>
    </row>
    <row r="111" spans="1:19" s="39" customFormat="1">
      <c r="S111" s="77"/>
    </row>
    <row r="112" spans="1:19" s="39" customFormat="1">
      <c r="S112" s="77"/>
    </row>
    <row r="113" spans="1:19" s="39" customFormat="1">
      <c r="S113" s="77"/>
    </row>
    <row r="114" spans="1:19" s="39" customFormat="1">
      <c r="S114" s="77"/>
    </row>
    <row r="115" spans="1:19">
      <c r="A115" s="39"/>
      <c r="B115" s="39"/>
      <c r="C115" s="39"/>
      <c r="D115" s="39"/>
      <c r="E115" s="39"/>
      <c r="F115" s="39"/>
      <c r="G115" s="39"/>
      <c r="H115" s="39"/>
      <c r="I115" s="39"/>
      <c r="J115" s="39"/>
      <c r="K115" s="39"/>
      <c r="L115" s="39"/>
      <c r="M115" s="39"/>
      <c r="N115" s="39"/>
      <c r="O115" s="39"/>
      <c r="P115" s="39"/>
      <c r="Q115" s="39"/>
    </row>
  </sheetData>
  <mergeCells count="2">
    <mergeCell ref="A1:Q1"/>
    <mergeCell ref="A3:Q3"/>
  </mergeCells>
  <printOptions horizontalCentered="1" verticalCentered="1"/>
  <pageMargins left="0.39370078740157483" right="0.39370078740157483" top="0.23622047244094491" bottom="0.23622047244094491" header="0.31496062992125984" footer="0.31496062992125984"/>
  <pageSetup scale="63" orientation="landscape"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5">
    <tabColor rgb="FF7030A0"/>
    <pageSetUpPr fitToPage="1"/>
  </sheetPr>
  <dimension ref="A1:T119"/>
  <sheetViews>
    <sheetView showGridLines="0" view="pageBreakPreview" zoomScale="55" zoomScaleNormal="70" zoomScaleSheetLayoutView="55" workbookViewId="0">
      <selection activeCell="A3" sqref="A3:P3"/>
    </sheetView>
  </sheetViews>
  <sheetFormatPr baseColWidth="10" defaultColWidth="11.42578125" defaultRowHeight="15"/>
  <cols>
    <col min="1" max="1" width="23.140625" style="77" customWidth="1"/>
    <col min="2" max="2" width="10.140625" style="77" customWidth="1"/>
    <col min="3" max="3" width="12" style="77" customWidth="1"/>
    <col min="4" max="4" width="10" style="77" customWidth="1"/>
    <col min="5" max="5" width="15.140625" style="77" customWidth="1"/>
    <col min="6" max="6" width="11.140625" style="77" customWidth="1"/>
    <col min="7" max="7" width="12" style="77" customWidth="1"/>
    <col min="8" max="8" width="11.42578125" style="77"/>
    <col min="9" max="9" width="15.28515625" style="77" customWidth="1"/>
    <col min="10" max="10" width="15.85546875" style="77" customWidth="1"/>
    <col min="11" max="11" width="13.5703125" style="77" customWidth="1"/>
    <col min="12" max="12" width="12.42578125" style="77" customWidth="1"/>
    <col min="13" max="13" width="19.42578125" style="77" customWidth="1"/>
    <col min="14" max="14" width="13.5703125" style="77" customWidth="1"/>
    <col min="15" max="15" width="11.42578125" style="77"/>
    <col min="16" max="16" width="12.42578125" style="77" customWidth="1"/>
    <col min="17" max="17" width="13.28515625" style="77" bestFit="1" customWidth="1"/>
    <col min="18" max="18" width="18.7109375" style="77" customWidth="1"/>
    <col min="19" max="16384" width="11.42578125" style="77"/>
  </cols>
  <sheetData>
    <row r="1" spans="1:20" ht="80.25" customHeight="1">
      <c r="A1" s="2062"/>
      <c r="B1" s="2062"/>
      <c r="C1" s="2062"/>
      <c r="D1" s="2062"/>
      <c r="E1" s="2062"/>
      <c r="F1" s="2062"/>
      <c r="G1" s="2062"/>
      <c r="H1" s="2062"/>
      <c r="I1" s="2062"/>
      <c r="J1" s="2062"/>
      <c r="K1" s="2062"/>
      <c r="L1" s="2062"/>
      <c r="M1" s="2062"/>
      <c r="N1" s="2062"/>
      <c r="O1" s="2062"/>
      <c r="P1" s="2062"/>
      <c r="Q1" s="2062"/>
      <c r="R1" s="2062"/>
      <c r="S1" s="2062"/>
    </row>
    <row r="2" spans="1:20" ht="10.5" customHeight="1">
      <c r="A2" s="2096"/>
      <c r="B2" s="2096"/>
      <c r="C2" s="2096"/>
      <c r="D2" s="2096"/>
      <c r="E2" s="2096"/>
      <c r="F2" s="2096"/>
      <c r="G2" s="2096"/>
      <c r="H2" s="2096"/>
      <c r="I2" s="2096"/>
      <c r="J2" s="2096"/>
      <c r="K2" s="2096"/>
      <c r="L2" s="2096"/>
      <c r="M2" s="2096"/>
      <c r="N2" s="2096"/>
      <c r="O2" s="2096"/>
      <c r="P2" s="2096"/>
      <c r="Q2" s="2096"/>
      <c r="R2" s="2096"/>
      <c r="S2" s="2096"/>
    </row>
    <row r="3" spans="1:20" ht="24.75" customHeight="1">
      <c r="A3" s="2097" t="s">
        <v>169</v>
      </c>
      <c r="B3" s="2098"/>
      <c r="C3" s="2098"/>
      <c r="D3" s="2098"/>
      <c r="E3" s="2098"/>
      <c r="F3" s="2098"/>
      <c r="G3" s="2098"/>
      <c r="H3" s="2098"/>
      <c r="I3" s="2098"/>
      <c r="J3" s="2098"/>
      <c r="K3" s="2098"/>
      <c r="L3" s="2098"/>
      <c r="M3" s="2098"/>
      <c r="N3" s="2098"/>
      <c r="O3" s="2098"/>
      <c r="P3" s="2099"/>
      <c r="R3" s="94"/>
      <c r="S3" s="94"/>
    </row>
    <row r="4" spans="1:20" ht="36" customHeight="1">
      <c r="A4" s="463" t="s">
        <v>0</v>
      </c>
      <c r="B4" s="466" t="s">
        <v>84</v>
      </c>
      <c r="C4" s="466" t="s">
        <v>85</v>
      </c>
      <c r="D4" s="466" t="s">
        <v>86</v>
      </c>
      <c r="E4" s="466" t="s">
        <v>87</v>
      </c>
      <c r="F4" s="466" t="s">
        <v>88</v>
      </c>
      <c r="G4" s="466" t="s">
        <v>89</v>
      </c>
      <c r="H4" s="466" t="s">
        <v>90</v>
      </c>
      <c r="I4" s="467" t="s">
        <v>91</v>
      </c>
      <c r="J4" s="466" t="s">
        <v>92</v>
      </c>
      <c r="K4" s="463" t="s">
        <v>93</v>
      </c>
      <c r="L4" s="466" t="s">
        <v>94</v>
      </c>
      <c r="M4" s="466" t="s">
        <v>95</v>
      </c>
      <c r="N4" s="466" t="s">
        <v>83</v>
      </c>
      <c r="O4" s="466" t="s">
        <v>592</v>
      </c>
      <c r="P4" s="464" t="s">
        <v>97</v>
      </c>
      <c r="R4" s="94"/>
      <c r="S4" s="94"/>
    </row>
    <row r="5" spans="1:20" ht="15.75">
      <c r="A5" s="468">
        <v>2005</v>
      </c>
      <c r="B5" s="465">
        <f>+'III.5.12.Trasp. recibidos'!B5-'III.5.13.Trasp. cedidos'!B5</f>
        <v>0</v>
      </c>
      <c r="C5" s="465">
        <f>+'III.5.12.Trasp. recibidos'!C5-'III.5.13.Trasp. cedidos'!C5</f>
        <v>-53</v>
      </c>
      <c r="D5" s="465">
        <f>+'III.5.12.Trasp. recibidos'!D5-'III.5.13.Trasp. cedidos'!D5</f>
        <v>265</v>
      </c>
      <c r="E5" s="465">
        <f>+'III.5.12.Trasp. recibidos'!E5-'III.5.13.Trasp. cedidos'!E5</f>
        <v>-20</v>
      </c>
      <c r="F5" s="465">
        <f>+'III.5.12.Trasp. recibidos'!F5-'III.5.13.Trasp. cedidos'!F5</f>
        <v>0</v>
      </c>
      <c r="G5" s="465">
        <f>+'III.5.12.Trasp. recibidos'!G5-'III.5.13.Trasp. cedidos'!G5</f>
        <v>52</v>
      </c>
      <c r="H5" s="465">
        <f>+'III.5.12.Trasp. recibidos'!H5-'III.5.13.Trasp. cedidos'!H5</f>
        <v>-5</v>
      </c>
      <c r="I5" s="465">
        <f>+'III.5.12.Trasp. recibidos'!I5-'III.5.13.Trasp. cedidos'!I5</f>
        <v>-65</v>
      </c>
      <c r="J5" s="465">
        <f>+'III.5.12.Trasp. recibidos'!J5-'III.5.13.Trasp. cedidos'!J5</f>
        <v>-174</v>
      </c>
      <c r="K5" s="765">
        <f t="shared" ref="K5:K13" si="0">SUM(B5:J5)</f>
        <v>0</v>
      </c>
      <c r="L5" s="465">
        <f>+'III.5.12.Trasp. recibidos'!L5-'III.5.13.Trasp. cedidos'!L5</f>
        <v>0</v>
      </c>
      <c r="M5" s="465">
        <f>+'III.5.12.Trasp. recibidos'!M5-'III.5.13.Trasp. cedidos'!M5</f>
        <v>0</v>
      </c>
      <c r="N5" s="465">
        <f>+'III.5.12.Trasp. recibidos'!N5-'III.5.13.Trasp. cedidos'!N5</f>
        <v>0</v>
      </c>
      <c r="O5" s="465">
        <f>+'III.5.12.Trasp. recibidos'!O5-'III.5.13.Trasp. cedidos'!O5</f>
        <v>0</v>
      </c>
      <c r="P5" s="765">
        <f>SUM(L5:O5)</f>
        <v>0</v>
      </c>
      <c r="T5" s="112"/>
    </row>
    <row r="6" spans="1:20" ht="15.75">
      <c r="A6" s="468">
        <v>2006</v>
      </c>
      <c r="B6" s="465">
        <f>+'III.5.12.Trasp. recibidos'!B6-'III.5.13.Trasp. cedidos'!B6</f>
        <v>0</v>
      </c>
      <c r="C6" s="465">
        <f>+'III.5.12.Trasp. recibidos'!C6-'III.5.13.Trasp. cedidos'!C6</f>
        <v>-62</v>
      </c>
      <c r="D6" s="465">
        <f>+'III.5.12.Trasp. recibidos'!D6-'III.5.13.Trasp. cedidos'!D6</f>
        <v>336</v>
      </c>
      <c r="E6" s="465">
        <f>+'III.5.12.Trasp. recibidos'!E6-'III.5.13.Trasp. cedidos'!E6</f>
        <v>-5</v>
      </c>
      <c r="F6" s="465">
        <f>+'III.5.12.Trasp. recibidos'!F6-'III.5.13.Trasp. cedidos'!F6</f>
        <v>0</v>
      </c>
      <c r="G6" s="465">
        <f>+'III.5.12.Trasp. recibidos'!G6-'III.5.13.Trasp. cedidos'!G6</f>
        <v>989</v>
      </c>
      <c r="H6" s="465">
        <f>+'III.5.12.Trasp. recibidos'!H6-'III.5.13.Trasp. cedidos'!H6</f>
        <v>14</v>
      </c>
      <c r="I6" s="465">
        <f>+'III.5.12.Trasp. recibidos'!I6-'III.5.13.Trasp. cedidos'!I6</f>
        <v>-136</v>
      </c>
      <c r="J6" s="465">
        <f>+'III.5.12.Trasp. recibidos'!J6-'III.5.13.Trasp. cedidos'!J6</f>
        <v>-178</v>
      </c>
      <c r="K6" s="470">
        <f t="shared" si="0"/>
        <v>958</v>
      </c>
      <c r="L6" s="465">
        <f>+'III.5.12.Trasp. recibidos'!L6-'III.5.13.Trasp. cedidos'!L6</f>
        <v>-259</v>
      </c>
      <c r="M6" s="465">
        <f>+'III.5.12.Trasp. recibidos'!M6-'III.5.13.Trasp. cedidos'!M6</f>
        <v>-719</v>
      </c>
      <c r="N6" s="465">
        <f>+'III.5.12.Trasp. recibidos'!N6-'III.5.13.Trasp. cedidos'!N6</f>
        <v>0</v>
      </c>
      <c r="O6" s="465">
        <f>+'III.5.12.Trasp. recibidos'!O6-'III.5.13.Trasp. cedidos'!O6</f>
        <v>20</v>
      </c>
      <c r="P6" s="470">
        <f t="shared" ref="P6:P15" si="1">SUM(L6:O6)</f>
        <v>-958</v>
      </c>
      <c r="R6" s="94"/>
      <c r="S6" s="94"/>
      <c r="T6" s="112"/>
    </row>
    <row r="7" spans="1:20" ht="17.25" customHeight="1">
      <c r="A7" s="468">
        <v>2007</v>
      </c>
      <c r="B7" s="465">
        <f>+'III.5.12.Trasp. recibidos'!B7-'III.5.13.Trasp. cedidos'!B7</f>
        <v>0</v>
      </c>
      <c r="C7" s="465">
        <f>+'III.5.12.Trasp. recibidos'!C7-'III.5.13.Trasp. cedidos'!C7</f>
        <v>-363</v>
      </c>
      <c r="D7" s="465">
        <f>+'III.5.12.Trasp. recibidos'!D7-'III.5.13.Trasp. cedidos'!D7</f>
        <v>47</v>
      </c>
      <c r="E7" s="465">
        <f>+'III.5.12.Trasp. recibidos'!E7-'III.5.13.Trasp. cedidos'!E7</f>
        <v>-72</v>
      </c>
      <c r="F7" s="465">
        <f>+'III.5.12.Trasp. recibidos'!F7-'III.5.13.Trasp. cedidos'!F7</f>
        <v>0</v>
      </c>
      <c r="G7" s="465">
        <f>+'III.5.12.Trasp. recibidos'!G7-'III.5.13.Trasp. cedidos'!G7</f>
        <v>530</v>
      </c>
      <c r="H7" s="465">
        <f>+'III.5.12.Trasp. recibidos'!H7-'III.5.13.Trasp. cedidos'!H7</f>
        <v>0</v>
      </c>
      <c r="I7" s="465">
        <f>+'III.5.12.Trasp. recibidos'!I7-'III.5.13.Trasp. cedidos'!I7</f>
        <v>-261</v>
      </c>
      <c r="J7" s="465">
        <f>+'III.5.12.Trasp. recibidos'!J7-'III.5.13.Trasp. cedidos'!J7</f>
        <v>221</v>
      </c>
      <c r="K7" s="470">
        <f t="shared" si="0"/>
        <v>102</v>
      </c>
      <c r="L7" s="465">
        <f>+'III.5.12.Trasp. recibidos'!L7-'III.5.13.Trasp. cedidos'!L7</f>
        <v>-25</v>
      </c>
      <c r="M7" s="465">
        <f>+'III.5.12.Trasp. recibidos'!M7-'III.5.13.Trasp. cedidos'!M7</f>
        <v>-77</v>
      </c>
      <c r="N7" s="465">
        <f>+'III.5.12.Trasp. recibidos'!N7-'III.5.13.Trasp. cedidos'!N7</f>
        <v>0</v>
      </c>
      <c r="O7" s="465">
        <f>+'III.5.12.Trasp. recibidos'!O7-'III.5.13.Trasp. cedidos'!O7</f>
        <v>0</v>
      </c>
      <c r="P7" s="470">
        <f t="shared" si="1"/>
        <v>-102</v>
      </c>
      <c r="R7" s="94"/>
      <c r="S7" s="94"/>
      <c r="T7" s="112"/>
    </row>
    <row r="8" spans="1:20" ht="17.25" customHeight="1">
      <c r="A8" s="468">
        <v>2008</v>
      </c>
      <c r="B8" s="465">
        <f>+'III.5.12.Trasp. recibidos'!B8-'III.5.13.Trasp. cedidos'!B8</f>
        <v>0</v>
      </c>
      <c r="C8" s="465">
        <f>+'III.5.12.Trasp. recibidos'!C8-'III.5.13.Trasp. cedidos'!C8</f>
        <v>0</v>
      </c>
      <c r="D8" s="465">
        <f>+'III.5.12.Trasp. recibidos'!D8-'III.5.13.Trasp. cedidos'!D8</f>
        <v>0</v>
      </c>
      <c r="E8" s="465">
        <f>+'III.5.12.Trasp. recibidos'!E8-'III.5.13.Trasp. cedidos'!E8</f>
        <v>-71</v>
      </c>
      <c r="F8" s="465">
        <f>+'III.5.12.Trasp. recibidos'!F8-'III.5.13.Trasp. cedidos'!F8</f>
        <v>0</v>
      </c>
      <c r="G8" s="465">
        <f>+'III.5.12.Trasp. recibidos'!G8-'III.5.13.Trasp. cedidos'!G8</f>
        <v>432</v>
      </c>
      <c r="H8" s="465">
        <f>+'III.5.12.Trasp. recibidos'!H8-'III.5.13.Trasp. cedidos'!H8</f>
        <v>-16</v>
      </c>
      <c r="I8" s="465">
        <f>+'III.5.12.Trasp. recibidos'!I8-'III.5.13.Trasp. cedidos'!I8</f>
        <v>-231</v>
      </c>
      <c r="J8" s="465">
        <f>+'III.5.12.Trasp. recibidos'!J8-'III.5.13.Trasp. cedidos'!J8</f>
        <v>-48</v>
      </c>
      <c r="K8" s="470">
        <f t="shared" si="0"/>
        <v>66</v>
      </c>
      <c r="L8" s="465">
        <f>+'III.5.12.Trasp. recibidos'!L8-'III.5.13.Trasp. cedidos'!L8</f>
        <v>-7</v>
      </c>
      <c r="M8" s="465">
        <f>+'III.5.12.Trasp. recibidos'!M8-'III.5.13.Trasp. cedidos'!M8</f>
        <v>-59</v>
      </c>
      <c r="N8" s="465">
        <f>+'III.5.12.Trasp. recibidos'!N8-'III.5.13.Trasp. cedidos'!N8</f>
        <v>0</v>
      </c>
      <c r="O8" s="465">
        <f>+'III.5.12.Trasp. recibidos'!O8-'III.5.13.Trasp. cedidos'!O8</f>
        <v>0</v>
      </c>
      <c r="P8" s="470">
        <f t="shared" si="1"/>
        <v>-66</v>
      </c>
      <c r="R8" s="47"/>
      <c r="S8" s="82"/>
      <c r="T8" s="112"/>
    </row>
    <row r="9" spans="1:20" ht="15.75">
      <c r="A9" s="468">
        <v>2009</v>
      </c>
      <c r="B9" s="465">
        <f>+'III.5.12.Trasp. recibidos'!B9-'III.5.13.Trasp. cedidos'!B9</f>
        <v>0</v>
      </c>
      <c r="C9" s="465">
        <f>+'III.5.12.Trasp. recibidos'!C9-'III.5.13.Trasp. cedidos'!C9</f>
        <v>0</v>
      </c>
      <c r="D9" s="465">
        <f>+'III.5.12.Trasp. recibidos'!D9-'III.5.13.Trasp. cedidos'!D9</f>
        <v>0</v>
      </c>
      <c r="E9" s="465">
        <f>+'III.5.12.Trasp. recibidos'!E9-'III.5.13.Trasp. cedidos'!E9</f>
        <v>-5808</v>
      </c>
      <c r="F9" s="465">
        <f>+'III.5.12.Trasp. recibidos'!F9-'III.5.13.Trasp. cedidos'!F9</f>
        <v>0</v>
      </c>
      <c r="G9" s="465">
        <f>+'III.5.12.Trasp. recibidos'!G9-'III.5.13.Trasp. cedidos'!G9</f>
        <v>-4380</v>
      </c>
      <c r="H9" s="465">
        <f>+'III.5.12.Trasp. recibidos'!H9-'III.5.13.Trasp. cedidos'!H9</f>
        <v>-56</v>
      </c>
      <c r="I9" s="465">
        <f>+'III.5.12.Trasp. recibidos'!I9-'III.5.13.Trasp. cedidos'!I9</f>
        <v>-9243</v>
      </c>
      <c r="J9" s="465">
        <f>+'III.5.12.Trasp. recibidos'!J9-'III.5.13.Trasp. cedidos'!J9</f>
        <v>-4163</v>
      </c>
      <c r="K9" s="470">
        <f t="shared" si="0"/>
        <v>-23650</v>
      </c>
      <c r="L9" s="465">
        <f>+'III.5.12.Trasp. recibidos'!L9-'III.5.13.Trasp. cedidos'!L9</f>
        <v>-7</v>
      </c>
      <c r="M9" s="465">
        <f>+'III.5.12.Trasp. recibidos'!M9-'III.5.13.Trasp. cedidos'!M9</f>
        <v>-64</v>
      </c>
      <c r="N9" s="465">
        <f>+'III.5.12.Trasp. recibidos'!N9-'III.5.13.Trasp. cedidos'!N9</f>
        <v>21139</v>
      </c>
      <c r="O9" s="465">
        <f>+'III.5.12.Trasp. recibidos'!O9-'III.5.13.Trasp. cedidos'!O9</f>
        <v>2582</v>
      </c>
      <c r="P9" s="470">
        <f t="shared" si="1"/>
        <v>23650</v>
      </c>
      <c r="R9" s="129"/>
      <c r="S9" s="94"/>
      <c r="T9" s="110"/>
    </row>
    <row r="10" spans="1:20" ht="15.75">
      <c r="A10" s="468">
        <v>2010</v>
      </c>
      <c r="B10" s="465">
        <f>+'III.5.12.Trasp. recibidos'!B10-'III.5.13.Trasp. cedidos'!B10</f>
        <v>0</v>
      </c>
      <c r="C10" s="465">
        <f>+'III.5.12.Trasp. recibidos'!C10-'III.5.13.Trasp. cedidos'!C10</f>
        <v>0</v>
      </c>
      <c r="D10" s="465">
        <f>+'III.5.12.Trasp. recibidos'!D10-'III.5.13.Trasp. cedidos'!D10</f>
        <v>0</v>
      </c>
      <c r="E10" s="465">
        <f>+'III.5.12.Trasp. recibidos'!E10-'III.5.13.Trasp. cedidos'!E10</f>
        <v>-1840</v>
      </c>
      <c r="F10" s="465">
        <f>+'III.5.12.Trasp. recibidos'!F10-'III.5.13.Trasp. cedidos'!F10</f>
        <v>0</v>
      </c>
      <c r="G10" s="465">
        <f>+'III.5.12.Trasp. recibidos'!G10-'III.5.13.Trasp. cedidos'!G10</f>
        <v>-1137</v>
      </c>
      <c r="H10" s="465">
        <f>+'III.5.12.Trasp. recibidos'!H10-'III.5.13.Trasp. cedidos'!H10</f>
        <v>-20</v>
      </c>
      <c r="I10" s="465">
        <f>+'III.5.12.Trasp. recibidos'!I10-'III.5.13.Trasp. cedidos'!I10</f>
        <v>-2753</v>
      </c>
      <c r="J10" s="465">
        <f>+'III.5.12.Trasp. recibidos'!J10-'III.5.13.Trasp. cedidos'!J10</f>
        <v>-1627</v>
      </c>
      <c r="K10" s="470">
        <f t="shared" si="0"/>
        <v>-7377</v>
      </c>
      <c r="L10" s="465">
        <f>+'III.5.12.Trasp. recibidos'!L10-'III.5.13.Trasp. cedidos'!L10</f>
        <v>-5</v>
      </c>
      <c r="M10" s="465">
        <f>+'III.5.12.Trasp. recibidos'!M10-'III.5.13.Trasp. cedidos'!M10</f>
        <v>-42</v>
      </c>
      <c r="N10" s="465">
        <f>+'III.5.12.Trasp. recibidos'!N10-'III.5.13.Trasp. cedidos'!N10</f>
        <v>3310</v>
      </c>
      <c r="O10" s="465">
        <f>+'III.5.12.Trasp. recibidos'!O10-'III.5.13.Trasp. cedidos'!O10</f>
        <v>4114</v>
      </c>
      <c r="P10" s="470">
        <f t="shared" si="1"/>
        <v>7377</v>
      </c>
      <c r="R10" s="129"/>
      <c r="S10" s="94"/>
      <c r="T10" s="110"/>
    </row>
    <row r="11" spans="1:20" ht="15.75">
      <c r="A11" s="468">
        <v>2011</v>
      </c>
      <c r="B11" s="465">
        <f>+'III.5.12.Trasp. recibidos'!B11-'III.5.13.Trasp. cedidos'!B11</f>
        <v>0</v>
      </c>
      <c r="C11" s="465">
        <f>+'III.5.12.Trasp. recibidos'!C11-'III.5.13.Trasp. cedidos'!C11</f>
        <v>0</v>
      </c>
      <c r="D11" s="465">
        <f>+'III.5.12.Trasp. recibidos'!D11-'III.5.13.Trasp. cedidos'!D11</f>
        <v>0</v>
      </c>
      <c r="E11" s="465">
        <f>+'III.5.12.Trasp. recibidos'!E11-'III.5.13.Trasp. cedidos'!E11</f>
        <v>-1031</v>
      </c>
      <c r="F11" s="465">
        <f>+'III.5.12.Trasp. recibidos'!F11-'III.5.13.Trasp. cedidos'!F11</f>
        <v>0</v>
      </c>
      <c r="G11" s="465">
        <f>+'III.5.12.Trasp. recibidos'!G11-'III.5.13.Trasp. cedidos'!G11</f>
        <v>2090</v>
      </c>
      <c r="H11" s="465">
        <f>+'III.5.12.Trasp. recibidos'!H11-'III.5.13.Trasp. cedidos'!H11</f>
        <v>-15</v>
      </c>
      <c r="I11" s="465">
        <f>+'III.5.12.Trasp. recibidos'!I11-'III.5.13.Trasp. cedidos'!I11</f>
        <v>-1867</v>
      </c>
      <c r="J11" s="465">
        <f>+'III.5.12.Trasp. recibidos'!J11-'III.5.13.Trasp. cedidos'!J11</f>
        <v>-1090</v>
      </c>
      <c r="K11" s="470">
        <f t="shared" si="0"/>
        <v>-1913</v>
      </c>
      <c r="L11" s="465">
        <f>+'III.5.12.Trasp. recibidos'!L11-'III.5.13.Trasp. cedidos'!L11</f>
        <v>-23</v>
      </c>
      <c r="M11" s="465">
        <f>+'III.5.12.Trasp. recibidos'!M11-'III.5.13.Trasp. cedidos'!M11</f>
        <v>-41</v>
      </c>
      <c r="N11" s="465">
        <f>+'III.5.12.Trasp. recibidos'!N11-'III.5.13.Trasp. cedidos'!N11</f>
        <v>1778</v>
      </c>
      <c r="O11" s="465">
        <f>+'III.5.12.Trasp. recibidos'!O11-'III.5.13.Trasp. cedidos'!O11</f>
        <v>199</v>
      </c>
      <c r="P11" s="470">
        <f t="shared" si="1"/>
        <v>1913</v>
      </c>
      <c r="R11" s="129"/>
      <c r="S11" s="94"/>
      <c r="T11" s="110"/>
    </row>
    <row r="12" spans="1:20" ht="15.75">
      <c r="A12" s="468" t="s">
        <v>482</v>
      </c>
      <c r="B12" s="465">
        <f>+'III.5.12.Trasp. recibidos'!B12-'III.5.13.Trasp. cedidos'!B12</f>
        <v>0</v>
      </c>
      <c r="C12" s="465">
        <f>+'III.5.12.Trasp. recibidos'!C12-'III.5.13.Trasp. cedidos'!C12</f>
        <v>0</v>
      </c>
      <c r="D12" s="465">
        <f>+'III.5.12.Trasp. recibidos'!D12-'III.5.13.Trasp. cedidos'!D12</f>
        <v>0</v>
      </c>
      <c r="E12" s="465">
        <f>+'III.5.12.Trasp. recibidos'!E12-'III.5.13.Trasp. cedidos'!E12</f>
        <v>-1617</v>
      </c>
      <c r="F12" s="465">
        <f>+'III.5.12.Trasp. recibidos'!F12-'III.5.13.Trasp. cedidos'!F12</f>
        <v>0</v>
      </c>
      <c r="G12" s="465">
        <f>+'III.5.12.Trasp. recibidos'!G12-'III.5.13.Trasp. cedidos'!G12</f>
        <v>1986</v>
      </c>
      <c r="H12" s="465">
        <f>+'III.5.12.Trasp. recibidos'!H12-'III.5.13.Trasp. cedidos'!H12</f>
        <v>-28</v>
      </c>
      <c r="I12" s="465">
        <f>+'III.5.12.Trasp. recibidos'!I12-'III.5.13.Trasp. cedidos'!I12</f>
        <v>-2359</v>
      </c>
      <c r="J12" s="465">
        <f>+'III.5.12.Trasp. recibidos'!J12-'III.5.13.Trasp. cedidos'!J12</f>
        <v>-1438</v>
      </c>
      <c r="K12" s="470">
        <f t="shared" si="0"/>
        <v>-3456</v>
      </c>
      <c r="L12" s="465">
        <f>+'III.5.12.Trasp. recibidos'!L12-'III.5.13.Trasp. cedidos'!L12</f>
        <v>-3</v>
      </c>
      <c r="M12" s="465">
        <f>+'III.5.12.Trasp. recibidos'!M12-'III.5.13.Trasp. cedidos'!M12</f>
        <v>497</v>
      </c>
      <c r="N12" s="465">
        <f>+'III.5.12.Trasp. recibidos'!N12-'III.5.13.Trasp. cedidos'!N12</f>
        <v>2945</v>
      </c>
      <c r="O12" s="465">
        <f>+'III.5.12.Trasp. recibidos'!O12-'III.5.13.Trasp. cedidos'!O12</f>
        <v>17</v>
      </c>
      <c r="P12" s="470">
        <f t="shared" si="1"/>
        <v>3456</v>
      </c>
      <c r="R12" s="129"/>
      <c r="S12" s="94"/>
      <c r="T12" s="110"/>
    </row>
    <row r="13" spans="1:20" ht="15.75">
      <c r="A13" s="468" t="s">
        <v>561</v>
      </c>
      <c r="B13" s="465">
        <f>+'III.5.12.Trasp. recibidos'!B13-'III.5.13.Trasp. cedidos'!B13</f>
        <v>0</v>
      </c>
      <c r="C13" s="465">
        <f>+'III.5.12.Trasp. recibidos'!C13-'III.5.13.Trasp. cedidos'!C13</f>
        <v>0</v>
      </c>
      <c r="D13" s="465">
        <f>+'III.5.12.Trasp. recibidos'!D13-'III.5.13.Trasp. cedidos'!D13</f>
        <v>0</v>
      </c>
      <c r="E13" s="465">
        <f>+'III.5.12.Trasp. recibidos'!E13-'III.5.13.Trasp. cedidos'!E13</f>
        <v>-2160</v>
      </c>
      <c r="F13" s="465">
        <f>+'III.5.12.Trasp. recibidos'!F13-'III.5.13.Trasp. cedidos'!F13</f>
        <v>0</v>
      </c>
      <c r="G13" s="465">
        <f>+'III.5.12.Trasp. recibidos'!G13-'III.5.13.Trasp. cedidos'!G13</f>
        <v>4515</v>
      </c>
      <c r="H13" s="465">
        <f>+'III.5.12.Trasp. recibidos'!H13-'III.5.13.Trasp. cedidos'!H13</f>
        <v>-26</v>
      </c>
      <c r="I13" s="465">
        <f>+'III.5.12.Trasp. recibidos'!I13-'III.5.13.Trasp. cedidos'!I13</f>
        <v>-3839</v>
      </c>
      <c r="J13" s="465">
        <f>+'III.5.12.Trasp. recibidos'!J13-'III.5.13.Trasp. cedidos'!J13</f>
        <v>-2232</v>
      </c>
      <c r="K13" s="470">
        <f t="shared" si="0"/>
        <v>-3742</v>
      </c>
      <c r="L13" s="465">
        <f>+'III.5.12.Trasp. recibidos'!L13-'III.5.13.Trasp. cedidos'!L13</f>
        <v>-7</v>
      </c>
      <c r="M13" s="465">
        <f>+'III.5.12.Trasp. recibidos'!M13-'III.5.13.Trasp. cedidos'!M13</f>
        <v>-32</v>
      </c>
      <c r="N13" s="465">
        <f>+'III.5.12.Trasp. recibidos'!N13-'III.5.13.Trasp. cedidos'!N13</f>
        <v>2249</v>
      </c>
      <c r="O13" s="465">
        <f>+'III.5.12.Trasp. recibidos'!O13-'III.5.13.Trasp. cedidos'!O13</f>
        <v>1532</v>
      </c>
      <c r="P13" s="470">
        <f t="shared" si="1"/>
        <v>3742</v>
      </c>
      <c r="R13" s="129"/>
      <c r="S13" s="94"/>
      <c r="T13" s="110"/>
    </row>
    <row r="14" spans="1:20" ht="15.75">
      <c r="A14" s="468" t="str">
        <f>+'[3]V.3.3 Trasp. cedidos'!A15</f>
        <v>2014</v>
      </c>
      <c r="B14" s="465">
        <f>+'III.5.12.Trasp. recibidos'!B14-'III.5.13.Trasp. cedidos'!B14</f>
        <v>0</v>
      </c>
      <c r="C14" s="465">
        <f>+'III.5.12.Trasp. recibidos'!C14-'III.5.13.Trasp. cedidos'!C14</f>
        <v>0</v>
      </c>
      <c r="D14" s="465">
        <f>+'III.5.12.Trasp. recibidos'!D14-'III.5.13.Trasp. cedidos'!D14</f>
        <v>0</v>
      </c>
      <c r="E14" s="465">
        <f>+'III.5.12.Trasp. recibidos'!E14-'III.5.13.Trasp. cedidos'!E14</f>
        <v>-5285</v>
      </c>
      <c r="F14" s="465">
        <f>+'III.5.12.Trasp. recibidos'!F14-'III.5.13.Trasp. cedidos'!F14</f>
        <v>0</v>
      </c>
      <c r="G14" s="465">
        <f>+'III.5.12.Trasp. recibidos'!G14-'III.5.13.Trasp. cedidos'!G14</f>
        <v>7338</v>
      </c>
      <c r="H14" s="465">
        <f>+'III.5.12.Trasp. recibidos'!H14-'III.5.13.Trasp. cedidos'!H14</f>
        <v>661</v>
      </c>
      <c r="I14" s="465">
        <f>+'III.5.12.Trasp. recibidos'!I14-'III.5.13.Trasp. cedidos'!I14</f>
        <v>-6830</v>
      </c>
      <c r="J14" s="465">
        <f>+'III.5.12.Trasp. recibidos'!J14-'III.5.13.Trasp. cedidos'!J14</f>
        <v>-3337</v>
      </c>
      <c r="K14" s="470">
        <f>SUM(B14:J14)</f>
        <v>-7453</v>
      </c>
      <c r="L14" s="465">
        <f>+'III.5.12.Trasp. recibidos'!L14-'III.5.13.Trasp. cedidos'!L14</f>
        <v>-5</v>
      </c>
      <c r="M14" s="465">
        <f>+'III.5.12.Trasp. recibidos'!M14-'III.5.13.Trasp. cedidos'!M14</f>
        <v>-32</v>
      </c>
      <c r="N14" s="465">
        <f>+'III.5.12.Trasp. recibidos'!N14-'III.5.13.Trasp. cedidos'!N14</f>
        <v>7035</v>
      </c>
      <c r="O14" s="465">
        <f>+'III.5.12.Trasp. recibidos'!O14-'III.5.13.Trasp. cedidos'!O14</f>
        <v>455</v>
      </c>
      <c r="P14" s="470">
        <f t="shared" si="1"/>
        <v>7453</v>
      </c>
      <c r="R14" s="129"/>
      <c r="S14" s="94"/>
      <c r="T14" s="110"/>
    </row>
    <row r="15" spans="1:20" ht="15.75">
      <c r="A15" s="468" t="s">
        <v>1006</v>
      </c>
      <c r="B15" s="465">
        <f>+'III.5.12.Trasp. recibidos'!B15-'III.5.13.Trasp. cedidos'!B15</f>
        <v>0</v>
      </c>
      <c r="C15" s="465">
        <f>+'III.5.12.Trasp. recibidos'!C15-'III.5.13.Trasp. cedidos'!C15</f>
        <v>0</v>
      </c>
      <c r="D15" s="465">
        <f>+'III.5.12.Trasp. recibidos'!D15-'III.5.13.Trasp. cedidos'!D15</f>
        <v>0</v>
      </c>
      <c r="E15" s="465">
        <f>+'III.5.12.Trasp. recibidos'!E15-'III.5.13.Trasp. cedidos'!E15</f>
        <v>-5094</v>
      </c>
      <c r="F15" s="465">
        <f>+'III.5.12.Trasp. recibidos'!F15-'III.5.13.Trasp. cedidos'!F15</f>
        <v>0</v>
      </c>
      <c r="G15" s="465">
        <f>+'III.5.12.Trasp. recibidos'!G15-'III.5.13.Trasp. cedidos'!G15</f>
        <v>10690</v>
      </c>
      <c r="H15" s="465">
        <f>+'III.5.12.Trasp. recibidos'!H15-'III.5.13.Trasp. cedidos'!H15</f>
        <v>794</v>
      </c>
      <c r="I15" s="465">
        <f>+'III.5.12.Trasp. recibidos'!I15-'III.5.13.Trasp. cedidos'!I15</f>
        <v>-7891</v>
      </c>
      <c r="J15" s="465">
        <f>+'III.5.12.Trasp. recibidos'!J15-'III.5.13.Trasp. cedidos'!J15</f>
        <v>-3926</v>
      </c>
      <c r="K15" s="470">
        <f>SUM(B15:J15)</f>
        <v>-5427</v>
      </c>
      <c r="L15" s="465">
        <f>+'III.5.12.Trasp. recibidos'!L15-'III.5.13.Trasp. cedidos'!L15</f>
        <v>-2</v>
      </c>
      <c r="M15" s="465">
        <f>+'III.5.12.Trasp. recibidos'!M15-'III.5.13.Trasp. cedidos'!M15</f>
        <v>-24</v>
      </c>
      <c r="N15" s="465">
        <f>+'III.5.12.Trasp. recibidos'!N15-'III.5.13.Trasp. cedidos'!N15</f>
        <v>5112</v>
      </c>
      <c r="O15" s="465">
        <f>+'III.5.12.Trasp. recibidos'!O15-'III.5.13.Trasp. cedidos'!O15</f>
        <v>341</v>
      </c>
      <c r="P15" s="470">
        <f t="shared" si="1"/>
        <v>5427</v>
      </c>
      <c r="R15" s="129"/>
      <c r="S15" s="94"/>
      <c r="T15" s="110"/>
    </row>
    <row r="16" spans="1:20" s="134" customFormat="1" ht="20.25" customHeight="1">
      <c r="A16" s="463" t="s">
        <v>23</v>
      </c>
      <c r="B16" s="471">
        <f>SUM(B5:B15)</f>
        <v>0</v>
      </c>
      <c r="C16" s="469">
        <f>SUM(C5:C15)</f>
        <v>-478</v>
      </c>
      <c r="D16" s="469">
        <f t="shared" ref="D16:J16" si="2">SUM(D5:D15)</f>
        <v>648</v>
      </c>
      <c r="E16" s="469">
        <f t="shared" si="2"/>
        <v>-23003</v>
      </c>
      <c r="F16" s="469">
        <f t="shared" si="2"/>
        <v>0</v>
      </c>
      <c r="G16" s="469">
        <f t="shared" si="2"/>
        <v>23105</v>
      </c>
      <c r="H16" s="469">
        <f t="shared" si="2"/>
        <v>1303</v>
      </c>
      <c r="I16" s="469">
        <f t="shared" si="2"/>
        <v>-35475</v>
      </c>
      <c r="J16" s="469">
        <f t="shared" si="2"/>
        <v>-17992</v>
      </c>
      <c r="K16" s="974">
        <f t="shared" ref="K16:P16" si="3">SUM(K5:K15)</f>
        <v>-51892</v>
      </c>
      <c r="L16" s="469">
        <f t="shared" si="3"/>
        <v>-343</v>
      </c>
      <c r="M16" s="469">
        <f t="shared" si="3"/>
        <v>-593</v>
      </c>
      <c r="N16" s="469">
        <f t="shared" si="3"/>
        <v>43568</v>
      </c>
      <c r="O16" s="469">
        <f t="shared" si="3"/>
        <v>9260</v>
      </c>
      <c r="P16" s="974">
        <f t="shared" si="3"/>
        <v>51892</v>
      </c>
      <c r="R16" s="442"/>
      <c r="S16" s="443"/>
      <c r="T16" s="444"/>
    </row>
    <row r="17" spans="1:20">
      <c r="A17" s="96"/>
      <c r="B17" s="96"/>
      <c r="C17" s="96"/>
      <c r="D17" s="96"/>
      <c r="E17" s="96"/>
      <c r="F17" s="96"/>
      <c r="G17" s="77">
        <f>638+341</f>
        <v>979</v>
      </c>
      <c r="H17" s="96">
        <f>59+65</f>
        <v>124</v>
      </c>
      <c r="I17" s="96">
        <f>-550-711</f>
        <v>-1261</v>
      </c>
      <c r="J17" s="96">
        <f>-94-20</f>
        <v>-114</v>
      </c>
      <c r="K17" s="96"/>
      <c r="L17" s="96">
        <v>-1</v>
      </c>
      <c r="M17" s="96">
        <v>7</v>
      </c>
      <c r="N17" s="96">
        <f>568+112</f>
        <v>680</v>
      </c>
      <c r="O17" s="96">
        <f>37-5</f>
        <v>32</v>
      </c>
      <c r="P17" s="96"/>
      <c r="Q17" s="96"/>
      <c r="R17" s="96"/>
      <c r="T17" s="112"/>
    </row>
    <row r="18" spans="1:20">
      <c r="A18" s="96"/>
      <c r="B18" s="96"/>
      <c r="C18" s="96"/>
      <c r="D18" s="96"/>
      <c r="E18" s="96"/>
      <c r="F18" s="96"/>
      <c r="G18" s="96"/>
      <c r="H18" s="96"/>
      <c r="I18" s="96"/>
      <c r="J18" s="96"/>
      <c r="K18" s="96"/>
      <c r="L18" s="96"/>
      <c r="M18" s="96"/>
      <c r="N18" s="96"/>
      <c r="O18" s="96"/>
      <c r="P18" s="96"/>
      <c r="Q18" s="96"/>
      <c r="R18" s="96"/>
      <c r="T18" s="112"/>
    </row>
    <row r="19" spans="1:20">
      <c r="A19" s="96"/>
      <c r="B19" s="96"/>
      <c r="C19" s="96"/>
      <c r="D19" s="96"/>
      <c r="E19" s="96"/>
      <c r="F19" s="96"/>
      <c r="G19" s="96"/>
      <c r="H19" s="96"/>
      <c r="I19" s="96"/>
      <c r="J19" s="96"/>
      <c r="K19" s="96"/>
      <c r="L19" s="96"/>
      <c r="M19" s="96"/>
      <c r="N19" s="96"/>
      <c r="O19" s="96"/>
      <c r="P19" s="96"/>
      <c r="Q19" s="96"/>
      <c r="R19" s="96"/>
      <c r="T19" s="112"/>
    </row>
    <row r="20" spans="1:20">
      <c r="A20" s="96"/>
      <c r="B20" s="96"/>
      <c r="C20" s="96"/>
      <c r="D20" s="96"/>
      <c r="E20" s="96"/>
      <c r="F20" s="96"/>
      <c r="G20" s="96"/>
      <c r="H20" s="96"/>
      <c r="I20" s="96"/>
      <c r="J20" s="96"/>
      <c r="K20" s="96"/>
      <c r="L20" s="96"/>
      <c r="M20" s="96"/>
      <c r="N20" s="96"/>
      <c r="O20" s="96"/>
      <c r="P20" s="96"/>
      <c r="Q20" s="96"/>
      <c r="R20" s="96"/>
      <c r="T20" s="112"/>
    </row>
    <row r="21" spans="1:20">
      <c r="A21" s="96"/>
      <c r="B21" s="96"/>
      <c r="C21" s="96"/>
      <c r="D21" s="96"/>
      <c r="E21" s="96"/>
      <c r="F21" s="96"/>
      <c r="G21" s="96"/>
      <c r="H21" s="96"/>
      <c r="I21" s="96"/>
      <c r="J21" s="96"/>
      <c r="K21" s="96"/>
      <c r="L21" s="96"/>
      <c r="M21" s="96"/>
      <c r="N21" s="96"/>
      <c r="O21" s="96"/>
      <c r="P21" s="96"/>
      <c r="Q21" s="96"/>
      <c r="R21" s="96"/>
      <c r="T21" s="112"/>
    </row>
    <row r="22" spans="1:20">
      <c r="A22" s="96"/>
      <c r="B22" s="96"/>
      <c r="C22" s="96"/>
      <c r="D22" s="96"/>
      <c r="E22" s="96"/>
      <c r="F22" s="96"/>
      <c r="G22" s="96"/>
      <c r="H22" s="96"/>
      <c r="I22" s="96"/>
      <c r="J22" s="96"/>
      <c r="K22" s="96"/>
      <c r="L22" s="96"/>
      <c r="M22" s="96"/>
      <c r="N22" s="96"/>
      <c r="O22" s="96"/>
      <c r="P22" s="96"/>
      <c r="Q22" s="96"/>
      <c r="R22" s="96"/>
    </row>
    <row r="23" spans="1:20">
      <c r="A23" s="96"/>
      <c r="B23" s="96"/>
      <c r="C23" s="96"/>
      <c r="D23" s="96"/>
      <c r="E23" s="96"/>
      <c r="F23" s="96"/>
      <c r="G23" s="96"/>
      <c r="H23" s="96"/>
      <c r="I23" s="96"/>
      <c r="J23" s="96"/>
      <c r="K23" s="96"/>
      <c r="L23" s="96"/>
      <c r="M23" s="96"/>
      <c r="N23" s="96"/>
      <c r="O23" s="96"/>
      <c r="P23" s="96"/>
      <c r="Q23" s="96"/>
      <c r="R23" s="96"/>
    </row>
    <row r="24" spans="1:20">
      <c r="A24" s="96"/>
      <c r="B24" s="96"/>
      <c r="C24" s="96"/>
      <c r="D24" s="96"/>
      <c r="E24" s="96"/>
      <c r="F24" s="96"/>
      <c r="G24" s="96"/>
      <c r="H24" s="96"/>
      <c r="I24" s="96"/>
      <c r="J24" s="96"/>
      <c r="K24" s="96"/>
      <c r="L24" s="96"/>
      <c r="M24" s="96"/>
      <c r="N24" s="96"/>
      <c r="O24" s="96"/>
      <c r="P24" s="96"/>
      <c r="Q24" s="96"/>
      <c r="R24" s="96"/>
    </row>
    <row r="25" spans="1:20">
      <c r="A25" s="96"/>
      <c r="B25" s="96"/>
      <c r="C25" s="96"/>
      <c r="D25" s="96"/>
      <c r="E25" s="96"/>
      <c r="F25" s="96"/>
      <c r="G25" s="96"/>
      <c r="H25" s="96"/>
      <c r="I25" s="96"/>
      <c r="J25" s="96"/>
      <c r="K25" s="96"/>
      <c r="L25" s="96"/>
      <c r="M25" s="96"/>
      <c r="N25" s="96"/>
      <c r="O25" s="96"/>
      <c r="P25" s="96"/>
      <c r="Q25" s="96"/>
      <c r="R25" s="96"/>
    </row>
    <row r="26" spans="1:20">
      <c r="A26" s="96"/>
      <c r="B26" s="96"/>
      <c r="C26" s="96"/>
      <c r="D26" s="96"/>
      <c r="E26" s="96"/>
      <c r="F26" s="96"/>
      <c r="G26" s="96"/>
      <c r="H26" s="96"/>
      <c r="I26" s="96"/>
      <c r="J26" s="96"/>
      <c r="K26" s="96"/>
      <c r="L26" s="96"/>
      <c r="M26" s="96"/>
      <c r="N26" s="96"/>
      <c r="O26" s="96"/>
      <c r="P26" s="96"/>
      <c r="Q26" s="96"/>
      <c r="R26" s="96"/>
    </row>
    <row r="27" spans="1:20">
      <c r="A27" s="96"/>
      <c r="B27" s="96"/>
      <c r="C27" s="96"/>
      <c r="D27" s="96"/>
      <c r="E27" s="96"/>
      <c r="F27" s="96"/>
      <c r="G27" s="96"/>
      <c r="H27" s="96"/>
      <c r="I27" s="96"/>
      <c r="J27" s="96"/>
      <c r="K27" s="96"/>
      <c r="L27" s="96"/>
      <c r="M27" s="96"/>
      <c r="N27" s="96"/>
      <c r="O27" s="96"/>
      <c r="P27" s="96"/>
      <c r="Q27" s="96"/>
      <c r="R27" s="96"/>
      <c r="T27" s="112"/>
    </row>
    <row r="28" spans="1:20">
      <c r="A28" s="96"/>
      <c r="B28" s="96"/>
      <c r="C28" s="96"/>
      <c r="D28" s="96"/>
      <c r="E28" s="96"/>
      <c r="F28" s="96"/>
      <c r="G28" s="96"/>
      <c r="H28" s="96"/>
      <c r="I28" s="96"/>
      <c r="J28" s="96"/>
      <c r="K28" s="96"/>
      <c r="L28" s="96"/>
      <c r="M28" s="96"/>
      <c r="N28" s="96"/>
      <c r="O28" s="96"/>
      <c r="P28" s="96"/>
      <c r="Q28" s="96"/>
      <c r="R28" s="96"/>
      <c r="T28" s="112"/>
    </row>
    <row r="29" spans="1:20">
      <c r="A29" s="96"/>
      <c r="B29" s="96"/>
      <c r="C29" s="96"/>
      <c r="D29" s="96"/>
      <c r="E29" s="96"/>
      <c r="F29" s="96"/>
      <c r="G29" s="96"/>
      <c r="H29" s="96"/>
      <c r="I29" s="96"/>
      <c r="J29" s="96"/>
      <c r="K29" s="96"/>
      <c r="L29" s="96"/>
      <c r="M29" s="96"/>
      <c r="N29" s="96"/>
      <c r="O29" s="96"/>
      <c r="P29" s="96"/>
      <c r="Q29" s="96"/>
      <c r="R29" s="96"/>
      <c r="T29" s="112"/>
    </row>
    <row r="30" spans="1:20">
      <c r="A30" s="96"/>
      <c r="B30" s="96"/>
      <c r="C30" s="96"/>
      <c r="D30" s="96"/>
      <c r="E30" s="96"/>
      <c r="F30" s="96"/>
      <c r="G30" s="96"/>
      <c r="H30" s="96"/>
      <c r="I30" s="96"/>
      <c r="J30" s="96"/>
      <c r="K30" s="96"/>
      <c r="L30" s="96"/>
      <c r="M30" s="96"/>
      <c r="N30" s="96"/>
      <c r="O30" s="96"/>
      <c r="P30" s="96"/>
      <c r="Q30" s="96"/>
      <c r="R30" s="96"/>
      <c r="T30" s="112"/>
    </row>
    <row r="31" spans="1:20">
      <c r="A31" s="96"/>
      <c r="B31" s="96"/>
      <c r="C31" s="96"/>
      <c r="D31" s="96"/>
      <c r="E31" s="96"/>
      <c r="F31" s="96"/>
      <c r="G31" s="96"/>
      <c r="H31" s="96"/>
      <c r="I31" s="96"/>
      <c r="J31" s="96"/>
      <c r="K31" s="96"/>
      <c r="L31" s="96"/>
      <c r="M31" s="96"/>
      <c r="N31" s="96"/>
      <c r="O31" s="96"/>
      <c r="P31" s="96"/>
      <c r="Q31" s="96"/>
      <c r="R31" s="96"/>
      <c r="T31" s="112"/>
    </row>
    <row r="32" spans="1:20">
      <c r="A32" s="96"/>
      <c r="B32" s="96"/>
      <c r="C32" s="96"/>
      <c r="D32" s="96"/>
      <c r="E32" s="96"/>
      <c r="F32" s="96"/>
      <c r="G32" s="96"/>
      <c r="H32" s="96"/>
      <c r="I32" s="96"/>
      <c r="J32" s="96"/>
      <c r="K32" s="96"/>
      <c r="L32" s="96"/>
      <c r="M32" s="96"/>
      <c r="N32" s="96"/>
      <c r="O32" s="96"/>
      <c r="P32" s="96"/>
      <c r="Q32" s="96"/>
      <c r="R32" s="96"/>
    </row>
    <row r="33" spans="1:18">
      <c r="A33" s="96"/>
      <c r="B33" s="96"/>
      <c r="C33" s="96"/>
      <c r="D33" s="96"/>
      <c r="E33" s="96"/>
      <c r="F33" s="96"/>
      <c r="G33" s="96"/>
      <c r="H33" s="96"/>
      <c r="I33" s="96"/>
      <c r="J33" s="96"/>
      <c r="K33" s="96"/>
      <c r="L33" s="96"/>
      <c r="M33" s="96"/>
      <c r="N33" s="96"/>
      <c r="O33" s="96"/>
      <c r="P33" s="96"/>
      <c r="Q33" s="96"/>
      <c r="R33" s="96"/>
    </row>
    <row r="34" spans="1:18">
      <c r="A34" s="96"/>
      <c r="B34" s="96"/>
      <c r="C34" s="96"/>
      <c r="D34" s="96"/>
      <c r="E34" s="96"/>
      <c r="F34" s="96"/>
      <c r="G34" s="96"/>
      <c r="H34" s="96"/>
      <c r="I34" s="96"/>
      <c r="J34" s="96"/>
      <c r="K34" s="96"/>
      <c r="L34" s="96"/>
      <c r="M34" s="96"/>
      <c r="N34" s="96"/>
      <c r="O34" s="96"/>
      <c r="P34" s="96"/>
      <c r="Q34" s="96"/>
      <c r="R34" s="96"/>
    </row>
    <row r="35" spans="1:18">
      <c r="A35" s="96"/>
      <c r="B35" s="96"/>
      <c r="C35" s="96"/>
      <c r="D35" s="28"/>
      <c r="E35" s="96"/>
      <c r="F35" s="96"/>
      <c r="G35" s="96"/>
      <c r="H35" s="96"/>
      <c r="I35" s="96"/>
      <c r="J35" s="96"/>
      <c r="K35" s="96"/>
      <c r="L35" s="96"/>
      <c r="M35" s="96"/>
      <c r="N35" s="96"/>
      <c r="O35" s="96"/>
      <c r="P35" s="96"/>
      <c r="Q35" s="96"/>
      <c r="R35" s="96"/>
    </row>
    <row r="36" spans="1:18">
      <c r="A36" s="96"/>
      <c r="B36" s="96"/>
      <c r="C36" s="96"/>
      <c r="D36" s="96"/>
      <c r="E36" s="96"/>
      <c r="F36" s="96"/>
      <c r="G36" s="96"/>
      <c r="H36" s="96"/>
      <c r="I36" s="96"/>
      <c r="J36" s="96"/>
      <c r="K36" s="96"/>
      <c r="L36" s="96"/>
      <c r="M36" s="96"/>
      <c r="N36" s="96"/>
      <c r="O36" s="96"/>
      <c r="P36" s="96"/>
      <c r="Q36" s="96"/>
      <c r="R36" s="96"/>
    </row>
    <row r="37" spans="1:18">
      <c r="A37" s="96"/>
      <c r="B37" s="96"/>
      <c r="C37" s="96"/>
      <c r="D37" s="96"/>
      <c r="E37" s="96"/>
      <c r="F37" s="96"/>
      <c r="G37" s="96"/>
      <c r="H37" s="96"/>
      <c r="I37" s="96"/>
      <c r="J37" s="96"/>
      <c r="K37" s="96"/>
      <c r="L37" s="96"/>
      <c r="M37" s="96"/>
      <c r="N37" s="96"/>
      <c r="O37" s="96"/>
      <c r="P37" s="96"/>
      <c r="Q37" s="96"/>
      <c r="R37" s="96"/>
    </row>
    <row r="38" spans="1:18">
      <c r="A38" s="96"/>
      <c r="B38" s="96"/>
      <c r="C38" s="96"/>
      <c r="D38" s="96"/>
      <c r="E38" s="96"/>
      <c r="F38" s="96"/>
      <c r="G38" s="96"/>
      <c r="H38" s="96"/>
      <c r="I38" s="96"/>
      <c r="J38" s="96"/>
      <c r="K38" s="96"/>
      <c r="L38" s="96"/>
      <c r="M38" s="96"/>
      <c r="N38" s="96"/>
      <c r="O38" s="96"/>
      <c r="P38" s="96"/>
      <c r="Q38" s="96"/>
      <c r="R38" s="96"/>
    </row>
    <row r="39" spans="1:18">
      <c r="A39" s="96"/>
      <c r="B39" s="96"/>
      <c r="C39" s="96"/>
      <c r="D39" s="96"/>
      <c r="E39" s="96"/>
      <c r="F39" s="96"/>
      <c r="G39" s="96"/>
      <c r="H39" s="96"/>
      <c r="I39" s="96"/>
      <c r="J39" s="96"/>
      <c r="K39" s="96"/>
      <c r="L39" s="96"/>
      <c r="M39" s="96"/>
      <c r="N39" s="96"/>
      <c r="O39" s="96"/>
      <c r="P39" s="96"/>
      <c r="Q39" s="96"/>
      <c r="R39" s="96"/>
    </row>
    <row r="40" spans="1:18">
      <c r="A40" s="96"/>
      <c r="B40" s="96"/>
      <c r="C40" s="96"/>
      <c r="D40" s="96"/>
      <c r="E40" s="96"/>
      <c r="F40" s="96"/>
      <c r="G40" s="96"/>
      <c r="H40" s="96"/>
      <c r="I40" s="96"/>
      <c r="J40" s="96"/>
      <c r="K40" s="96"/>
      <c r="L40" s="96"/>
      <c r="M40" s="96"/>
      <c r="N40" s="96"/>
      <c r="O40" s="96"/>
      <c r="P40" s="96"/>
      <c r="Q40" s="96"/>
      <c r="R40" s="96"/>
    </row>
    <row r="41" spans="1:18">
      <c r="A41" s="96"/>
      <c r="B41" s="96"/>
      <c r="C41" s="96"/>
      <c r="D41" s="96"/>
      <c r="E41" s="96"/>
      <c r="F41" s="96"/>
      <c r="G41" s="96"/>
      <c r="H41" s="96"/>
      <c r="I41" s="96"/>
      <c r="J41" s="96"/>
      <c r="K41" s="96"/>
      <c r="L41" s="96"/>
      <c r="M41" s="96"/>
      <c r="N41" s="96"/>
      <c r="O41" s="96"/>
      <c r="P41" s="96"/>
      <c r="Q41" s="96"/>
      <c r="R41" s="96"/>
    </row>
    <row r="42" spans="1:18">
      <c r="A42" s="96"/>
      <c r="B42" s="96"/>
      <c r="C42" s="96"/>
      <c r="D42" s="96"/>
      <c r="E42" s="96"/>
      <c r="F42" s="96"/>
      <c r="G42" s="96"/>
      <c r="H42" s="96"/>
      <c r="I42" s="96"/>
      <c r="J42" s="96"/>
      <c r="K42" s="96"/>
      <c r="L42" s="96"/>
      <c r="M42" s="96"/>
      <c r="N42" s="96"/>
      <c r="O42" s="96"/>
      <c r="P42" s="96"/>
    </row>
    <row r="86" spans="1:16" s="39" customFormat="1">
      <c r="A86" s="77"/>
      <c r="B86" s="77"/>
      <c r="C86" s="77"/>
      <c r="D86" s="77"/>
      <c r="E86" s="77"/>
      <c r="F86" s="77"/>
      <c r="G86" s="77"/>
      <c r="H86" s="77"/>
      <c r="I86" s="77"/>
      <c r="J86" s="77"/>
      <c r="K86" s="77"/>
      <c r="L86" s="77"/>
      <c r="M86" s="77"/>
      <c r="N86" s="77"/>
      <c r="O86" s="77"/>
      <c r="P86" s="77"/>
    </row>
    <row r="87" spans="1:16" s="39" customFormat="1"/>
    <row r="88" spans="1:16" s="39" customFormat="1"/>
    <row r="89" spans="1:16" s="39" customFormat="1"/>
    <row r="90" spans="1:16" s="39" customFormat="1"/>
    <row r="91" spans="1:16" s="39" customFormat="1"/>
    <row r="92" spans="1:16" s="39" customFormat="1"/>
    <row r="93" spans="1:16" s="39" customFormat="1"/>
    <row r="94" spans="1:16" s="39" customFormat="1"/>
    <row r="95" spans="1:16" s="39" customFormat="1"/>
    <row r="96" spans="1:16" s="39" customFormat="1"/>
    <row r="97" s="39" customFormat="1"/>
    <row r="98" s="39" customFormat="1"/>
    <row r="99" s="39" customFormat="1"/>
    <row r="100" s="39" customFormat="1"/>
    <row r="101" s="39" customFormat="1"/>
    <row r="102" s="39" customFormat="1"/>
    <row r="103" s="39" customFormat="1"/>
    <row r="104" s="39" customFormat="1"/>
    <row r="105" s="39" customFormat="1"/>
    <row r="106" s="39" customFormat="1"/>
    <row r="107" s="39" customFormat="1"/>
    <row r="108" s="39" customFormat="1"/>
    <row r="109" s="39" customFormat="1"/>
    <row r="110" s="39" customFormat="1"/>
    <row r="111" s="39" customFormat="1"/>
    <row r="112" s="39" customFormat="1"/>
    <row r="113" spans="1:16" s="39" customFormat="1"/>
    <row r="114" spans="1:16" s="39" customFormat="1"/>
    <row r="115" spans="1:16" s="39" customFormat="1"/>
    <row r="116" spans="1:16" s="39" customFormat="1"/>
    <row r="117" spans="1:16" s="39" customFormat="1"/>
    <row r="118" spans="1:16" s="39" customFormat="1"/>
    <row r="119" spans="1:16">
      <c r="A119" s="39"/>
      <c r="B119" s="39"/>
      <c r="C119" s="39"/>
      <c r="D119" s="39"/>
      <c r="E119" s="39"/>
      <c r="F119" s="39"/>
      <c r="G119" s="39"/>
      <c r="H119" s="39"/>
      <c r="I119" s="39"/>
      <c r="J119" s="39"/>
      <c r="K119" s="39"/>
      <c r="L119" s="39"/>
      <c r="M119" s="39"/>
      <c r="N119" s="39"/>
      <c r="O119" s="39"/>
      <c r="P119" s="39"/>
    </row>
  </sheetData>
  <mergeCells count="3">
    <mergeCell ref="A1:S1"/>
    <mergeCell ref="A2:S2"/>
    <mergeCell ref="A3:P3"/>
  </mergeCells>
  <printOptions horizontalCentered="1" verticalCentered="1"/>
  <pageMargins left="0.4" right="0.4" top="0.25" bottom="0.25" header="0.31496062992126" footer="0.31496062992126"/>
  <pageSetup scale="50" orientation="landscape" r:id="rId1"/>
  <rowBreaks count="1" manualBreakCount="1">
    <brk id="15" max="18" man="1"/>
  </rowBreaks>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6">
    <tabColor rgb="FF0070C0"/>
    <pageSetUpPr fitToPage="1"/>
  </sheetPr>
  <dimension ref="A1:K50"/>
  <sheetViews>
    <sheetView showGridLines="0" view="pageBreakPreview" zoomScale="70" zoomScaleNormal="70" zoomScaleSheetLayoutView="70" workbookViewId="0">
      <selection activeCell="A44" sqref="A44:K50"/>
    </sheetView>
  </sheetViews>
  <sheetFormatPr baseColWidth="10" defaultColWidth="11.42578125" defaultRowHeight="15"/>
  <cols>
    <col min="1" max="1" width="31.140625" style="198" customWidth="1"/>
    <col min="2" max="2" width="18.7109375" style="77" customWidth="1"/>
    <col min="3" max="3" width="15.42578125" style="77" customWidth="1"/>
    <col min="4" max="4" width="15" style="77" customWidth="1"/>
    <col min="5" max="5" width="21.140625" style="77" customWidth="1"/>
    <col min="6" max="6" width="13.28515625" style="77" customWidth="1"/>
    <col min="7" max="7" width="19.28515625" style="77" customWidth="1"/>
    <col min="8" max="8" width="16.140625" style="77" customWidth="1"/>
    <col min="9" max="9" width="16.5703125" style="77" customWidth="1"/>
    <col min="10" max="10" width="16.140625" style="77" customWidth="1"/>
    <col min="11" max="11" width="17.140625" style="77" customWidth="1"/>
    <col min="12" max="16384" width="11.42578125" style="77"/>
  </cols>
  <sheetData>
    <row r="1" spans="1:11" ht="95.25" customHeight="1">
      <c r="A1" s="2071" t="s">
        <v>184</v>
      </c>
      <c r="B1" s="2071"/>
      <c r="C1" s="2071"/>
      <c r="D1" s="2071"/>
      <c r="E1" s="2071"/>
      <c r="F1" s="2071"/>
      <c r="G1" s="2071"/>
      <c r="H1" s="2071"/>
      <c r="I1" s="2071"/>
      <c r="J1" s="2071"/>
      <c r="K1" s="2071"/>
    </row>
    <row r="2" spans="1:11" s="1053" customFormat="1" ht="21" customHeight="1">
      <c r="A2" s="321" t="s">
        <v>722</v>
      </c>
      <c r="B2" s="322" t="s">
        <v>723</v>
      </c>
      <c r="C2" s="322" t="s">
        <v>100</v>
      </c>
      <c r="D2" s="322" t="s">
        <v>90</v>
      </c>
      <c r="E2" s="322" t="s">
        <v>91</v>
      </c>
      <c r="F2" s="322" t="s">
        <v>724</v>
      </c>
      <c r="G2" s="1051" t="s">
        <v>23</v>
      </c>
      <c r="H2" s="1621" t="s">
        <v>725</v>
      </c>
      <c r="I2" s="1052"/>
      <c r="J2" s="1052"/>
      <c r="K2" s="1052"/>
    </row>
    <row r="3" spans="1:11" ht="16.5" customHeight="1">
      <c r="A3" s="1468" t="s">
        <v>138</v>
      </c>
      <c r="B3" s="1470">
        <v>215328</v>
      </c>
      <c r="C3" s="1470">
        <v>53118</v>
      </c>
      <c r="D3" s="1470">
        <v>133</v>
      </c>
      <c r="E3" s="1470">
        <v>166566</v>
      </c>
      <c r="F3" s="1470">
        <v>212001</v>
      </c>
      <c r="G3" s="1473">
        <f t="shared" ref="G3:G34" si="0">SUM(B3:F3)</f>
        <v>647146</v>
      </c>
      <c r="H3" s="1622">
        <f t="shared" ref="H3:H10" si="1">G3/$G$36</f>
        <v>0.21511087178362134</v>
      </c>
      <c r="I3" s="47"/>
    </row>
    <row r="4" spans="1:11" ht="16.5" customHeight="1">
      <c r="A4" s="1467" t="s">
        <v>139</v>
      </c>
      <c r="B4" s="1471">
        <v>111075</v>
      </c>
      <c r="C4" s="1471">
        <v>64359</v>
      </c>
      <c r="D4" s="1471">
        <v>608</v>
      </c>
      <c r="E4" s="1471">
        <v>224361</v>
      </c>
      <c r="F4" s="1471">
        <v>30624</v>
      </c>
      <c r="G4" s="1474">
        <f t="shared" si="0"/>
        <v>431027</v>
      </c>
      <c r="H4" s="1623">
        <f t="shared" si="1"/>
        <v>0.14327306934181616</v>
      </c>
      <c r="I4" s="47"/>
    </row>
    <row r="5" spans="1:11" ht="16.5" customHeight="1">
      <c r="A5" s="1467" t="s">
        <v>726</v>
      </c>
      <c r="B5" s="1471">
        <v>123237</v>
      </c>
      <c r="C5" s="1471">
        <v>38999</v>
      </c>
      <c r="D5" s="1471">
        <v>6</v>
      </c>
      <c r="E5" s="1471">
        <v>117545</v>
      </c>
      <c r="F5" s="1471">
        <v>51415</v>
      </c>
      <c r="G5" s="1474">
        <f t="shared" si="0"/>
        <v>331202</v>
      </c>
      <c r="H5" s="1623">
        <f t="shared" si="1"/>
        <v>0.1100913100853269</v>
      </c>
      <c r="I5" s="47"/>
    </row>
    <row r="6" spans="1:11" ht="16.5" customHeight="1">
      <c r="A6" s="1467" t="s">
        <v>282</v>
      </c>
      <c r="B6" s="1471">
        <v>54470</v>
      </c>
      <c r="C6" s="1471">
        <v>16773</v>
      </c>
      <c r="D6" s="1471">
        <v>50</v>
      </c>
      <c r="E6" s="1471">
        <v>38880</v>
      </c>
      <c r="F6" s="1471">
        <v>17354</v>
      </c>
      <c r="G6" s="1474">
        <f t="shared" si="0"/>
        <v>127527</v>
      </c>
      <c r="H6" s="1623">
        <f t="shared" si="1"/>
        <v>4.2389884424766405E-2</v>
      </c>
      <c r="I6" s="47"/>
    </row>
    <row r="7" spans="1:11" ht="16.5" customHeight="1">
      <c r="A7" s="1467" t="s">
        <v>293</v>
      </c>
      <c r="B7" s="1471">
        <v>30902</v>
      </c>
      <c r="C7" s="1471">
        <v>9225</v>
      </c>
      <c r="D7" s="1471">
        <v>11685</v>
      </c>
      <c r="E7" s="1471">
        <v>25546</v>
      </c>
      <c r="F7" s="1471">
        <v>9409</v>
      </c>
      <c r="G7" s="1474">
        <f t="shared" si="0"/>
        <v>86767</v>
      </c>
      <c r="H7" s="1623">
        <f t="shared" si="1"/>
        <v>2.884128931037119E-2</v>
      </c>
      <c r="I7" s="47"/>
    </row>
    <row r="8" spans="1:11" ht="16.5" customHeight="1">
      <c r="A8" s="1467" t="s">
        <v>279</v>
      </c>
      <c r="B8" s="1471">
        <v>29319</v>
      </c>
      <c r="C8" s="1471">
        <v>9182</v>
      </c>
      <c r="D8" s="1471">
        <v>365</v>
      </c>
      <c r="E8" s="1471">
        <v>29365</v>
      </c>
      <c r="F8" s="1471">
        <v>15993</v>
      </c>
      <c r="G8" s="1474">
        <f t="shared" si="0"/>
        <v>84224</v>
      </c>
      <c r="H8" s="1623">
        <f t="shared" si="1"/>
        <v>2.7995997912532451E-2</v>
      </c>
      <c r="I8" s="47"/>
      <c r="J8" s="47"/>
      <c r="K8" s="47"/>
    </row>
    <row r="9" spans="1:11" ht="16.5" customHeight="1">
      <c r="A9" s="1467" t="s">
        <v>292</v>
      </c>
      <c r="B9" s="1471">
        <v>25050</v>
      </c>
      <c r="C9" s="1471">
        <v>10111</v>
      </c>
      <c r="D9" s="1471">
        <v>6</v>
      </c>
      <c r="E9" s="1471">
        <v>28565</v>
      </c>
      <c r="F9" s="1471">
        <v>13275</v>
      </c>
      <c r="G9" s="1474">
        <f t="shared" si="0"/>
        <v>77007</v>
      </c>
      <c r="H9" s="1623">
        <f t="shared" si="1"/>
        <v>2.5597072227042012E-2</v>
      </c>
      <c r="I9" s="47"/>
      <c r="J9" s="47"/>
      <c r="K9" s="47"/>
    </row>
    <row r="10" spans="1:11" ht="16.5" customHeight="1">
      <c r="A10" s="1467" t="s">
        <v>285</v>
      </c>
      <c r="B10" s="1471">
        <v>30972</v>
      </c>
      <c r="C10" s="1471">
        <v>8353</v>
      </c>
      <c r="D10" s="1471">
        <v>8</v>
      </c>
      <c r="E10" s="1471">
        <v>21735</v>
      </c>
      <c r="F10" s="1471">
        <v>12744</v>
      </c>
      <c r="G10" s="1474">
        <f t="shared" si="0"/>
        <v>73812</v>
      </c>
      <c r="H10" s="1623">
        <f t="shared" si="1"/>
        <v>2.453505649125956E-2</v>
      </c>
      <c r="I10" s="47"/>
      <c r="J10" s="47"/>
      <c r="K10" s="47"/>
    </row>
    <row r="11" spans="1:11" ht="16.5" customHeight="1">
      <c r="A11" s="1467" t="s">
        <v>567</v>
      </c>
      <c r="B11" s="1471">
        <v>27404</v>
      </c>
      <c r="C11" s="1471">
        <v>7748</v>
      </c>
      <c r="D11" s="1471">
        <v>985</v>
      </c>
      <c r="E11" s="1471">
        <v>13647</v>
      </c>
      <c r="F11" s="1471">
        <v>7522</v>
      </c>
      <c r="G11" s="1474">
        <f t="shared" si="0"/>
        <v>57306</v>
      </c>
      <c r="H11" s="1623">
        <f t="shared" ref="H11:H18" si="2">G11/$G$36</f>
        <v>1.9048473788653882E-2</v>
      </c>
      <c r="I11" s="47"/>
      <c r="J11" s="47"/>
      <c r="K11" s="47"/>
    </row>
    <row r="12" spans="1:11" ht="16.5" customHeight="1">
      <c r="A12" s="1467" t="s">
        <v>296</v>
      </c>
      <c r="B12" s="1471">
        <v>23414</v>
      </c>
      <c r="C12" s="1471">
        <v>7454</v>
      </c>
      <c r="D12" s="1471">
        <v>2</v>
      </c>
      <c r="E12" s="1471">
        <v>13618</v>
      </c>
      <c r="F12" s="1471">
        <v>5070</v>
      </c>
      <c r="G12" s="1474">
        <f t="shared" si="0"/>
        <v>49558</v>
      </c>
      <c r="H12" s="1623">
        <f t="shared" si="2"/>
        <v>1.6473044079470023E-2</v>
      </c>
      <c r="I12" s="47"/>
      <c r="J12" s="47"/>
      <c r="K12" s="47"/>
    </row>
    <row r="13" spans="1:11" ht="16.5" customHeight="1">
      <c r="A13" s="1467" t="s">
        <v>298</v>
      </c>
      <c r="B13" s="1471">
        <v>14827</v>
      </c>
      <c r="C13" s="1471">
        <v>9231</v>
      </c>
      <c r="D13" s="1471">
        <v>4</v>
      </c>
      <c r="E13" s="1471">
        <v>13803</v>
      </c>
      <c r="F13" s="1471">
        <v>6758</v>
      </c>
      <c r="G13" s="1474">
        <f t="shared" si="0"/>
        <v>44623</v>
      </c>
      <c r="H13" s="1623">
        <f t="shared" si="2"/>
        <v>1.4832653576782574E-2</v>
      </c>
      <c r="I13" s="47"/>
      <c r="J13" s="47"/>
      <c r="K13" s="47"/>
    </row>
    <row r="14" spans="1:11" ht="16.5" customHeight="1">
      <c r="A14" s="1467" t="s">
        <v>290</v>
      </c>
      <c r="B14" s="1471">
        <v>14327</v>
      </c>
      <c r="C14" s="1471">
        <v>4698</v>
      </c>
      <c r="D14" s="1471">
        <v>2</v>
      </c>
      <c r="E14" s="1471">
        <v>10685</v>
      </c>
      <c r="F14" s="1471">
        <v>7608</v>
      </c>
      <c r="G14" s="1474">
        <f t="shared" si="0"/>
        <v>37320</v>
      </c>
      <c r="H14" s="1623">
        <f t="shared" si="2"/>
        <v>1.2405141552238211E-2</v>
      </c>
      <c r="I14" s="47"/>
      <c r="J14" s="47"/>
      <c r="K14" s="47"/>
    </row>
    <row r="15" spans="1:11" ht="16.5" customHeight="1">
      <c r="A15" s="1467" t="s">
        <v>727</v>
      </c>
      <c r="B15" s="1471">
        <v>7568</v>
      </c>
      <c r="C15" s="1471">
        <v>4442</v>
      </c>
      <c r="D15" s="1471">
        <v>0</v>
      </c>
      <c r="E15" s="1471">
        <v>20521</v>
      </c>
      <c r="F15" s="1471">
        <v>3749</v>
      </c>
      <c r="G15" s="1474">
        <f t="shared" si="0"/>
        <v>36280</v>
      </c>
      <c r="H15" s="1623">
        <f t="shared" si="2"/>
        <v>1.2059446289260511E-2</v>
      </c>
      <c r="I15" s="47"/>
      <c r="J15" s="47"/>
      <c r="K15" s="47"/>
    </row>
    <row r="16" spans="1:11" ht="16.5" customHeight="1">
      <c r="A16" s="1467" t="s">
        <v>286</v>
      </c>
      <c r="B16" s="1471">
        <v>7383</v>
      </c>
      <c r="C16" s="1471">
        <v>3743</v>
      </c>
      <c r="D16" s="1471">
        <v>7</v>
      </c>
      <c r="E16" s="1471">
        <v>10467</v>
      </c>
      <c r="F16" s="1471">
        <v>5249</v>
      </c>
      <c r="G16" s="1474">
        <f t="shared" si="0"/>
        <v>26849</v>
      </c>
      <c r="H16" s="1623">
        <f t="shared" si="2"/>
        <v>8.9245885727771632E-3</v>
      </c>
      <c r="I16" s="47"/>
      <c r="J16" s="47"/>
      <c r="K16" s="47"/>
    </row>
    <row r="17" spans="1:11" ht="16.5" customHeight="1">
      <c r="A17" s="1467" t="s">
        <v>418</v>
      </c>
      <c r="B17" s="1471">
        <v>7223</v>
      </c>
      <c r="C17" s="1471">
        <v>4982</v>
      </c>
      <c r="D17" s="1471">
        <v>5</v>
      </c>
      <c r="E17" s="1471">
        <v>6575</v>
      </c>
      <c r="F17" s="1471">
        <v>6025</v>
      </c>
      <c r="G17" s="1474">
        <f t="shared" si="0"/>
        <v>24810</v>
      </c>
      <c r="H17" s="1623">
        <f t="shared" si="2"/>
        <v>8.2468264177660774E-3</v>
      </c>
      <c r="I17" s="47"/>
      <c r="J17" s="47"/>
      <c r="K17" s="47"/>
    </row>
    <row r="18" spans="1:11" ht="16.5" customHeight="1">
      <c r="A18" s="1467" t="s">
        <v>302</v>
      </c>
      <c r="B18" s="1471">
        <v>7548</v>
      </c>
      <c r="C18" s="1471">
        <v>5804</v>
      </c>
      <c r="D18" s="1471">
        <v>10</v>
      </c>
      <c r="E18" s="1471">
        <v>6813</v>
      </c>
      <c r="F18" s="1471">
        <v>4226</v>
      </c>
      <c r="G18" s="1474">
        <f t="shared" si="0"/>
        <v>24401</v>
      </c>
      <c r="H18" s="1623">
        <f t="shared" si="2"/>
        <v>8.11087510761427E-3</v>
      </c>
      <c r="I18" s="47"/>
      <c r="J18" s="47"/>
      <c r="K18" s="47"/>
    </row>
    <row r="19" spans="1:11" ht="16.5" customHeight="1">
      <c r="A19" s="1467" t="s">
        <v>300</v>
      </c>
      <c r="B19" s="1471">
        <v>6349</v>
      </c>
      <c r="C19" s="1471">
        <v>7741</v>
      </c>
      <c r="D19" s="1471">
        <v>2</v>
      </c>
      <c r="E19" s="1471">
        <v>4454</v>
      </c>
      <c r="F19" s="1471">
        <v>5217</v>
      </c>
      <c r="G19" s="1474">
        <f t="shared" si="0"/>
        <v>23763</v>
      </c>
      <c r="H19" s="1623">
        <f t="shared" ref="H19:H35" si="3">G19/$G$36</f>
        <v>7.8988043597491044E-3</v>
      </c>
      <c r="I19" s="47"/>
      <c r="J19" s="47"/>
      <c r="K19" s="47"/>
    </row>
    <row r="20" spans="1:11" ht="16.5" customHeight="1">
      <c r="A20" s="1467" t="s">
        <v>278</v>
      </c>
      <c r="B20" s="1471">
        <v>7827</v>
      </c>
      <c r="C20" s="1471">
        <v>5973</v>
      </c>
      <c r="D20" s="1471">
        <v>0</v>
      </c>
      <c r="E20" s="1471">
        <v>6552</v>
      </c>
      <c r="F20" s="1471">
        <v>1762</v>
      </c>
      <c r="G20" s="1474">
        <f t="shared" si="0"/>
        <v>22114</v>
      </c>
      <c r="H20" s="1623">
        <f t="shared" si="3"/>
        <v>7.3506779283546569E-3</v>
      </c>
      <c r="I20" s="47"/>
      <c r="J20" s="47"/>
      <c r="K20" s="47"/>
    </row>
    <row r="21" spans="1:11" ht="16.5" customHeight="1">
      <c r="A21" s="1467" t="s">
        <v>289</v>
      </c>
      <c r="B21" s="1471">
        <v>6977</v>
      </c>
      <c r="C21" s="1471">
        <v>1613</v>
      </c>
      <c r="D21" s="1471">
        <v>4</v>
      </c>
      <c r="E21" s="1471">
        <v>5725</v>
      </c>
      <c r="F21" s="1471">
        <v>2648</v>
      </c>
      <c r="G21" s="1474">
        <f t="shared" si="0"/>
        <v>16967</v>
      </c>
      <c r="H21" s="1623">
        <f t="shared" si="3"/>
        <v>5.63981877590637E-3</v>
      </c>
      <c r="I21" s="47"/>
      <c r="J21" s="47"/>
      <c r="K21" s="47"/>
    </row>
    <row r="22" spans="1:11" ht="16.5" customHeight="1">
      <c r="A22" s="1467" t="s">
        <v>291</v>
      </c>
      <c r="B22" s="1471">
        <v>5331</v>
      </c>
      <c r="C22" s="1471">
        <v>3963</v>
      </c>
      <c r="D22" s="1471">
        <v>0</v>
      </c>
      <c r="E22" s="1471">
        <v>5854</v>
      </c>
      <c r="F22" s="1471">
        <v>1594</v>
      </c>
      <c r="G22" s="1474">
        <f t="shared" si="0"/>
        <v>16742</v>
      </c>
      <c r="H22" s="1623">
        <f t="shared" si="3"/>
        <v>5.5650289353583095E-3</v>
      </c>
      <c r="I22" s="47"/>
      <c r="J22" s="47"/>
      <c r="K22" s="47"/>
    </row>
    <row r="23" spans="1:11" ht="16.5" customHeight="1">
      <c r="A23" s="1467" t="s">
        <v>295</v>
      </c>
      <c r="B23" s="1471">
        <v>7405</v>
      </c>
      <c r="C23" s="1471">
        <v>2200</v>
      </c>
      <c r="D23" s="1471">
        <v>24</v>
      </c>
      <c r="E23" s="1471">
        <v>3224</v>
      </c>
      <c r="F23" s="1471">
        <v>2028</v>
      </c>
      <c r="G23" s="1474">
        <f t="shared" si="0"/>
        <v>14881</v>
      </c>
      <c r="H23" s="1623">
        <f t="shared" si="3"/>
        <v>4.9464338542030226E-3</v>
      </c>
      <c r="I23" s="47"/>
      <c r="J23" s="47"/>
      <c r="K23" s="47"/>
    </row>
    <row r="24" spans="1:11" ht="16.5" customHeight="1">
      <c r="A24" s="1467" t="s">
        <v>288</v>
      </c>
      <c r="B24" s="1471">
        <v>4219</v>
      </c>
      <c r="C24" s="1471">
        <v>3063</v>
      </c>
      <c r="D24" s="1471">
        <v>1</v>
      </c>
      <c r="E24" s="1471">
        <v>4227</v>
      </c>
      <c r="F24" s="1471">
        <v>2143</v>
      </c>
      <c r="G24" s="1474">
        <f t="shared" si="0"/>
        <v>13653</v>
      </c>
      <c r="H24" s="1623">
        <f t="shared" si="3"/>
        <v>4.5382475244562775E-3</v>
      </c>
      <c r="I24" s="47"/>
      <c r="J24" s="47"/>
      <c r="K24" s="47"/>
    </row>
    <row r="25" spans="1:11" ht="16.5" customHeight="1">
      <c r="A25" s="1467" t="s">
        <v>283</v>
      </c>
      <c r="B25" s="1471">
        <v>5760</v>
      </c>
      <c r="C25" s="1471">
        <v>1422</v>
      </c>
      <c r="D25" s="1471">
        <v>2</v>
      </c>
      <c r="E25" s="1471">
        <v>4326</v>
      </c>
      <c r="F25" s="1471">
        <v>1151</v>
      </c>
      <c r="G25" s="1474">
        <f t="shared" si="0"/>
        <v>12661</v>
      </c>
      <c r="H25" s="1623">
        <f t="shared" si="3"/>
        <v>4.2085074274621648E-3</v>
      </c>
      <c r="I25" s="47"/>
      <c r="J25" s="47"/>
      <c r="K25" s="47"/>
    </row>
    <row r="26" spans="1:11" ht="16.5" customHeight="1">
      <c r="A26" s="1467" t="s">
        <v>417</v>
      </c>
      <c r="B26" s="1471">
        <v>3135</v>
      </c>
      <c r="C26" s="1471">
        <v>3753</v>
      </c>
      <c r="D26" s="1471">
        <v>0</v>
      </c>
      <c r="E26" s="1471">
        <v>3751</v>
      </c>
      <c r="F26" s="1471">
        <v>1504</v>
      </c>
      <c r="G26" s="1474">
        <f t="shared" si="0"/>
        <v>12143</v>
      </c>
      <c r="H26" s="1623">
        <f t="shared" si="3"/>
        <v>4.0363245945559643E-3</v>
      </c>
      <c r="I26" s="47"/>
      <c r="J26" s="47"/>
      <c r="K26" s="47"/>
    </row>
    <row r="27" spans="1:11" ht="16.5" customHeight="1">
      <c r="A27" s="1467" t="s">
        <v>297</v>
      </c>
      <c r="B27" s="1471">
        <v>5639</v>
      </c>
      <c r="C27" s="1471">
        <v>1548</v>
      </c>
      <c r="D27" s="1472">
        <v>884</v>
      </c>
      <c r="E27" s="1471">
        <v>1688</v>
      </c>
      <c r="F27" s="1471">
        <v>1807</v>
      </c>
      <c r="G27" s="1474">
        <f t="shared" si="0"/>
        <v>11566</v>
      </c>
      <c r="H27" s="1623">
        <f t="shared" si="3"/>
        <v>3.8445302034616062E-3</v>
      </c>
      <c r="I27" s="47"/>
      <c r="J27" s="47"/>
      <c r="K27" s="47"/>
    </row>
    <row r="28" spans="1:11" ht="16.5" customHeight="1">
      <c r="A28" s="1467" t="s">
        <v>301</v>
      </c>
      <c r="B28" s="1471">
        <v>2486</v>
      </c>
      <c r="C28" s="1471">
        <v>2283</v>
      </c>
      <c r="D28" s="1471">
        <v>0</v>
      </c>
      <c r="E28" s="1471">
        <v>2212</v>
      </c>
      <c r="F28" s="1471">
        <v>1660</v>
      </c>
      <c r="G28" s="1474">
        <f t="shared" si="0"/>
        <v>8641</v>
      </c>
      <c r="H28" s="1623">
        <f t="shared" si="3"/>
        <v>2.8722622763368267E-3</v>
      </c>
      <c r="I28" s="47"/>
      <c r="J28" s="47"/>
      <c r="K28" s="47"/>
    </row>
    <row r="29" spans="1:11" ht="16.5" customHeight="1">
      <c r="A29" s="1467" t="s">
        <v>299</v>
      </c>
      <c r="B29" s="1471">
        <v>2365</v>
      </c>
      <c r="C29" s="1471">
        <v>2595</v>
      </c>
      <c r="D29" s="1471">
        <v>2</v>
      </c>
      <c r="E29" s="1471">
        <v>2512</v>
      </c>
      <c r="F29" s="1471">
        <v>742</v>
      </c>
      <c r="G29" s="1474">
        <f t="shared" si="0"/>
        <v>8216</v>
      </c>
      <c r="H29" s="1623">
        <f t="shared" si="3"/>
        <v>2.7309925775238246E-3</v>
      </c>
      <c r="I29" s="47"/>
      <c r="J29" s="47"/>
      <c r="K29" s="47"/>
    </row>
    <row r="30" spans="1:11" ht="16.5" customHeight="1">
      <c r="A30" s="1467" t="s">
        <v>276</v>
      </c>
      <c r="B30" s="1471">
        <v>2196</v>
      </c>
      <c r="C30" s="1471">
        <v>2413</v>
      </c>
      <c r="D30" s="1471">
        <v>0</v>
      </c>
      <c r="E30" s="1471">
        <v>1804</v>
      </c>
      <c r="F30" s="1471">
        <v>258</v>
      </c>
      <c r="G30" s="1474">
        <f t="shared" si="0"/>
        <v>6671</v>
      </c>
      <c r="H30" s="1623">
        <f t="shared" si="3"/>
        <v>2.2174356724271463E-3</v>
      </c>
      <c r="I30" s="47"/>
      <c r="J30" s="47"/>
      <c r="K30" s="47"/>
    </row>
    <row r="31" spans="1:11" ht="16.5" customHeight="1">
      <c r="A31" s="1467" t="s">
        <v>294</v>
      </c>
      <c r="B31" s="1471">
        <v>1485</v>
      </c>
      <c r="C31" s="1471">
        <v>1886</v>
      </c>
      <c r="D31" s="1471">
        <v>0</v>
      </c>
      <c r="E31" s="1471">
        <v>1097</v>
      </c>
      <c r="F31" s="1471">
        <v>595</v>
      </c>
      <c r="G31" s="1474">
        <f t="shared" si="0"/>
        <v>5063</v>
      </c>
      <c r="H31" s="1623">
        <f t="shared" si="3"/>
        <v>1.6829376119770112E-3</v>
      </c>
      <c r="I31" s="47"/>
      <c r="J31" s="47"/>
      <c r="K31" s="47"/>
    </row>
    <row r="32" spans="1:11" ht="16.5" customHeight="1">
      <c r="A32" s="1467" t="s">
        <v>281</v>
      </c>
      <c r="B32" s="1471">
        <v>1622</v>
      </c>
      <c r="C32" s="1471">
        <v>732</v>
      </c>
      <c r="D32" s="1471">
        <v>1</v>
      </c>
      <c r="E32" s="1471">
        <v>2157</v>
      </c>
      <c r="F32" s="1471">
        <v>302</v>
      </c>
      <c r="G32" s="1474">
        <f t="shared" si="0"/>
        <v>4814</v>
      </c>
      <c r="H32" s="1623">
        <f t="shared" si="3"/>
        <v>1.6001701884371582E-3</v>
      </c>
      <c r="I32" s="47"/>
      <c r="J32" s="47"/>
      <c r="K32" s="47"/>
    </row>
    <row r="33" spans="1:11" ht="16.5" customHeight="1">
      <c r="A33" s="1467" t="s">
        <v>287</v>
      </c>
      <c r="B33" s="1471">
        <v>870</v>
      </c>
      <c r="C33" s="1471">
        <v>1350</v>
      </c>
      <c r="D33" s="1471">
        <v>0</v>
      </c>
      <c r="E33" s="1471">
        <v>1190</v>
      </c>
      <c r="F33" s="1471">
        <v>779</v>
      </c>
      <c r="G33" s="1474">
        <f t="shared" si="0"/>
        <v>4189</v>
      </c>
      <c r="H33" s="1623">
        <f t="shared" si="3"/>
        <v>1.3924206313592139E-3</v>
      </c>
      <c r="I33" s="47"/>
      <c r="J33" s="47"/>
      <c r="K33" s="47"/>
    </row>
    <row r="34" spans="1:11" ht="16.5" customHeight="1">
      <c r="A34" s="1467" t="s">
        <v>744</v>
      </c>
      <c r="B34" s="1471">
        <v>1341</v>
      </c>
      <c r="C34" s="1471">
        <v>1120</v>
      </c>
      <c r="D34" s="1471">
        <v>0</v>
      </c>
      <c r="E34" s="1471">
        <v>891</v>
      </c>
      <c r="F34" s="1471">
        <v>706</v>
      </c>
      <c r="G34" s="1474">
        <f t="shared" si="0"/>
        <v>4058</v>
      </c>
      <c r="H34" s="1623">
        <f t="shared" si="3"/>
        <v>1.3488763241956768E-3</v>
      </c>
      <c r="I34" s="47"/>
      <c r="J34" s="47"/>
      <c r="K34" s="47"/>
    </row>
    <row r="35" spans="1:11" ht="16.5" customHeight="1">
      <c r="A35" s="1467" t="s">
        <v>728</v>
      </c>
      <c r="B35" s="1471">
        <v>159725</v>
      </c>
      <c r="C35" s="1471">
        <v>98827</v>
      </c>
      <c r="D35" s="1471">
        <v>8408</v>
      </c>
      <c r="E35" s="1471">
        <v>202601</v>
      </c>
      <c r="F35" s="1471">
        <v>192868</v>
      </c>
      <c r="G35" s="1474">
        <f t="shared" ref="G35" si="4">SUM(B35:F35)</f>
        <v>662429</v>
      </c>
      <c r="H35" s="1623">
        <f t="shared" si="3"/>
        <v>0.22019093015293692</v>
      </c>
      <c r="I35" s="47"/>
      <c r="J35" s="47"/>
      <c r="K35" s="47"/>
    </row>
    <row r="36" spans="1:11" ht="16.5" customHeight="1">
      <c r="A36" s="1469" t="s">
        <v>23</v>
      </c>
      <c r="B36" s="1304">
        <f>SUM(B3:B35)</f>
        <v>954779</v>
      </c>
      <c r="C36" s="1304">
        <f t="shared" ref="C36:F36" si="5">SUM(C3:C35)</f>
        <v>400704</v>
      </c>
      <c r="D36" s="1304">
        <f t="shared" si="5"/>
        <v>23204</v>
      </c>
      <c r="E36" s="1304">
        <f t="shared" si="5"/>
        <v>1002957</v>
      </c>
      <c r="F36" s="1304">
        <f t="shared" si="5"/>
        <v>626786</v>
      </c>
      <c r="G36" s="1305">
        <f>SUM(G3:G35)</f>
        <v>3008430</v>
      </c>
      <c r="H36" s="1624">
        <f>SUM(H3:H35)</f>
        <v>1.0000000000000002</v>
      </c>
      <c r="I36" s="1306"/>
      <c r="J36" s="47"/>
      <c r="K36" s="47"/>
    </row>
    <row r="37" spans="1:11" s="1028" customFormat="1" ht="18.75">
      <c r="A37" s="2100" t="s">
        <v>974</v>
      </c>
      <c r="B37" s="2100"/>
      <c r="C37" s="2100"/>
      <c r="D37" s="2100"/>
      <c r="E37" s="2100"/>
      <c r="F37" s="2100"/>
      <c r="G37" s="2100"/>
      <c r="H37" s="2100"/>
      <c r="I37" s="47"/>
      <c r="J37" s="1306"/>
      <c r="K37" s="1306"/>
    </row>
    <row r="38" spans="1:11" ht="23.25" customHeight="1">
      <c r="J38" s="47"/>
      <c r="K38" s="47"/>
    </row>
    <row r="44" spans="1:11" ht="18.75" customHeight="1">
      <c r="A44" s="2101"/>
      <c r="B44" s="2101"/>
      <c r="C44" s="2101"/>
      <c r="D44" s="2101"/>
      <c r="E44" s="2101"/>
      <c r="F44" s="2101"/>
      <c r="G44" s="2101"/>
      <c r="H44" s="2101"/>
      <c r="I44" s="2101"/>
      <c r="J44" s="2101"/>
      <c r="K44" s="2101"/>
    </row>
    <row r="45" spans="1:11">
      <c r="A45" s="2101"/>
      <c r="B45" s="2101"/>
      <c r="C45" s="2101"/>
      <c r="D45" s="2101"/>
      <c r="E45" s="2101"/>
      <c r="F45" s="2101"/>
      <c r="G45" s="2101"/>
      <c r="H45" s="2101"/>
      <c r="I45" s="2101"/>
      <c r="J45" s="2101"/>
      <c r="K45" s="2101"/>
    </row>
    <row r="46" spans="1:11">
      <c r="A46" s="2101"/>
      <c r="B46" s="2101"/>
      <c r="C46" s="2101"/>
      <c r="D46" s="2101"/>
      <c r="E46" s="2101"/>
      <c r="F46" s="2101"/>
      <c r="G46" s="2101"/>
      <c r="H46" s="2101"/>
      <c r="I46" s="2101"/>
      <c r="J46" s="2101"/>
      <c r="K46" s="2101"/>
    </row>
    <row r="47" spans="1:11">
      <c r="A47" s="2101"/>
      <c r="B47" s="2101"/>
      <c r="C47" s="2101"/>
      <c r="D47" s="2101"/>
      <c r="E47" s="2101"/>
      <c r="F47" s="2101"/>
      <c r="G47" s="2101"/>
      <c r="H47" s="2101"/>
      <c r="I47" s="2101"/>
      <c r="J47" s="2101"/>
      <c r="K47" s="2101"/>
    </row>
    <row r="48" spans="1:11">
      <c r="A48" s="2101"/>
      <c r="B48" s="2101"/>
      <c r="C48" s="2101"/>
      <c r="D48" s="2101"/>
      <c r="E48" s="2101"/>
      <c r="F48" s="2101"/>
      <c r="G48" s="2101"/>
      <c r="H48" s="2101"/>
      <c r="I48" s="2101"/>
      <c r="J48" s="2101"/>
      <c r="K48" s="2101"/>
    </row>
    <row r="49" spans="1:11">
      <c r="A49" s="2101"/>
      <c r="B49" s="2101"/>
      <c r="C49" s="2101"/>
      <c r="D49" s="2101"/>
      <c r="E49" s="2101"/>
      <c r="F49" s="2101"/>
      <c r="G49" s="2101"/>
      <c r="H49" s="2101"/>
      <c r="I49" s="2101"/>
      <c r="J49" s="2101"/>
      <c r="K49" s="2101"/>
    </row>
    <row r="50" spans="1:11">
      <c r="A50" s="2101"/>
      <c r="B50" s="2101"/>
      <c r="C50" s="2101"/>
      <c r="D50" s="2101"/>
      <c r="E50" s="2101"/>
      <c r="F50" s="2101"/>
      <c r="G50" s="2101"/>
      <c r="H50" s="2101"/>
      <c r="I50" s="2101"/>
      <c r="J50" s="2101"/>
      <c r="K50" s="2101"/>
    </row>
  </sheetData>
  <sortState ref="A3:G34">
    <sortCondition descending="1" ref="G3"/>
  </sortState>
  <mergeCells count="3">
    <mergeCell ref="A1:K1"/>
    <mergeCell ref="A37:H37"/>
    <mergeCell ref="A44:K50"/>
  </mergeCells>
  <printOptions horizontalCentered="1" verticalCentered="1"/>
  <pageMargins left="0.4" right="0.4" top="0.25" bottom="0.25" header="0.31496062992126" footer="0.31496062992126"/>
  <pageSetup scale="65" orientation="landscape"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7">
    <tabColor theme="9" tint="-0.499984740745262"/>
    <pageSetUpPr fitToPage="1"/>
  </sheetPr>
  <dimension ref="N27"/>
  <sheetViews>
    <sheetView showGridLines="0" view="pageBreakPreview" zoomScaleNormal="100" zoomScaleSheetLayoutView="100" workbookViewId="0">
      <selection activeCell="N27" sqref="N27"/>
    </sheetView>
  </sheetViews>
  <sheetFormatPr baseColWidth="10" defaultColWidth="11.42578125" defaultRowHeight="15"/>
  <cols>
    <col min="1" max="6" width="11.42578125" style="77"/>
    <col min="7" max="7" width="8.85546875" style="77" customWidth="1"/>
    <col min="8" max="16384" width="11.42578125" style="77"/>
  </cols>
  <sheetData>
    <row r="27" spans="14:14">
      <c r="N27" s="77" t="s">
        <v>31</v>
      </c>
    </row>
  </sheetData>
  <pageMargins left="0.7" right="0.7" top="0.75" bottom="0.75" header="0.3" footer="0.3"/>
  <pageSetup scale="91"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tabColor theme="2" tint="-0.499984740745262"/>
  </sheetPr>
  <dimension ref="A1"/>
  <sheetViews>
    <sheetView showGridLines="0" view="pageBreakPreview" zoomScale="70" zoomScaleNormal="100" zoomScaleSheetLayoutView="70" workbookViewId="0">
      <selection activeCell="P33" sqref="P33"/>
    </sheetView>
  </sheetViews>
  <sheetFormatPr baseColWidth="10" defaultColWidth="11.42578125" defaultRowHeight="15"/>
  <cols>
    <col min="1" max="6" width="11.42578125" style="77"/>
    <col min="7" max="7" width="13.42578125" style="77" customWidth="1"/>
    <col min="8" max="16384" width="11.42578125" style="77"/>
  </cols>
  <sheetData/>
  <pageMargins left="0.7" right="0.7" top="0.75" bottom="0.75" header="0.3" footer="0.3"/>
  <pageSetup scale="77" orientation="landscape"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8">
    <tabColor theme="9" tint="-0.249977111117893"/>
    <pageSetUpPr fitToPage="1"/>
  </sheetPr>
  <dimension ref="A1"/>
  <sheetViews>
    <sheetView showGridLines="0" view="pageBreakPreview" zoomScale="70" zoomScaleNormal="100" zoomScaleSheetLayoutView="70" workbookViewId="0">
      <selection activeCell="O33" sqref="O33"/>
    </sheetView>
  </sheetViews>
  <sheetFormatPr baseColWidth="10" defaultColWidth="11.42578125" defaultRowHeight="15"/>
  <cols>
    <col min="1" max="6" width="11.42578125" style="77"/>
    <col min="7" max="7" width="13.42578125" style="77" customWidth="1"/>
    <col min="8" max="10" width="11.42578125" style="77"/>
    <col min="11" max="11" width="15.5703125" style="77" customWidth="1"/>
    <col min="12" max="12" width="13.140625" style="77" customWidth="1"/>
    <col min="13" max="16384" width="11.42578125" style="77"/>
  </cols>
  <sheetData/>
  <pageMargins left="0.70866141732283472" right="0.70866141732283472" top="0.74803149606299213" bottom="0.74803149606299213" header="0.31496062992125984" footer="0.31496062992125984"/>
  <pageSetup scale="71" orientation="landscape"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9">
    <tabColor theme="9" tint="-0.249977111117893"/>
    <pageSetUpPr fitToPage="1"/>
  </sheetPr>
  <dimension ref="L11:O28"/>
  <sheetViews>
    <sheetView showGridLines="0" view="pageBreakPreview" zoomScaleNormal="100" zoomScaleSheetLayoutView="100" workbookViewId="0">
      <selection activeCell="M14" sqref="M14"/>
    </sheetView>
  </sheetViews>
  <sheetFormatPr baseColWidth="10" defaultColWidth="11.42578125" defaultRowHeight="15"/>
  <cols>
    <col min="1" max="6" width="11.42578125" style="77"/>
    <col min="7" max="7" width="13.42578125" style="77" customWidth="1"/>
    <col min="8" max="10" width="11.42578125" style="77"/>
    <col min="11" max="11" width="9.42578125" style="77" customWidth="1"/>
    <col min="12" max="12" width="13.140625" style="77" customWidth="1"/>
    <col min="13" max="16384" width="11.42578125" style="77"/>
  </cols>
  <sheetData>
    <row r="11" spans="12:15">
      <c r="L11" s="1137"/>
    </row>
    <row r="12" spans="12:15">
      <c r="L12" s="277"/>
    </row>
    <row r="15" spans="12:15">
      <c r="L15" s="144"/>
    </row>
    <row r="16" spans="12:15">
      <c r="O16" s="173"/>
    </row>
    <row r="17" spans="14:15">
      <c r="O17" s="173"/>
    </row>
    <row r="20" spans="14:15">
      <c r="N20" s="18"/>
    </row>
    <row r="21" spans="14:15">
      <c r="N21" s="18"/>
    </row>
    <row r="23" spans="14:15">
      <c r="O23" s="18"/>
    </row>
    <row r="28" spans="14:15">
      <c r="O28" s="277"/>
    </row>
  </sheetData>
  <pageMargins left="0.70866141732283472" right="0.70866141732283472" top="0.74803149606299213" bottom="0.74803149606299213" header="0.31496062992125984" footer="0.31496062992125984"/>
  <pageSetup scale="97" orientation="landscape"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0">
    <tabColor theme="0" tint="-0.499984740745262"/>
  </sheetPr>
  <dimension ref="A1:R38"/>
  <sheetViews>
    <sheetView showGridLines="0" view="pageBreakPreview" zoomScale="55" zoomScaleNormal="100" zoomScaleSheetLayoutView="55" workbookViewId="0">
      <selection activeCell="A3" sqref="A3"/>
    </sheetView>
  </sheetViews>
  <sheetFormatPr baseColWidth="10" defaultColWidth="11.42578125" defaultRowHeight="15"/>
  <cols>
    <col min="1" max="1" width="18.42578125" style="57" customWidth="1"/>
    <col min="2" max="2" width="21" style="57" customWidth="1"/>
    <col min="3" max="3" width="18.140625" style="57" hidden="1" customWidth="1"/>
    <col min="4" max="4" width="18.7109375" style="57" customWidth="1"/>
    <col min="5" max="5" width="21.140625" style="57" customWidth="1"/>
    <col min="6" max="6" width="21.85546875" style="57" customWidth="1"/>
    <col min="7" max="7" width="11.42578125" style="57"/>
    <col min="8" max="8" width="20.5703125" style="57" customWidth="1"/>
    <col min="9" max="9" width="16.85546875" style="57" bestFit="1" customWidth="1"/>
    <col min="10" max="10" width="15" style="57" bestFit="1" customWidth="1"/>
    <col min="11" max="13" width="15" style="57" customWidth="1"/>
    <col min="14" max="14" width="11.42578125" style="57"/>
    <col min="15" max="15" width="15.85546875" style="57" customWidth="1"/>
    <col min="16" max="16" width="17.42578125" style="57" customWidth="1"/>
    <col min="17" max="17" width="11.42578125" style="57"/>
    <col min="18" max="18" width="17.42578125" style="57" customWidth="1"/>
    <col min="19" max="16384" width="11.42578125" style="57"/>
  </cols>
  <sheetData>
    <row r="1" spans="1:18" s="77" customFormat="1" ht="92.25" customHeight="1">
      <c r="A1" s="2069"/>
      <c r="B1" s="2069"/>
      <c r="C1" s="2069"/>
      <c r="D1" s="2069"/>
      <c r="E1" s="2069"/>
      <c r="F1" s="2069"/>
      <c r="G1" s="2069"/>
      <c r="H1" s="2069"/>
      <c r="I1" s="2069"/>
      <c r="J1" s="2069"/>
      <c r="K1" s="2069"/>
      <c r="L1" s="2069"/>
      <c r="M1" s="2069"/>
      <c r="N1" s="2069"/>
      <c r="O1" s="2069"/>
      <c r="P1" s="2069"/>
    </row>
    <row r="2" spans="1:18" s="77" customFormat="1" ht="11.25" customHeight="1">
      <c r="A2" s="94"/>
      <c r="B2" s="94"/>
      <c r="C2" s="94"/>
      <c r="D2" s="94"/>
      <c r="E2" s="94"/>
      <c r="F2" s="94"/>
      <c r="G2" s="94"/>
      <c r="H2" s="94"/>
      <c r="I2" s="94"/>
      <c r="J2" s="94"/>
      <c r="K2" s="94"/>
      <c r="L2" s="94"/>
      <c r="M2" s="94"/>
      <c r="N2" s="94"/>
      <c r="O2" s="94"/>
      <c r="P2" s="94"/>
    </row>
    <row r="3" spans="1:18" s="77" customFormat="1" ht="60.75" customHeight="1">
      <c r="A3" s="472" t="s">
        <v>0</v>
      </c>
      <c r="B3" s="362" t="s">
        <v>435</v>
      </c>
      <c r="C3" s="362" t="s">
        <v>210</v>
      </c>
      <c r="D3" s="362" t="s">
        <v>454</v>
      </c>
      <c r="E3" s="362" t="s">
        <v>210</v>
      </c>
      <c r="F3" s="364" t="s">
        <v>562</v>
      </c>
      <c r="G3" s="19"/>
      <c r="H3" s="19"/>
      <c r="I3" s="196"/>
      <c r="J3" s="19"/>
      <c r="K3" s="19"/>
      <c r="L3" s="19"/>
      <c r="M3" s="19"/>
      <c r="N3" s="19"/>
      <c r="O3" s="19"/>
      <c r="P3" s="19"/>
      <c r="R3" s="825"/>
    </row>
    <row r="4" spans="1:18" s="77" customFormat="1" ht="18.75">
      <c r="A4" s="365" t="s">
        <v>9</v>
      </c>
      <c r="B4" s="1054">
        <v>1566047</v>
      </c>
      <c r="C4" s="478"/>
      <c r="D4" s="479">
        <v>1188229</v>
      </c>
      <c r="E4" s="478"/>
      <c r="F4" s="480">
        <f>D4/B4</f>
        <v>0.75874415007978691</v>
      </c>
      <c r="G4" s="19"/>
      <c r="H4" s="19"/>
      <c r="R4" s="825"/>
    </row>
    <row r="5" spans="1:18" s="77" customFormat="1" ht="18.75">
      <c r="A5" s="365" t="s">
        <v>10</v>
      </c>
      <c r="B5" s="1055">
        <v>1560994</v>
      </c>
      <c r="C5" s="474">
        <f>B5/B4-1</f>
        <v>-3.226595370381613E-3</v>
      </c>
      <c r="D5" s="473">
        <v>1227725</v>
      </c>
      <c r="E5" s="474">
        <f>D5/D4-1</f>
        <v>3.323938399079629E-2</v>
      </c>
      <c r="F5" s="475">
        <f>D5/B5</f>
        <v>0.78650206214758034</v>
      </c>
      <c r="G5" s="20"/>
      <c r="H5" s="20"/>
      <c r="R5" s="825"/>
    </row>
    <row r="6" spans="1:18" s="77" customFormat="1" ht="18.75">
      <c r="A6" s="365" t="s">
        <v>148</v>
      </c>
      <c r="B6" s="1055">
        <v>1631129</v>
      </c>
      <c r="C6" s="474">
        <f>B6/B5-1</f>
        <v>4.4929705046912405E-2</v>
      </c>
      <c r="D6" s="473">
        <v>1299087</v>
      </c>
      <c r="E6" s="474">
        <f t="shared" ref="E6:E11" si="0">D6/D5-1</f>
        <v>5.8125394530534225E-2</v>
      </c>
      <c r="F6" s="475">
        <f t="shared" ref="F6:F11" si="1">D6/B6</f>
        <v>0.79643424891593495</v>
      </c>
      <c r="G6" s="23"/>
      <c r="H6" s="23"/>
      <c r="J6" s="23"/>
      <c r="K6" s="23"/>
      <c r="L6" s="23"/>
      <c r="M6" s="23"/>
      <c r="N6" s="23"/>
      <c r="O6" s="23"/>
      <c r="P6" s="23"/>
      <c r="R6" s="825"/>
    </row>
    <row r="7" spans="1:18" s="77" customFormat="1" ht="18.75">
      <c r="A7" s="365" t="s">
        <v>239</v>
      </c>
      <c r="B7" s="1055">
        <v>1686216</v>
      </c>
      <c r="C7" s="474">
        <f>B7/B6-1</f>
        <v>3.3772313532528742E-2</v>
      </c>
      <c r="D7" s="473">
        <v>1367790</v>
      </c>
      <c r="E7" s="474">
        <f t="shared" si="0"/>
        <v>5.2885603504615242E-2</v>
      </c>
      <c r="F7" s="475">
        <f t="shared" si="1"/>
        <v>0.81115942441537736</v>
      </c>
      <c r="R7" s="825"/>
    </row>
    <row r="8" spans="1:18" s="77" customFormat="1" ht="18.75">
      <c r="A8" s="365" t="s">
        <v>489</v>
      </c>
      <c r="B8" s="1055">
        <v>1716228</v>
      </c>
      <c r="C8" s="474">
        <f>B8/B7-1</f>
        <v>1.7798431517670243E-2</v>
      </c>
      <c r="D8" s="276">
        <v>1430273</v>
      </c>
      <c r="E8" s="474">
        <f t="shared" si="0"/>
        <v>4.5681720147098703E-2</v>
      </c>
      <c r="F8" s="475">
        <f t="shared" si="1"/>
        <v>0.83338169520599825</v>
      </c>
      <c r="N8" s="77" t="s">
        <v>31</v>
      </c>
      <c r="R8" s="825"/>
    </row>
    <row r="9" spans="1:18" s="77" customFormat="1" ht="18.75">
      <c r="A9" s="365" t="s">
        <v>561</v>
      </c>
      <c r="B9" s="1055">
        <v>1769801</v>
      </c>
      <c r="C9" s="474">
        <f>B9/B8-1</f>
        <v>3.1215549449140845E-2</v>
      </c>
      <c r="D9" s="276">
        <v>1530322</v>
      </c>
      <c r="E9" s="474">
        <f t="shared" si="0"/>
        <v>6.9950981386071032E-2</v>
      </c>
      <c r="F9" s="475">
        <f t="shared" si="1"/>
        <v>0.864685916665207</v>
      </c>
      <c r="G9" s="23"/>
      <c r="H9" s="23"/>
      <c r="J9" s="23"/>
      <c r="K9" s="23"/>
      <c r="L9" s="23"/>
      <c r="M9" s="23"/>
      <c r="N9" s="23"/>
      <c r="O9" s="23"/>
      <c r="P9" s="23"/>
      <c r="R9" s="202"/>
    </row>
    <row r="10" spans="1:18" s="77" customFormat="1" ht="18.75">
      <c r="A10" s="365" t="s">
        <v>569</v>
      </c>
      <c r="B10" s="1055">
        <v>1865496</v>
      </c>
      <c r="C10" s="474">
        <v>5.4071050926064679E-2</v>
      </c>
      <c r="D10" s="276">
        <v>1651202</v>
      </c>
      <c r="E10" s="474">
        <f t="shared" si="0"/>
        <v>7.8989911927032308E-2</v>
      </c>
      <c r="F10" s="475">
        <f t="shared" si="1"/>
        <v>0.88512760145291114</v>
      </c>
      <c r="G10" s="23"/>
      <c r="H10" s="23"/>
      <c r="J10" s="23"/>
      <c r="K10" s="23"/>
      <c r="L10" s="23"/>
      <c r="M10" s="23"/>
      <c r="N10" s="23"/>
      <c r="O10" s="23"/>
      <c r="P10" s="23"/>
      <c r="R10" s="826"/>
    </row>
    <row r="11" spans="1:18" s="77" customFormat="1" ht="18.75">
      <c r="A11" s="384" t="s">
        <v>1003</v>
      </c>
      <c r="B11" s="1475">
        <v>1965498</v>
      </c>
      <c r="C11" s="476"/>
      <c r="D11" s="1476">
        <v>1750689</v>
      </c>
      <c r="E11" s="476">
        <f t="shared" si="0"/>
        <v>6.0251259385587064E-2</v>
      </c>
      <c r="F11" s="477">
        <f t="shared" si="1"/>
        <v>0.89071014063611365</v>
      </c>
      <c r="G11" s="23"/>
      <c r="J11" s="23"/>
      <c r="K11" s="23"/>
      <c r="L11" s="23"/>
      <c r="M11" s="23"/>
      <c r="N11" s="23"/>
      <c r="O11" s="23"/>
      <c r="P11" s="23"/>
    </row>
    <row r="12" spans="1:18" s="77" customFormat="1">
      <c r="B12" s="23"/>
      <c r="C12" s="23"/>
      <c r="D12" s="23"/>
      <c r="E12" s="23"/>
      <c r="F12" s="23"/>
      <c r="G12" s="23"/>
      <c r="H12" s="23"/>
      <c r="J12" s="23"/>
      <c r="K12" s="23"/>
      <c r="L12" s="23"/>
      <c r="M12" s="23"/>
      <c r="N12" s="23"/>
      <c r="O12" s="23"/>
      <c r="P12" s="23"/>
    </row>
    <row r="13" spans="1:18" s="77" customFormat="1">
      <c r="B13" s="23"/>
      <c r="C13" s="23"/>
      <c r="D13" s="23"/>
      <c r="E13" s="23"/>
      <c r="F13" s="23"/>
      <c r="G13" s="23"/>
      <c r="H13" s="23"/>
      <c r="I13" s="23"/>
      <c r="J13" s="23"/>
      <c r="K13" s="23"/>
      <c r="L13" s="23"/>
      <c r="M13" s="23"/>
      <c r="N13" s="23"/>
      <c r="O13" s="23"/>
      <c r="P13" s="23"/>
    </row>
    <row r="14" spans="1:18" s="77" customFormat="1">
      <c r="B14" s="23"/>
      <c r="C14" s="23"/>
      <c r="D14" s="23"/>
      <c r="E14" s="23"/>
      <c r="F14" s="23"/>
      <c r="G14" s="23"/>
      <c r="H14" s="23"/>
      <c r="I14" s="23"/>
      <c r="J14" s="23"/>
      <c r="K14" s="23"/>
      <c r="L14" s="23"/>
      <c r="M14" s="23"/>
      <c r="N14" s="23"/>
      <c r="O14" s="23"/>
      <c r="P14" s="23"/>
    </row>
    <row r="15" spans="1:18" s="77" customFormat="1">
      <c r="B15" s="23"/>
      <c r="C15" s="23"/>
      <c r="D15" s="23"/>
      <c r="E15" s="23"/>
      <c r="F15" s="23"/>
      <c r="G15" s="23"/>
      <c r="H15" s="23"/>
      <c r="I15" s="23"/>
      <c r="J15" s="23"/>
      <c r="K15" s="23"/>
      <c r="L15" s="23"/>
      <c r="M15" s="23"/>
      <c r="N15" s="23"/>
      <c r="O15" s="23"/>
      <c r="P15" s="23"/>
    </row>
    <row r="16" spans="1:18" s="77" customFormat="1">
      <c r="B16" s="23"/>
      <c r="C16" s="23"/>
      <c r="D16" s="23"/>
      <c r="E16" s="23"/>
      <c r="F16" s="23"/>
      <c r="G16" s="23"/>
      <c r="H16" s="23"/>
      <c r="I16" s="23"/>
      <c r="J16" s="23"/>
      <c r="K16" s="23"/>
      <c r="L16" s="23"/>
      <c r="M16" s="23"/>
      <c r="N16" s="23"/>
      <c r="O16" s="23"/>
      <c r="P16" s="23"/>
    </row>
    <row r="17" spans="2:16" s="77" customFormat="1">
      <c r="B17" s="23"/>
      <c r="C17" s="23"/>
      <c r="D17" s="23"/>
      <c r="E17" s="23"/>
      <c r="F17" s="23"/>
      <c r="G17" s="23"/>
      <c r="H17" s="23"/>
      <c r="I17" s="23"/>
      <c r="J17" s="23"/>
      <c r="K17" s="23"/>
      <c r="L17" s="23"/>
      <c r="M17" s="23"/>
      <c r="N17" s="23"/>
      <c r="O17" s="23"/>
      <c r="P17" s="23"/>
    </row>
    <row r="18" spans="2:16" s="77" customFormat="1">
      <c r="B18" s="23"/>
      <c r="C18" s="23"/>
      <c r="D18" s="23"/>
      <c r="E18" s="23"/>
      <c r="F18" s="23"/>
      <c r="G18" s="23"/>
      <c r="H18" s="23"/>
      <c r="I18" s="23"/>
      <c r="J18" s="23"/>
      <c r="K18" s="23"/>
      <c r="L18" s="23"/>
      <c r="M18" s="23"/>
      <c r="N18" s="23"/>
      <c r="O18" s="23"/>
      <c r="P18" s="23"/>
    </row>
    <row r="19" spans="2:16" s="77" customFormat="1">
      <c r="B19" s="23"/>
      <c r="C19" s="23"/>
      <c r="D19" s="23"/>
      <c r="E19" s="23"/>
      <c r="F19" s="23"/>
      <c r="G19" s="23"/>
      <c r="H19" s="23"/>
      <c r="I19" s="23"/>
      <c r="J19" s="23"/>
      <c r="K19" s="23"/>
      <c r="L19" s="23"/>
      <c r="M19" s="23"/>
      <c r="N19" s="23"/>
      <c r="O19" s="23"/>
      <c r="P19" s="23"/>
    </row>
    <row r="20" spans="2:16" s="77" customFormat="1">
      <c r="B20" s="23"/>
      <c r="C20" s="23"/>
      <c r="D20" s="23"/>
      <c r="E20" s="23"/>
      <c r="F20" s="23"/>
      <c r="G20" s="23"/>
      <c r="H20" s="23"/>
      <c r="I20" s="23"/>
      <c r="J20" s="23"/>
      <c r="K20" s="23"/>
      <c r="L20" s="23"/>
      <c r="M20" s="23"/>
      <c r="N20" s="23"/>
      <c r="O20" s="23"/>
      <c r="P20" s="23"/>
    </row>
    <row r="21" spans="2:16" s="77" customFormat="1">
      <c r="B21" s="23"/>
      <c r="C21" s="23"/>
      <c r="D21" s="23"/>
      <c r="E21" s="23"/>
      <c r="F21" s="23"/>
      <c r="G21" s="23"/>
      <c r="H21" s="23"/>
      <c r="I21" s="23"/>
      <c r="J21" s="23"/>
      <c r="K21" s="23"/>
      <c r="L21" s="23"/>
      <c r="M21" s="23"/>
      <c r="N21" s="23"/>
      <c r="O21" s="23"/>
      <c r="P21" s="23"/>
    </row>
    <row r="22" spans="2:16" s="77" customFormat="1">
      <c r="B22" s="23"/>
      <c r="C22" s="23"/>
      <c r="D22" s="23"/>
      <c r="E22" s="23"/>
      <c r="F22" s="23"/>
      <c r="G22" s="23"/>
      <c r="H22" s="23"/>
      <c r="I22" s="23"/>
      <c r="J22" s="23"/>
      <c r="K22" s="23"/>
      <c r="L22" s="23"/>
      <c r="M22" s="23"/>
      <c r="N22" s="23"/>
      <c r="O22" s="23"/>
      <c r="P22" s="23"/>
    </row>
    <row r="23" spans="2:16" s="77" customFormat="1">
      <c r="B23" s="23"/>
      <c r="C23" s="23"/>
      <c r="D23" s="23"/>
      <c r="E23" s="23"/>
      <c r="F23" s="23"/>
      <c r="G23" s="23"/>
      <c r="H23" s="23"/>
      <c r="I23" s="23"/>
      <c r="J23" s="23"/>
      <c r="K23" s="23"/>
      <c r="L23" s="23"/>
      <c r="M23" s="23"/>
      <c r="N23" s="23"/>
      <c r="O23" s="23"/>
      <c r="P23" s="23"/>
    </row>
    <row r="24" spans="2:16" s="77" customFormat="1">
      <c r="B24" s="23"/>
      <c r="C24" s="23"/>
      <c r="D24" s="23"/>
      <c r="E24" s="23"/>
      <c r="F24" s="23"/>
      <c r="G24" s="23"/>
      <c r="H24" s="23"/>
      <c r="I24" s="23"/>
      <c r="J24" s="23"/>
      <c r="K24" s="23"/>
      <c r="L24" s="23"/>
      <c r="M24" s="23"/>
      <c r="N24" s="23"/>
      <c r="O24" s="23"/>
      <c r="P24" s="23"/>
    </row>
    <row r="25" spans="2:16" s="77" customFormat="1">
      <c r="B25" s="23"/>
      <c r="C25" s="23"/>
      <c r="D25" s="23"/>
      <c r="E25" s="23"/>
      <c r="F25" s="23"/>
      <c r="G25" s="23"/>
      <c r="H25" s="23"/>
      <c r="I25" s="23"/>
      <c r="J25" s="23"/>
      <c r="K25" s="23"/>
      <c r="L25" s="23"/>
      <c r="M25" s="23"/>
      <c r="N25" s="23"/>
      <c r="O25" s="23"/>
      <c r="P25" s="23"/>
    </row>
    <row r="26" spans="2:16" s="77" customFormat="1">
      <c r="B26" s="23"/>
      <c r="C26" s="23"/>
      <c r="D26" s="23"/>
      <c r="E26" s="23"/>
      <c r="F26" s="23"/>
      <c r="G26" s="23"/>
      <c r="H26" s="23"/>
      <c r="I26" s="23"/>
      <c r="J26" s="23"/>
      <c r="K26" s="23"/>
      <c r="L26" s="23"/>
      <c r="M26" s="23"/>
      <c r="N26" s="23"/>
      <c r="O26" s="23"/>
      <c r="P26" s="23"/>
    </row>
    <row r="27" spans="2:16" s="77" customFormat="1">
      <c r="B27" s="23"/>
      <c r="C27" s="23"/>
      <c r="D27" s="23"/>
      <c r="E27" s="23"/>
      <c r="F27" s="23"/>
      <c r="G27" s="23"/>
      <c r="H27" s="23"/>
      <c r="I27" s="23"/>
      <c r="J27" s="23"/>
      <c r="K27" s="23"/>
      <c r="L27" s="23"/>
      <c r="M27" s="23"/>
      <c r="N27" s="23"/>
      <c r="O27" s="23"/>
      <c r="P27" s="23"/>
    </row>
    <row r="28" spans="2:16" s="77" customFormat="1">
      <c r="B28" s="23"/>
      <c r="C28" s="23"/>
      <c r="D28" s="23"/>
      <c r="E28" s="23"/>
      <c r="F28" s="23"/>
      <c r="G28" s="23"/>
      <c r="H28" s="23"/>
      <c r="I28" s="23"/>
      <c r="J28" s="23"/>
      <c r="K28" s="23"/>
      <c r="L28" s="23"/>
      <c r="M28" s="23"/>
      <c r="N28" s="23"/>
      <c r="O28" s="23"/>
      <c r="P28" s="23"/>
    </row>
    <row r="29" spans="2:16" s="77" customFormat="1">
      <c r="B29" s="23"/>
      <c r="C29" s="23"/>
      <c r="D29" s="23"/>
      <c r="E29" s="23"/>
      <c r="F29" s="23"/>
      <c r="G29" s="23"/>
      <c r="H29" s="23"/>
      <c r="I29" s="23"/>
      <c r="J29" s="23"/>
      <c r="K29" s="23"/>
      <c r="L29" s="23"/>
      <c r="M29" s="23"/>
      <c r="N29" s="23"/>
      <c r="O29" s="23"/>
      <c r="P29" s="23"/>
    </row>
    <row r="30" spans="2:16" s="77" customFormat="1">
      <c r="B30" s="23"/>
      <c r="C30" s="23"/>
      <c r="D30" s="23"/>
      <c r="E30" s="23"/>
      <c r="F30" s="23"/>
      <c r="G30" s="23"/>
      <c r="H30" s="23"/>
      <c r="I30" s="23"/>
      <c r="J30" s="23"/>
      <c r="K30" s="23"/>
      <c r="L30" s="23"/>
      <c r="M30" s="23"/>
      <c r="N30" s="23"/>
      <c r="O30" s="23"/>
      <c r="P30" s="23"/>
    </row>
    <row r="31" spans="2:16" s="77" customFormat="1">
      <c r="B31" s="23"/>
      <c r="C31" s="23"/>
      <c r="D31" s="23"/>
      <c r="E31" s="23"/>
      <c r="F31" s="23"/>
      <c r="G31" s="23"/>
      <c r="H31" s="23"/>
      <c r="I31" s="23"/>
      <c r="J31" s="23"/>
      <c r="K31" s="23"/>
      <c r="L31" s="23"/>
      <c r="M31" s="23"/>
      <c r="N31" s="23"/>
      <c r="O31" s="23"/>
      <c r="P31" s="23"/>
    </row>
    <row r="32" spans="2:16" s="77" customFormat="1">
      <c r="B32" s="23"/>
      <c r="C32" s="23"/>
      <c r="D32" s="23"/>
      <c r="E32" s="23"/>
      <c r="F32" s="23"/>
      <c r="G32" s="23"/>
      <c r="H32" s="23"/>
      <c r="I32" s="23"/>
      <c r="J32" s="23"/>
      <c r="K32" s="23"/>
      <c r="L32" s="23"/>
      <c r="M32" s="23"/>
      <c r="N32" s="23"/>
      <c r="O32" s="23"/>
      <c r="P32" s="23"/>
    </row>
    <row r="33" s="77" customFormat="1"/>
    <row r="34" s="77" customFormat="1"/>
    <row r="35" s="77" customFormat="1"/>
    <row r="36" s="77" customFormat="1"/>
    <row r="37" s="77" customFormat="1"/>
    <row r="38" s="77" customFormat="1"/>
  </sheetData>
  <mergeCells count="1">
    <mergeCell ref="A1:P1"/>
  </mergeCells>
  <printOptions horizontalCentered="1" verticalCentered="1"/>
  <pageMargins left="0.4" right="0.4" top="0.25" bottom="0.25" header="0.31496062992126" footer="0.31496062992126"/>
  <pageSetup scale="50" orientation="landscape"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1">
    <tabColor theme="1" tint="0.34998626667073579"/>
    <pageSetUpPr fitToPage="1"/>
  </sheetPr>
  <dimension ref="A1:AQ48"/>
  <sheetViews>
    <sheetView showGridLines="0" view="pageBreakPreview" zoomScale="55" zoomScaleNormal="100" zoomScaleSheetLayoutView="55" workbookViewId="0">
      <selection activeCell="I8" sqref="I8"/>
    </sheetView>
  </sheetViews>
  <sheetFormatPr baseColWidth="10" defaultColWidth="11.5703125" defaultRowHeight="15"/>
  <cols>
    <col min="1" max="1" width="19.7109375" style="77" customWidth="1"/>
    <col min="2" max="2" width="24.28515625" style="77" customWidth="1"/>
    <col min="3" max="3" width="16.42578125" style="77" customWidth="1"/>
    <col min="4" max="4" width="20.28515625" style="77" customWidth="1"/>
    <col min="5" max="5" width="17.7109375" style="77" customWidth="1"/>
    <col min="6" max="6" width="20.5703125" style="77" customWidth="1"/>
    <col min="7" max="7" width="19.85546875" style="77" customWidth="1"/>
    <col min="8" max="8" width="17.28515625" style="77" customWidth="1"/>
    <col min="9" max="9" width="22.42578125" style="77" customWidth="1"/>
    <col min="10" max="10" width="21.28515625" style="77" customWidth="1"/>
    <col min="11" max="11" width="27" style="77" customWidth="1"/>
    <col min="12" max="12" width="31.5703125" style="77" customWidth="1"/>
    <col min="13" max="13" width="22.140625" style="77" customWidth="1"/>
    <col min="14" max="14" width="6.42578125" style="77" customWidth="1"/>
    <col min="15" max="15" width="15.42578125" style="77" bestFit="1" customWidth="1"/>
    <col min="16" max="16" width="5.5703125" style="77" customWidth="1"/>
    <col min="17" max="17" width="15.42578125" style="77" bestFit="1" customWidth="1"/>
    <col min="18" max="33" width="11.5703125" style="77"/>
    <col min="34" max="36" width="15.140625" style="77" customWidth="1"/>
    <col min="37" max="37" width="20.85546875" style="77" customWidth="1"/>
    <col min="38" max="39" width="11.5703125" style="77"/>
    <col min="40" max="43" width="0" style="77" hidden="1" customWidth="1"/>
    <col min="44" max="16384" width="11.5703125" style="77"/>
  </cols>
  <sheetData>
    <row r="1" spans="1:43" ht="100.5" customHeight="1">
      <c r="A1" s="2102"/>
      <c r="B1" s="2102"/>
      <c r="C1" s="2102"/>
      <c r="D1" s="2102"/>
      <c r="E1" s="2102"/>
      <c r="F1" s="2102"/>
      <c r="G1" s="2102"/>
      <c r="H1" s="2102"/>
      <c r="I1" s="2102"/>
      <c r="J1" s="2102"/>
      <c r="K1" s="2102"/>
      <c r="L1" s="2102"/>
      <c r="M1" s="2102"/>
    </row>
    <row r="2" spans="1:43" ht="44.25" customHeight="1">
      <c r="A2" s="828" t="s">
        <v>1036</v>
      </c>
      <c r="B2" s="828" t="s">
        <v>1024</v>
      </c>
      <c r="C2" s="952" t="s">
        <v>42</v>
      </c>
      <c r="D2" s="952" t="s">
        <v>127</v>
      </c>
      <c r="E2" s="952" t="s">
        <v>142</v>
      </c>
      <c r="F2" s="952" t="s">
        <v>75</v>
      </c>
      <c r="G2" s="953" t="s">
        <v>143</v>
      </c>
      <c r="H2" s="19"/>
      <c r="M2" s="58"/>
    </row>
    <row r="3" spans="1:43" ht="20.100000000000001" customHeight="1">
      <c r="A3" s="829" t="s">
        <v>128</v>
      </c>
      <c r="B3" s="1973">
        <f>+D3+F3</f>
        <v>25113</v>
      </c>
      <c r="C3" s="1923">
        <f>+B3/$B$18</f>
        <v>1.4344638025371725E-2</v>
      </c>
      <c r="D3" s="1924">
        <v>14832</v>
      </c>
      <c r="E3" s="1925">
        <f>D3/B3</f>
        <v>0.59061044080754987</v>
      </c>
      <c r="F3" s="1924">
        <v>10281</v>
      </c>
      <c r="G3" s="1926">
        <f>+F3/B3</f>
        <v>0.40938955919245013</v>
      </c>
      <c r="H3" s="19"/>
      <c r="I3" s="1057"/>
      <c r="K3" s="184"/>
      <c r="M3" s="58"/>
      <c r="AN3" s="2105" t="s">
        <v>125</v>
      </c>
      <c r="AO3" s="2106"/>
      <c r="AP3" s="2106"/>
    </row>
    <row r="4" spans="1:43" ht="20.100000000000001" customHeight="1">
      <c r="A4" s="829" t="s">
        <v>50</v>
      </c>
      <c r="B4" s="1973">
        <f t="shared" ref="B4:B17" si="0">+D4+F4</f>
        <v>215885</v>
      </c>
      <c r="C4" s="1923">
        <f t="shared" ref="C4:C17" si="1">+B4/$B$18</f>
        <v>0.12331430653873988</v>
      </c>
      <c r="D4" s="1924">
        <v>123723</v>
      </c>
      <c r="E4" s="1925">
        <f t="shared" ref="E4:E18" si="2">D4/B4</f>
        <v>0.57309678764156846</v>
      </c>
      <c r="F4" s="1924">
        <v>92162</v>
      </c>
      <c r="G4" s="1926">
        <f t="shared" ref="G4:G18" si="3">+F4/B4</f>
        <v>0.42690321235843159</v>
      </c>
      <c r="H4" s="19"/>
      <c r="M4" s="58"/>
      <c r="N4" s="1056"/>
      <c r="O4" s="1927"/>
      <c r="P4" s="1927"/>
      <c r="Q4" s="1927"/>
      <c r="R4" s="50"/>
      <c r="AN4" s="101" t="s">
        <v>126</v>
      </c>
      <c r="AO4" s="101" t="s">
        <v>127</v>
      </c>
      <c r="AP4" s="101" t="s">
        <v>75</v>
      </c>
    </row>
    <row r="5" spans="1:43" ht="20.100000000000001" customHeight="1">
      <c r="A5" s="829" t="s">
        <v>51</v>
      </c>
      <c r="B5" s="1973">
        <f t="shared" si="0"/>
        <v>275315</v>
      </c>
      <c r="C5" s="1923">
        <f t="shared" si="1"/>
        <v>0.15726094126369675</v>
      </c>
      <c r="D5" s="1924">
        <v>153471</v>
      </c>
      <c r="E5" s="1925">
        <f t="shared" si="2"/>
        <v>0.55743784392423223</v>
      </c>
      <c r="F5" s="1924">
        <v>121844</v>
      </c>
      <c r="G5" s="1926">
        <f t="shared" si="3"/>
        <v>0.44256215607576777</v>
      </c>
      <c r="H5" s="19"/>
      <c r="M5" s="58"/>
      <c r="N5" s="1056"/>
      <c r="O5" s="830"/>
      <c r="P5" s="830"/>
      <c r="Q5" s="830"/>
      <c r="AN5" s="102" t="s">
        <v>128</v>
      </c>
      <c r="AO5" s="63">
        <v>13968</v>
      </c>
      <c r="AP5" s="63">
        <f>8829*-1</f>
        <v>-8829</v>
      </c>
    </row>
    <row r="6" spans="1:43" ht="20.100000000000001" customHeight="1">
      <c r="A6" s="829" t="s">
        <v>52</v>
      </c>
      <c r="B6" s="1973">
        <f t="shared" si="0"/>
        <v>257142</v>
      </c>
      <c r="C6" s="1923">
        <f t="shared" si="1"/>
        <v>0.14688045678015912</v>
      </c>
      <c r="D6" s="1924">
        <v>139328</v>
      </c>
      <c r="E6" s="1925">
        <f t="shared" si="2"/>
        <v>0.54183291722083515</v>
      </c>
      <c r="F6" s="1924">
        <v>117814</v>
      </c>
      <c r="G6" s="1926">
        <f t="shared" si="3"/>
        <v>0.45816708277916485</v>
      </c>
      <c r="H6" s="19"/>
      <c r="L6" s="173"/>
      <c r="M6" s="58"/>
      <c r="N6" s="1056"/>
      <c r="O6" s="1058"/>
      <c r="P6" s="1058"/>
      <c r="Q6" s="1058"/>
      <c r="AN6" s="102" t="s">
        <v>50</v>
      </c>
      <c r="AO6" s="63">
        <v>94691</v>
      </c>
      <c r="AP6" s="63">
        <f>65301*-1</f>
        <v>-65301</v>
      </c>
    </row>
    <row r="7" spans="1:43" ht="20.100000000000001" customHeight="1">
      <c r="A7" s="829" t="s">
        <v>53</v>
      </c>
      <c r="B7" s="1973">
        <f t="shared" si="0"/>
        <v>238643</v>
      </c>
      <c r="C7" s="1923">
        <f t="shared" si="1"/>
        <v>0.13631375989681777</v>
      </c>
      <c r="D7" s="1924">
        <v>126970</v>
      </c>
      <c r="E7" s="1925">
        <f t="shared" si="2"/>
        <v>0.53204996584856878</v>
      </c>
      <c r="F7" s="1924">
        <v>111673</v>
      </c>
      <c r="G7" s="1926">
        <f t="shared" si="3"/>
        <v>0.46795003415143122</v>
      </c>
      <c r="H7" s="19"/>
      <c r="I7" s="1057"/>
      <c r="M7" s="58"/>
      <c r="N7" s="1056"/>
      <c r="O7" s="1056"/>
      <c r="P7" s="1056"/>
      <c r="Q7" s="1056"/>
      <c r="AN7" s="102" t="s">
        <v>51</v>
      </c>
      <c r="AO7" s="63">
        <v>114856</v>
      </c>
      <c r="AP7" s="63">
        <v>-87226</v>
      </c>
      <c r="AQ7" s="63" t="e">
        <f t="shared" ref="AQ7:AQ19" si="4">AP7*$C$31</f>
        <v>#VALUE!</v>
      </c>
    </row>
    <row r="8" spans="1:43" ht="20.100000000000001" customHeight="1">
      <c r="A8" s="829" t="s">
        <v>54</v>
      </c>
      <c r="B8" s="1973">
        <f t="shared" si="0"/>
        <v>200943</v>
      </c>
      <c r="C8" s="1923">
        <f t="shared" si="1"/>
        <v>0.1147793811465086</v>
      </c>
      <c r="D8" s="1924">
        <v>107086</v>
      </c>
      <c r="E8" s="1925">
        <f t="shared" si="2"/>
        <v>0.53291729495429052</v>
      </c>
      <c r="F8" s="1924">
        <v>93857</v>
      </c>
      <c r="G8" s="1926">
        <f t="shared" si="3"/>
        <v>0.46708270504570948</v>
      </c>
      <c r="H8" s="19"/>
      <c r="I8" s="1057"/>
      <c r="M8" s="58"/>
      <c r="O8" s="1058"/>
      <c r="AN8" s="102" t="s">
        <v>52</v>
      </c>
      <c r="AO8" s="63">
        <v>110599</v>
      </c>
      <c r="AP8" s="63">
        <v>-88163</v>
      </c>
      <c r="AQ8" s="63" t="e">
        <f t="shared" si="4"/>
        <v>#VALUE!</v>
      </c>
    </row>
    <row r="9" spans="1:43" ht="20.100000000000001" customHeight="1">
      <c r="A9" s="829" t="s">
        <v>55</v>
      </c>
      <c r="B9" s="1973">
        <f t="shared" si="0"/>
        <v>172607</v>
      </c>
      <c r="C9" s="1923">
        <f t="shared" si="1"/>
        <v>9.8593753659273572E-2</v>
      </c>
      <c r="D9" s="1924">
        <v>92559</v>
      </c>
      <c r="E9" s="1925">
        <f t="shared" si="2"/>
        <v>0.53624128801265303</v>
      </c>
      <c r="F9" s="1924">
        <v>80048</v>
      </c>
      <c r="G9" s="1926">
        <f t="shared" si="3"/>
        <v>0.46375871198734697</v>
      </c>
      <c r="H9" s="19"/>
      <c r="I9" s="1057"/>
      <c r="M9" s="58"/>
      <c r="O9" s="1058"/>
      <c r="AN9" s="102" t="s">
        <v>53</v>
      </c>
      <c r="AO9" s="63">
        <v>94068</v>
      </c>
      <c r="AP9" s="63">
        <v>-78209</v>
      </c>
      <c r="AQ9" s="63" t="e">
        <f t="shared" si="4"/>
        <v>#VALUE!</v>
      </c>
    </row>
    <row r="10" spans="1:43" ht="20.100000000000001" customHeight="1">
      <c r="A10" s="829" t="s">
        <v>56</v>
      </c>
      <c r="B10" s="1973">
        <f t="shared" si="0"/>
        <v>137689</v>
      </c>
      <c r="C10" s="1923">
        <f t="shared" si="1"/>
        <v>7.8648463547780337E-2</v>
      </c>
      <c r="D10" s="1924">
        <v>75943</v>
      </c>
      <c r="E10" s="1925">
        <f t="shared" si="2"/>
        <v>0.55155459041753518</v>
      </c>
      <c r="F10" s="1924">
        <v>61746</v>
      </c>
      <c r="G10" s="1926">
        <f t="shared" si="3"/>
        <v>0.44844540958246482</v>
      </c>
      <c r="H10" s="19"/>
      <c r="I10" s="1057"/>
      <c r="M10" s="58"/>
      <c r="AN10" s="102" t="s">
        <v>54</v>
      </c>
      <c r="AO10" s="63">
        <v>82896</v>
      </c>
      <c r="AP10" s="63">
        <v>-70646</v>
      </c>
      <c r="AQ10" s="63" t="e">
        <f t="shared" si="4"/>
        <v>#VALUE!</v>
      </c>
    </row>
    <row r="11" spans="1:43" ht="20.100000000000001" customHeight="1">
      <c r="A11" s="829" t="s">
        <v>57</v>
      </c>
      <c r="B11" s="1973">
        <f t="shared" si="0"/>
        <v>97250</v>
      </c>
      <c r="C11" s="1923">
        <f t="shared" si="1"/>
        <v>5.5549557916911567E-2</v>
      </c>
      <c r="D11" s="1924">
        <v>56036</v>
      </c>
      <c r="E11" s="1925">
        <f t="shared" si="2"/>
        <v>0.57620565552699232</v>
      </c>
      <c r="F11" s="1924">
        <v>41214</v>
      </c>
      <c r="G11" s="1926">
        <f t="shared" si="3"/>
        <v>0.42379434447300773</v>
      </c>
      <c r="H11" s="19"/>
      <c r="I11" s="1057"/>
      <c r="M11" s="58"/>
      <c r="AN11" s="102" t="s">
        <v>55</v>
      </c>
      <c r="AO11" s="63">
        <v>68381</v>
      </c>
      <c r="AP11" s="63">
        <v>-56998</v>
      </c>
      <c r="AQ11" s="63" t="e">
        <f t="shared" si="4"/>
        <v>#VALUE!</v>
      </c>
    </row>
    <row r="12" spans="1:43" ht="20.100000000000001" customHeight="1">
      <c r="A12" s="829" t="s">
        <v>58</v>
      </c>
      <c r="B12" s="1973">
        <f t="shared" si="0"/>
        <v>62572</v>
      </c>
      <c r="C12" s="1923">
        <f t="shared" si="1"/>
        <v>3.5741356688709418E-2</v>
      </c>
      <c r="D12" s="1924">
        <v>37948</v>
      </c>
      <c r="E12" s="1925">
        <f t="shared" si="2"/>
        <v>0.60646934731189672</v>
      </c>
      <c r="F12" s="1924">
        <v>24624</v>
      </c>
      <c r="G12" s="1926">
        <f t="shared" si="3"/>
        <v>0.39353065268810328</v>
      </c>
      <c r="H12" s="19"/>
      <c r="I12" s="1057"/>
      <c r="M12" s="58"/>
      <c r="AN12" s="102" t="s">
        <v>56</v>
      </c>
      <c r="AO12" s="63">
        <v>53231</v>
      </c>
      <c r="AP12" s="63">
        <v>-40454</v>
      </c>
      <c r="AQ12" s="63" t="e">
        <f t="shared" si="4"/>
        <v>#VALUE!</v>
      </c>
    </row>
    <row r="13" spans="1:43" ht="20.100000000000001" customHeight="1">
      <c r="A13" s="829" t="s">
        <v>129</v>
      </c>
      <c r="B13" s="1973">
        <f t="shared" si="0"/>
        <v>34605</v>
      </c>
      <c r="C13" s="1923">
        <f t="shared" si="1"/>
        <v>1.9766503359534445E-2</v>
      </c>
      <c r="D13" s="1924">
        <v>22176</v>
      </c>
      <c r="E13" s="1925">
        <f t="shared" si="2"/>
        <v>0.64083224967490249</v>
      </c>
      <c r="F13" s="1924">
        <v>12429</v>
      </c>
      <c r="G13" s="1926">
        <f t="shared" si="3"/>
        <v>0.35916775032509751</v>
      </c>
      <c r="H13" s="19"/>
      <c r="I13" s="1057"/>
      <c r="L13" s="94"/>
      <c r="M13" s="58"/>
      <c r="AN13" s="102" t="s">
        <v>57</v>
      </c>
      <c r="AO13" s="63">
        <v>39299</v>
      </c>
      <c r="AP13" s="63">
        <v>-25509</v>
      </c>
      <c r="AQ13" s="63" t="e">
        <f t="shared" si="4"/>
        <v>#VALUE!</v>
      </c>
    </row>
    <row r="14" spans="1:43" ht="20.100000000000001" customHeight="1">
      <c r="A14" s="829" t="s">
        <v>130</v>
      </c>
      <c r="B14" s="1973">
        <f t="shared" si="0"/>
        <v>16806</v>
      </c>
      <c r="C14" s="1923">
        <f t="shared" si="1"/>
        <v>9.5996490524587752E-3</v>
      </c>
      <c r="D14" s="1924">
        <v>11259</v>
      </c>
      <c r="E14" s="1925">
        <f t="shared" si="2"/>
        <v>0.66993930739021779</v>
      </c>
      <c r="F14" s="1924">
        <v>5547</v>
      </c>
      <c r="G14" s="1926">
        <f t="shared" si="3"/>
        <v>0.33006069260978221</v>
      </c>
      <c r="H14" s="19"/>
      <c r="I14" s="1057"/>
      <c r="L14" s="94"/>
      <c r="M14" s="58"/>
      <c r="AN14" s="102" t="s">
        <v>58</v>
      </c>
      <c r="AO14" s="63">
        <v>25049</v>
      </c>
      <c r="AP14" s="63">
        <v>-13161</v>
      </c>
      <c r="AQ14" s="63" t="e">
        <f t="shared" si="4"/>
        <v>#VALUE!</v>
      </c>
    </row>
    <row r="15" spans="1:43" ht="20.100000000000001" customHeight="1">
      <c r="A15" s="829" t="s">
        <v>131</v>
      </c>
      <c r="B15" s="1973">
        <f t="shared" si="0"/>
        <v>9041</v>
      </c>
      <c r="C15" s="1923">
        <f t="shared" si="1"/>
        <v>5.1642524743115426E-3</v>
      </c>
      <c r="D15" s="1924">
        <v>6068</v>
      </c>
      <c r="E15" s="1925">
        <f t="shared" si="2"/>
        <v>0.67116469417099878</v>
      </c>
      <c r="F15" s="1924">
        <v>2973</v>
      </c>
      <c r="G15" s="1926">
        <f t="shared" si="3"/>
        <v>0.32883530582900122</v>
      </c>
      <c r="H15" s="19"/>
      <c r="I15" s="1057"/>
      <c r="L15" s="94"/>
      <c r="M15" s="58"/>
      <c r="AN15" s="102" t="s">
        <v>129</v>
      </c>
      <c r="AO15" s="63">
        <v>13405</v>
      </c>
      <c r="AP15" s="63">
        <v>-5601</v>
      </c>
      <c r="AQ15" s="63" t="e">
        <f t="shared" si="4"/>
        <v>#VALUE!</v>
      </c>
    </row>
    <row r="16" spans="1:43" ht="20.100000000000001" customHeight="1">
      <c r="A16" s="829" t="s">
        <v>132</v>
      </c>
      <c r="B16" s="1973">
        <f t="shared" si="0"/>
        <v>4259</v>
      </c>
      <c r="C16" s="1923">
        <f t="shared" si="1"/>
        <v>2.4327564747365182E-3</v>
      </c>
      <c r="D16" s="1924">
        <v>2823</v>
      </c>
      <c r="E16" s="1925">
        <f t="shared" si="2"/>
        <v>0.66283165062221183</v>
      </c>
      <c r="F16" s="1924">
        <v>1436</v>
      </c>
      <c r="G16" s="1926">
        <f t="shared" si="3"/>
        <v>0.33716834937778822</v>
      </c>
      <c r="H16" s="19"/>
      <c r="I16" s="1057"/>
      <c r="L16" s="94"/>
      <c r="M16" s="39"/>
      <c r="AN16" s="102" t="s">
        <v>130</v>
      </c>
      <c r="AO16" s="63">
        <v>7875</v>
      </c>
      <c r="AP16" s="63">
        <v>-2898</v>
      </c>
      <c r="AQ16" s="63" t="e">
        <f t="shared" si="4"/>
        <v>#VALUE!</v>
      </c>
    </row>
    <row r="17" spans="1:43" ht="20.100000000000001" customHeight="1">
      <c r="A17" s="829" t="s">
        <v>133</v>
      </c>
      <c r="B17" s="1973">
        <f t="shared" si="0"/>
        <v>2819</v>
      </c>
      <c r="C17" s="1923">
        <f t="shared" si="1"/>
        <v>1.6102231749899611E-3</v>
      </c>
      <c r="D17" s="1924">
        <v>1906</v>
      </c>
      <c r="E17" s="1925">
        <f t="shared" si="2"/>
        <v>0.67612628591699186</v>
      </c>
      <c r="F17" s="1924">
        <v>913</v>
      </c>
      <c r="G17" s="1926">
        <f t="shared" si="3"/>
        <v>0.32387371408300814</v>
      </c>
      <c r="H17" s="19"/>
      <c r="I17" s="1057"/>
      <c r="L17" s="94"/>
      <c r="M17" s="39"/>
      <c r="AN17" s="102" t="s">
        <v>131</v>
      </c>
      <c r="AO17" s="63">
        <v>3939</v>
      </c>
      <c r="AP17" s="63">
        <v>-1434</v>
      </c>
      <c r="AQ17" s="63" t="e">
        <f t="shared" si="4"/>
        <v>#VALUE!</v>
      </c>
    </row>
    <row r="18" spans="1:43" ht="23.25" customHeight="1">
      <c r="A18" s="831" t="s">
        <v>23</v>
      </c>
      <c r="B18" s="1974">
        <f>SUM(B3:B17)</f>
        <v>1750689</v>
      </c>
      <c r="C18" s="1969">
        <f>SUM(C3:C17)</f>
        <v>0.99999999999999989</v>
      </c>
      <c r="D18" s="1970">
        <f>SUM(D3:D17)</f>
        <v>972128</v>
      </c>
      <c r="E18" s="1971">
        <f t="shared" si="2"/>
        <v>0.55528309140001453</v>
      </c>
      <c r="F18" s="1970">
        <f>SUM(F3:F17)</f>
        <v>778561</v>
      </c>
      <c r="G18" s="1972">
        <f t="shared" si="3"/>
        <v>0.44471690859998547</v>
      </c>
      <c r="H18" s="19"/>
      <c r="I18" s="61"/>
      <c r="J18" s="61"/>
      <c r="L18" s="94"/>
      <c r="AN18" s="102" t="s">
        <v>132</v>
      </c>
      <c r="AO18" s="63">
        <v>1841</v>
      </c>
      <c r="AP18" s="63">
        <v>-673</v>
      </c>
      <c r="AQ18" s="63" t="e">
        <f t="shared" si="4"/>
        <v>#VALUE!</v>
      </c>
    </row>
    <row r="19" spans="1:43">
      <c r="A19" s="23"/>
      <c r="B19" s="23"/>
      <c r="C19" s="23"/>
      <c r="D19" s="23"/>
      <c r="E19" s="23"/>
      <c r="F19" s="23"/>
      <c r="G19" s="23"/>
      <c r="H19" s="23"/>
      <c r="I19" s="61"/>
      <c r="J19" s="60"/>
      <c r="L19" s="59"/>
      <c r="M19" s="39"/>
      <c r="AN19" s="102" t="s">
        <v>133</v>
      </c>
      <c r="AO19" s="63">
        <v>855</v>
      </c>
      <c r="AP19" s="63">
        <v>-303</v>
      </c>
      <c r="AQ19" s="63" t="e">
        <f t="shared" si="4"/>
        <v>#VALUE!</v>
      </c>
    </row>
    <row r="20" spans="1:43">
      <c r="B20" s="23"/>
      <c r="C20" s="23"/>
      <c r="D20" s="23"/>
      <c r="E20" s="23"/>
      <c r="F20" s="23"/>
      <c r="G20" s="23"/>
      <c r="H20" s="23"/>
      <c r="I20" s="61"/>
      <c r="J20" s="38"/>
      <c r="L20" s="38"/>
      <c r="M20" s="38"/>
      <c r="AN20" s="102" t="s">
        <v>23</v>
      </c>
      <c r="AO20" s="64">
        <f>SUM(AO5:AO19)</f>
        <v>724953</v>
      </c>
      <c r="AP20" s="64">
        <f>SUM(AP5:AP19)</f>
        <v>-545405</v>
      </c>
    </row>
    <row r="21" spans="1:43">
      <c r="B21" s="23"/>
      <c r="C21" s="23"/>
      <c r="D21" s="23"/>
      <c r="E21" s="23"/>
      <c r="F21" s="23"/>
      <c r="G21" s="23"/>
      <c r="H21" s="23"/>
      <c r="I21" s="23"/>
      <c r="J21" s="23"/>
      <c r="L21" s="23"/>
      <c r="M21" s="23"/>
    </row>
    <row r="22" spans="1:43">
      <c r="B22" s="23"/>
      <c r="C22" s="23"/>
      <c r="D22" s="23"/>
      <c r="E22" s="23"/>
      <c r="F22" s="23"/>
      <c r="G22" s="23"/>
      <c r="H22" s="23"/>
      <c r="I22" s="23"/>
      <c r="J22" s="23"/>
      <c r="K22" s="23"/>
      <c r="L22" s="23"/>
      <c r="M22" s="23"/>
    </row>
    <row r="23" spans="1:43">
      <c r="B23" s="23"/>
      <c r="C23" s="23"/>
      <c r="D23" s="23"/>
      <c r="E23" s="23"/>
      <c r="F23" s="23"/>
      <c r="G23" s="23"/>
      <c r="H23" s="23"/>
      <c r="I23" s="23"/>
      <c r="J23" s="23"/>
      <c r="K23" s="23"/>
      <c r="L23" s="23"/>
      <c r="M23" s="23"/>
    </row>
    <row r="24" spans="1:43">
      <c r="B24" s="23"/>
      <c r="C24" s="23"/>
      <c r="D24" s="23"/>
      <c r="E24" s="23"/>
      <c r="F24" s="23"/>
      <c r="G24" s="23"/>
      <c r="H24" s="23"/>
      <c r="I24" s="23"/>
      <c r="J24" s="23"/>
      <c r="K24" s="23"/>
      <c r="L24" s="23"/>
      <c r="M24" s="23"/>
    </row>
    <row r="25" spans="1:43">
      <c r="B25" s="23"/>
      <c r="C25" s="23"/>
      <c r="D25" s="23"/>
      <c r="E25" s="23"/>
      <c r="F25" s="23"/>
      <c r="G25" s="23"/>
      <c r="H25" s="23"/>
      <c r="I25" s="23"/>
      <c r="J25" s="23"/>
      <c r="K25" s="23"/>
      <c r="L25" s="23"/>
      <c r="M25" s="23"/>
    </row>
    <row r="26" spans="1:43">
      <c r="B26" s="23"/>
      <c r="C26" s="23"/>
      <c r="D26" s="23"/>
      <c r="E26" s="23"/>
      <c r="F26" s="23"/>
      <c r="G26" s="23"/>
      <c r="H26" s="23"/>
      <c r="I26" s="23"/>
      <c r="J26" s="23"/>
      <c r="K26" s="23"/>
      <c r="L26" s="23"/>
      <c r="M26" s="23"/>
    </row>
    <row r="27" spans="1:43">
      <c r="B27" s="23"/>
      <c r="G27" s="23"/>
      <c r="H27" s="23"/>
      <c r="I27" s="23"/>
      <c r="J27" s="23"/>
      <c r="K27" s="23"/>
      <c r="L27" s="23"/>
      <c r="M27" s="23"/>
    </row>
    <row r="28" spans="1:43">
      <c r="B28" s="23"/>
      <c r="C28" s="2103" t="s">
        <v>126</v>
      </c>
      <c r="G28" s="23"/>
      <c r="H28" s="23"/>
      <c r="I28" s="23"/>
      <c r="J28" s="23"/>
      <c r="K28" s="23"/>
      <c r="L28" s="23"/>
      <c r="M28" s="23"/>
    </row>
    <row r="29" spans="1:43" ht="15.75">
      <c r="B29" s="23"/>
      <c r="C29" s="2104"/>
      <c r="D29" s="130" t="s">
        <v>75</v>
      </c>
      <c r="E29" s="197" t="s">
        <v>127</v>
      </c>
      <c r="G29" s="23"/>
      <c r="H29" s="23"/>
      <c r="I29" s="23"/>
      <c r="J29" s="23"/>
      <c r="K29" s="23"/>
      <c r="L29" s="23"/>
      <c r="M29" s="23"/>
    </row>
    <row r="30" spans="1:43" ht="15.75">
      <c r="B30" s="23"/>
      <c r="C30" s="137" t="s">
        <v>128</v>
      </c>
      <c r="D30" s="133">
        <f t="shared" ref="D30:D44" si="5">F3*-1</f>
        <v>-10281</v>
      </c>
      <c r="E30" s="131">
        <f t="shared" ref="E30:E44" si="6">+D3</f>
        <v>14832</v>
      </c>
      <c r="G30" s="23"/>
      <c r="H30" s="23"/>
      <c r="I30" s="23"/>
      <c r="J30" s="23"/>
      <c r="K30" s="23"/>
      <c r="L30" s="23"/>
      <c r="M30" s="23"/>
    </row>
    <row r="31" spans="1:43" ht="15.75">
      <c r="B31" s="23"/>
      <c r="C31" s="137" t="s">
        <v>50</v>
      </c>
      <c r="D31" s="133">
        <f t="shared" si="5"/>
        <v>-92162</v>
      </c>
      <c r="E31" s="131">
        <f t="shared" si="6"/>
        <v>123723</v>
      </c>
      <c r="G31" s="23"/>
      <c r="H31" s="23"/>
      <c r="I31" s="23"/>
      <c r="J31" s="23"/>
      <c r="K31" s="23"/>
      <c r="L31" s="23"/>
      <c r="M31" s="23"/>
    </row>
    <row r="32" spans="1:43" ht="15.75">
      <c r="B32" s="23"/>
      <c r="C32" s="137" t="s">
        <v>51</v>
      </c>
      <c r="D32" s="133">
        <f t="shared" si="5"/>
        <v>-121844</v>
      </c>
      <c r="E32" s="131">
        <f t="shared" si="6"/>
        <v>153471</v>
      </c>
      <c r="G32" s="23"/>
      <c r="H32" s="23"/>
      <c r="I32" s="23"/>
      <c r="J32" s="23"/>
      <c r="K32" s="23"/>
      <c r="L32" s="23"/>
      <c r="M32" s="23"/>
    </row>
    <row r="33" spans="2:36" ht="15.75">
      <c r="B33" s="23"/>
      <c r="C33" s="137" t="s">
        <v>52</v>
      </c>
      <c r="D33" s="133">
        <f t="shared" si="5"/>
        <v>-117814</v>
      </c>
      <c r="E33" s="131">
        <f t="shared" si="6"/>
        <v>139328</v>
      </c>
      <c r="G33" s="23"/>
      <c r="H33" s="23"/>
      <c r="I33" s="23"/>
      <c r="J33" s="23"/>
      <c r="K33" s="23"/>
      <c r="L33" s="23"/>
      <c r="M33" s="23"/>
    </row>
    <row r="34" spans="2:36" ht="15.75">
      <c r="B34" s="23"/>
      <c r="C34" s="137" t="s">
        <v>53</v>
      </c>
      <c r="D34" s="133">
        <f t="shared" si="5"/>
        <v>-111673</v>
      </c>
      <c r="E34" s="131">
        <f t="shared" si="6"/>
        <v>126970</v>
      </c>
      <c r="G34" s="23"/>
      <c r="H34" s="23"/>
      <c r="I34" s="23"/>
      <c r="J34" s="23"/>
      <c r="K34" s="23"/>
      <c r="L34" s="23"/>
      <c r="M34" s="23"/>
      <c r="N34" s="61"/>
      <c r="O34" s="61"/>
      <c r="P34" s="61"/>
      <c r="Q34" s="61"/>
      <c r="R34" s="61"/>
      <c r="S34" s="61"/>
      <c r="T34" s="61"/>
      <c r="U34" s="61"/>
      <c r="V34" s="61"/>
      <c r="W34" s="61"/>
      <c r="X34" s="61"/>
      <c r="Y34" s="61"/>
      <c r="Z34" s="61"/>
      <c r="AA34" s="61"/>
      <c r="AB34" s="61"/>
      <c r="AC34" s="61"/>
      <c r="AD34" s="61"/>
      <c r="AE34" s="61"/>
      <c r="AF34" s="61"/>
      <c r="AG34" s="61"/>
      <c r="AH34" s="61"/>
      <c r="AI34" s="24"/>
      <c r="AJ34" s="24"/>
    </row>
    <row r="35" spans="2:36" ht="15.75">
      <c r="B35" s="23"/>
      <c r="C35" s="137" t="s">
        <v>54</v>
      </c>
      <c r="D35" s="133">
        <f t="shared" si="5"/>
        <v>-93857</v>
      </c>
      <c r="E35" s="131">
        <f t="shared" si="6"/>
        <v>107086</v>
      </c>
      <c r="G35" s="23"/>
      <c r="H35" s="23"/>
      <c r="I35" s="23"/>
      <c r="J35" s="23"/>
      <c r="K35" s="23"/>
      <c r="L35" s="23"/>
      <c r="M35" s="23"/>
      <c r="N35" s="61"/>
      <c r="O35" s="61"/>
      <c r="P35" s="61"/>
      <c r="Q35" s="61"/>
      <c r="R35" s="61"/>
      <c r="S35" s="61"/>
      <c r="T35" s="61"/>
      <c r="U35" s="61"/>
      <c r="V35" s="61"/>
      <c r="W35" s="61"/>
      <c r="X35" s="61"/>
      <c r="Y35" s="61"/>
      <c r="Z35" s="61"/>
      <c r="AA35" s="61"/>
      <c r="AB35" s="61"/>
      <c r="AC35" s="61"/>
      <c r="AD35" s="61"/>
      <c r="AE35" s="61"/>
      <c r="AF35" s="61"/>
      <c r="AG35" s="61"/>
      <c r="AH35" s="61"/>
      <c r="AI35" s="24"/>
      <c r="AJ35" s="24"/>
    </row>
    <row r="36" spans="2:36" ht="15.75">
      <c r="B36" s="23"/>
      <c r="C36" s="137" t="s">
        <v>55</v>
      </c>
      <c r="D36" s="133">
        <f t="shared" si="5"/>
        <v>-80048</v>
      </c>
      <c r="E36" s="131">
        <f t="shared" si="6"/>
        <v>92559</v>
      </c>
      <c r="G36" s="23"/>
      <c r="H36" s="23"/>
      <c r="I36" s="23"/>
      <c r="J36" s="23"/>
      <c r="K36" s="23"/>
      <c r="L36" s="23"/>
      <c r="M36" s="23"/>
      <c r="N36" s="61"/>
      <c r="O36" s="61"/>
      <c r="P36" s="61"/>
      <c r="Q36" s="61"/>
      <c r="R36" s="61"/>
      <c r="S36" s="61"/>
      <c r="T36" s="61"/>
      <c r="U36" s="61"/>
      <c r="V36" s="61"/>
      <c r="W36" s="61"/>
      <c r="X36" s="61"/>
      <c r="Y36" s="61"/>
      <c r="Z36" s="61"/>
      <c r="AA36" s="61"/>
      <c r="AB36" s="61"/>
      <c r="AC36" s="61"/>
      <c r="AD36" s="61"/>
      <c r="AE36" s="61"/>
      <c r="AF36" s="61"/>
      <c r="AG36" s="61"/>
      <c r="AH36" s="61"/>
      <c r="AI36" s="24"/>
      <c r="AJ36" s="24"/>
    </row>
    <row r="37" spans="2:36" ht="15.75">
      <c r="B37" s="23"/>
      <c r="C37" s="137" t="s">
        <v>56</v>
      </c>
      <c r="D37" s="133">
        <f t="shared" si="5"/>
        <v>-61746</v>
      </c>
      <c r="E37" s="131">
        <f t="shared" si="6"/>
        <v>75943</v>
      </c>
      <c r="G37" s="23"/>
      <c r="H37" s="23"/>
      <c r="I37" s="23"/>
      <c r="J37" s="23"/>
      <c r="K37" s="23"/>
      <c r="L37" s="23"/>
      <c r="M37" s="23"/>
      <c r="N37" s="61"/>
      <c r="O37" s="61"/>
      <c r="P37" s="61"/>
      <c r="Q37" s="61"/>
      <c r="R37" s="61"/>
      <c r="S37" s="61"/>
      <c r="T37" s="61"/>
      <c r="U37" s="61"/>
      <c r="V37" s="61"/>
      <c r="W37" s="61"/>
      <c r="X37" s="61"/>
      <c r="Y37" s="61"/>
      <c r="Z37" s="61"/>
      <c r="AA37" s="61"/>
      <c r="AB37" s="61"/>
      <c r="AC37" s="61"/>
      <c r="AD37" s="61"/>
      <c r="AE37" s="61"/>
      <c r="AF37" s="61"/>
      <c r="AG37" s="61"/>
      <c r="AH37" s="61"/>
      <c r="AI37" s="24"/>
      <c r="AJ37" s="24"/>
    </row>
    <row r="38" spans="2:36" ht="15.75">
      <c r="B38" s="23"/>
      <c r="C38" s="137" t="s">
        <v>57</v>
      </c>
      <c r="D38" s="133">
        <f t="shared" si="5"/>
        <v>-41214</v>
      </c>
      <c r="E38" s="131">
        <f t="shared" si="6"/>
        <v>56036</v>
      </c>
      <c r="G38" s="23"/>
      <c r="H38" s="23"/>
      <c r="I38" s="23"/>
      <c r="J38" s="23"/>
      <c r="K38" s="23"/>
      <c r="L38" s="23"/>
      <c r="M38" s="23"/>
      <c r="N38" s="61"/>
      <c r="O38" s="61"/>
      <c r="P38" s="61"/>
      <c r="Q38" s="61"/>
      <c r="R38" s="61"/>
      <c r="S38" s="61"/>
      <c r="T38" s="61"/>
      <c r="U38" s="61"/>
      <c r="V38" s="61"/>
      <c r="W38" s="61"/>
      <c r="X38" s="61"/>
      <c r="Y38" s="61"/>
      <c r="Z38" s="61"/>
      <c r="AA38" s="61"/>
      <c r="AB38" s="61"/>
      <c r="AC38" s="61"/>
      <c r="AD38" s="61"/>
      <c r="AE38" s="61"/>
      <c r="AF38" s="61"/>
      <c r="AG38" s="61"/>
      <c r="AH38" s="61"/>
      <c r="AI38" s="24"/>
      <c r="AJ38" s="24"/>
    </row>
    <row r="39" spans="2:36" ht="15.75">
      <c r="B39" s="23"/>
      <c r="C39" s="137" t="s">
        <v>58</v>
      </c>
      <c r="D39" s="133">
        <f t="shared" si="5"/>
        <v>-24624</v>
      </c>
      <c r="E39" s="131">
        <f t="shared" si="6"/>
        <v>37948</v>
      </c>
      <c r="G39" s="23"/>
      <c r="H39" s="23"/>
      <c r="I39" s="23"/>
      <c r="J39" s="23"/>
      <c r="K39" s="23"/>
      <c r="L39" s="23"/>
      <c r="M39" s="23"/>
      <c r="N39" s="61"/>
      <c r="O39" s="61"/>
      <c r="P39" s="61"/>
      <c r="Q39" s="61"/>
      <c r="R39" s="61"/>
      <c r="S39" s="61"/>
      <c r="T39" s="61"/>
      <c r="U39" s="61"/>
      <c r="V39" s="61"/>
      <c r="W39" s="61"/>
      <c r="X39" s="61"/>
      <c r="Y39" s="61"/>
      <c r="Z39" s="61"/>
      <c r="AA39" s="61"/>
      <c r="AB39" s="61"/>
      <c r="AC39" s="61"/>
      <c r="AD39" s="61"/>
      <c r="AE39" s="61"/>
      <c r="AF39" s="61"/>
      <c r="AG39" s="61"/>
      <c r="AH39" s="61"/>
      <c r="AI39" s="24"/>
      <c r="AJ39" s="24"/>
    </row>
    <row r="40" spans="2:36" ht="15.75">
      <c r="B40" s="23"/>
      <c r="C40" s="137" t="s">
        <v>129</v>
      </c>
      <c r="D40" s="133">
        <f t="shared" si="5"/>
        <v>-12429</v>
      </c>
      <c r="E40" s="131">
        <f t="shared" si="6"/>
        <v>22176</v>
      </c>
      <c r="G40" s="23"/>
      <c r="H40" s="23"/>
      <c r="I40" s="23"/>
      <c r="J40" s="23"/>
      <c r="K40" s="23"/>
      <c r="L40" s="23"/>
      <c r="M40" s="23"/>
      <c r="N40" s="61"/>
      <c r="O40" s="61"/>
      <c r="P40" s="61"/>
      <c r="Q40" s="61"/>
      <c r="R40" s="61"/>
      <c r="S40" s="61"/>
      <c r="T40" s="61"/>
      <c r="U40" s="61"/>
      <c r="V40" s="61"/>
      <c r="W40" s="61"/>
      <c r="X40" s="61"/>
      <c r="Y40" s="61"/>
      <c r="Z40" s="61"/>
      <c r="AA40" s="61"/>
      <c r="AB40" s="61"/>
      <c r="AC40" s="61"/>
      <c r="AD40" s="61"/>
      <c r="AE40" s="61"/>
      <c r="AF40" s="61"/>
      <c r="AG40" s="61"/>
      <c r="AH40" s="61"/>
      <c r="AI40" s="24"/>
      <c r="AJ40" s="24"/>
    </row>
    <row r="41" spans="2:36" ht="15.75">
      <c r="B41" s="23"/>
      <c r="C41" s="137" t="s">
        <v>130</v>
      </c>
      <c r="D41" s="133">
        <f t="shared" si="5"/>
        <v>-5547</v>
      </c>
      <c r="E41" s="131">
        <f t="shared" si="6"/>
        <v>11259</v>
      </c>
      <c r="G41" s="23"/>
      <c r="H41" s="23"/>
      <c r="I41" s="23"/>
      <c r="J41" s="23"/>
      <c r="K41" s="23"/>
      <c r="L41" s="23"/>
      <c r="M41" s="23"/>
      <c r="N41" s="61"/>
      <c r="O41" s="61"/>
      <c r="P41" s="61"/>
      <c r="Q41" s="61"/>
      <c r="R41" s="61"/>
      <c r="S41" s="61"/>
      <c r="T41" s="61"/>
      <c r="U41" s="61"/>
      <c r="V41" s="61"/>
      <c r="W41" s="61"/>
      <c r="X41" s="61"/>
      <c r="Y41" s="61"/>
      <c r="Z41" s="61"/>
      <c r="AA41" s="61"/>
      <c r="AB41" s="61"/>
      <c r="AC41" s="61"/>
      <c r="AD41" s="61"/>
      <c r="AE41" s="61"/>
      <c r="AF41" s="61"/>
      <c r="AG41" s="61"/>
      <c r="AH41" s="61"/>
      <c r="AI41" s="24"/>
      <c r="AJ41" s="24"/>
    </row>
    <row r="42" spans="2:36" ht="15.75">
      <c r="B42" s="23"/>
      <c r="C42" s="137" t="s">
        <v>131</v>
      </c>
      <c r="D42" s="133">
        <f t="shared" si="5"/>
        <v>-2973</v>
      </c>
      <c r="E42" s="131">
        <f t="shared" si="6"/>
        <v>6068</v>
      </c>
      <c r="G42" s="23"/>
      <c r="H42" s="23"/>
      <c r="I42" s="23"/>
      <c r="J42" s="23"/>
      <c r="K42" s="23"/>
      <c r="L42" s="23"/>
      <c r="M42" s="23"/>
      <c r="N42" s="61"/>
      <c r="O42" s="61"/>
      <c r="P42" s="61"/>
      <c r="Q42" s="61"/>
      <c r="R42" s="61"/>
      <c r="S42" s="61"/>
      <c r="T42" s="61"/>
      <c r="U42" s="61"/>
      <c r="V42" s="61"/>
      <c r="W42" s="61"/>
      <c r="X42" s="61"/>
      <c r="Y42" s="61"/>
      <c r="Z42" s="61"/>
      <c r="AA42" s="61"/>
      <c r="AB42" s="61"/>
      <c r="AC42" s="61"/>
      <c r="AD42" s="61"/>
      <c r="AE42" s="61"/>
      <c r="AF42" s="61"/>
      <c r="AG42" s="61"/>
      <c r="AH42" s="61"/>
      <c r="AI42" s="24"/>
      <c r="AJ42" s="24"/>
    </row>
    <row r="43" spans="2:36" ht="15.75">
      <c r="B43" s="23"/>
      <c r="C43" s="137" t="s">
        <v>132</v>
      </c>
      <c r="D43" s="133">
        <f t="shared" si="5"/>
        <v>-1436</v>
      </c>
      <c r="E43" s="131">
        <f t="shared" si="6"/>
        <v>2823</v>
      </c>
      <c r="G43" s="23"/>
      <c r="H43" s="23"/>
      <c r="I43" s="23"/>
      <c r="J43" s="23"/>
      <c r="K43" s="23"/>
      <c r="L43" s="23"/>
      <c r="M43" s="23"/>
      <c r="N43" s="61"/>
      <c r="O43" s="61"/>
      <c r="P43" s="61"/>
      <c r="Q43" s="61"/>
      <c r="R43" s="61"/>
      <c r="S43" s="61"/>
      <c r="T43" s="61"/>
      <c r="U43" s="61"/>
      <c r="V43" s="61"/>
      <c r="W43" s="61"/>
      <c r="X43" s="61"/>
      <c r="Y43" s="61"/>
      <c r="Z43" s="61"/>
      <c r="AA43" s="61"/>
      <c r="AB43" s="61"/>
      <c r="AC43" s="61"/>
      <c r="AD43" s="61"/>
      <c r="AE43" s="61"/>
      <c r="AF43" s="61"/>
      <c r="AG43" s="61"/>
      <c r="AH43" s="61"/>
      <c r="AI43" s="24"/>
      <c r="AJ43" s="24"/>
    </row>
    <row r="44" spans="2:36" ht="15.75">
      <c r="B44" s="23"/>
      <c r="C44" s="137" t="s">
        <v>133</v>
      </c>
      <c r="D44" s="133">
        <f t="shared" si="5"/>
        <v>-913</v>
      </c>
      <c r="E44" s="131">
        <f t="shared" si="6"/>
        <v>1906</v>
      </c>
      <c r="G44" s="23"/>
      <c r="H44" s="23"/>
      <c r="I44" s="23"/>
      <c r="J44" s="23"/>
      <c r="K44" s="23"/>
      <c r="L44" s="23"/>
      <c r="M44" s="23"/>
      <c r="N44" s="61"/>
      <c r="O44" s="61"/>
      <c r="P44" s="61"/>
      <c r="Q44" s="61"/>
      <c r="R44" s="61"/>
      <c r="S44" s="61"/>
      <c r="T44" s="61"/>
      <c r="U44" s="61"/>
      <c r="V44" s="61"/>
      <c r="W44" s="61"/>
      <c r="X44" s="61"/>
      <c r="Y44" s="61"/>
      <c r="Z44" s="61"/>
      <c r="AA44" s="61"/>
      <c r="AB44" s="61"/>
      <c r="AC44" s="61"/>
      <c r="AD44" s="61"/>
      <c r="AE44" s="61"/>
      <c r="AF44" s="61"/>
      <c r="AG44" s="61"/>
      <c r="AH44" s="61"/>
      <c r="AI44" s="24"/>
      <c r="AJ44" s="24"/>
    </row>
    <row r="45" spans="2:36">
      <c r="B45" s="23"/>
      <c r="G45" s="23"/>
      <c r="H45" s="23"/>
      <c r="I45" s="23"/>
      <c r="J45" s="23"/>
      <c r="K45" s="23"/>
      <c r="L45" s="23"/>
      <c r="M45" s="23"/>
      <c r="N45" s="61"/>
      <c r="O45" s="61"/>
      <c r="P45" s="61"/>
      <c r="Q45" s="61"/>
      <c r="R45" s="61"/>
      <c r="S45" s="61"/>
      <c r="T45" s="61"/>
      <c r="U45" s="61"/>
      <c r="V45" s="61"/>
      <c r="W45" s="61"/>
      <c r="X45" s="61"/>
      <c r="Y45" s="61"/>
      <c r="Z45" s="61"/>
      <c r="AA45" s="61"/>
      <c r="AB45" s="61"/>
      <c r="AC45" s="61"/>
      <c r="AD45" s="61"/>
      <c r="AE45" s="61"/>
      <c r="AF45" s="61"/>
      <c r="AG45" s="61"/>
      <c r="AH45" s="61"/>
      <c r="AI45" s="24"/>
      <c r="AJ45" s="24"/>
    </row>
    <row r="46" spans="2:36">
      <c r="N46" s="61"/>
      <c r="O46" s="61"/>
      <c r="P46" s="61"/>
      <c r="Q46" s="61"/>
      <c r="R46" s="61"/>
      <c r="S46" s="61"/>
      <c r="T46" s="61"/>
      <c r="U46" s="61"/>
      <c r="V46" s="61"/>
      <c r="W46" s="61"/>
      <c r="X46" s="61"/>
      <c r="Y46" s="61"/>
      <c r="Z46" s="61"/>
      <c r="AA46" s="61"/>
      <c r="AB46" s="61"/>
      <c r="AC46" s="61"/>
      <c r="AD46" s="61"/>
      <c r="AE46" s="61"/>
      <c r="AF46" s="61"/>
      <c r="AG46" s="61"/>
      <c r="AH46" s="61"/>
      <c r="AI46" s="24"/>
      <c r="AJ46" s="24"/>
    </row>
    <row r="47" spans="2:36">
      <c r="N47" s="61"/>
      <c r="O47" s="61"/>
      <c r="P47" s="61"/>
      <c r="Q47" s="61"/>
      <c r="R47" s="61"/>
      <c r="S47" s="61"/>
      <c r="T47" s="61"/>
      <c r="U47" s="61"/>
      <c r="V47" s="61"/>
      <c r="W47" s="61"/>
      <c r="X47" s="61"/>
      <c r="Y47" s="61"/>
      <c r="Z47" s="61"/>
      <c r="AA47" s="61"/>
      <c r="AB47" s="61"/>
      <c r="AC47" s="61"/>
      <c r="AD47" s="61"/>
      <c r="AE47" s="61"/>
      <c r="AF47" s="61"/>
      <c r="AG47" s="61"/>
      <c r="AH47" s="61"/>
      <c r="AI47" s="24"/>
      <c r="AJ47" s="138"/>
    </row>
    <row r="48" spans="2:36" ht="15.75">
      <c r="N48" s="61"/>
      <c r="O48" s="61"/>
      <c r="P48" s="61"/>
      <c r="Q48" s="61"/>
      <c r="R48" s="61"/>
      <c r="S48" s="61"/>
      <c r="T48" s="61"/>
      <c r="U48" s="61"/>
      <c r="V48" s="61"/>
      <c r="W48" s="61"/>
      <c r="X48" s="61"/>
      <c r="Y48" s="61"/>
      <c r="Z48" s="61"/>
      <c r="AA48" s="61"/>
      <c r="AB48" s="61"/>
      <c r="AC48" s="61"/>
      <c r="AD48" s="61"/>
      <c r="AE48" s="61"/>
      <c r="AF48" s="61"/>
      <c r="AG48" s="61"/>
      <c r="AH48" s="139"/>
      <c r="AI48" s="24"/>
      <c r="AJ48" s="138"/>
    </row>
  </sheetData>
  <mergeCells count="3">
    <mergeCell ref="A1:M1"/>
    <mergeCell ref="C28:C29"/>
    <mergeCell ref="AN3:AP3"/>
  </mergeCells>
  <printOptions horizontalCentered="1" verticalCentered="1"/>
  <pageMargins left="0.4" right="0.4" top="0.25" bottom="0.25" header="0.31496062992126" footer="0.31496062992126"/>
  <pageSetup scale="38" orientation="landscape"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2">
    <tabColor theme="1" tint="0.34998626667073579"/>
  </sheetPr>
  <dimension ref="A1:T18"/>
  <sheetViews>
    <sheetView showGridLines="0" view="pageBreakPreview" zoomScale="70" zoomScaleNormal="85" zoomScaleSheetLayoutView="70" workbookViewId="0">
      <selection activeCell="I7" sqref="I7"/>
    </sheetView>
  </sheetViews>
  <sheetFormatPr baseColWidth="10" defaultColWidth="11.42578125" defaultRowHeight="15"/>
  <cols>
    <col min="1" max="1" width="13.85546875" style="58" customWidth="1"/>
    <col min="2" max="2" width="16" style="58" customWidth="1"/>
    <col min="3" max="3" width="15" style="58" customWidth="1"/>
    <col min="4" max="4" width="16.28515625" style="58" customWidth="1"/>
    <col min="5" max="5" width="22.28515625" style="58" customWidth="1"/>
    <col min="6" max="6" width="21.5703125" style="58" customWidth="1"/>
    <col min="7" max="7" width="22" style="58" bestFit="1" customWidth="1"/>
    <col min="8" max="8" width="15.140625" style="58" bestFit="1" customWidth="1"/>
    <col min="9" max="9" width="14.140625" style="58" bestFit="1" customWidth="1"/>
    <col min="10" max="10" width="15.140625" style="58" bestFit="1" customWidth="1"/>
    <col min="11" max="11" width="18" style="58" customWidth="1"/>
    <col min="12" max="14" width="11.42578125" style="58"/>
    <col min="15" max="15" width="3.7109375" style="58" customWidth="1"/>
    <col min="16" max="16" width="13" style="58" bestFit="1" customWidth="1"/>
    <col min="17" max="17" width="15.140625" style="58" bestFit="1" customWidth="1"/>
    <col min="18" max="16384" width="11.42578125" style="58"/>
  </cols>
  <sheetData>
    <row r="1" spans="1:20" s="77" customFormat="1" ht="82.5" customHeight="1">
      <c r="A1" s="2107"/>
      <c r="B1" s="2107"/>
      <c r="C1" s="2107"/>
      <c r="D1" s="2107"/>
      <c r="E1" s="2107"/>
      <c r="F1" s="2107"/>
      <c r="G1" s="2107"/>
      <c r="H1" s="2107"/>
      <c r="I1" s="2107"/>
      <c r="J1" s="2107"/>
      <c r="K1" s="2107"/>
      <c r="L1" s="2107"/>
      <c r="M1" s="2107"/>
      <c r="N1" s="2107"/>
    </row>
    <row r="2" spans="1:20" s="77" customFormat="1" ht="7.5" customHeight="1">
      <c r="A2" s="2108"/>
      <c r="B2" s="2108"/>
      <c r="C2" s="2108"/>
      <c r="D2" s="2108"/>
      <c r="E2" s="2108"/>
      <c r="F2" s="2108"/>
      <c r="G2" s="2108"/>
      <c r="H2" s="2108"/>
      <c r="I2" s="2108"/>
      <c r="J2" s="2108"/>
      <c r="K2" s="2108"/>
      <c r="L2" s="2108"/>
      <c r="M2" s="2108"/>
      <c r="N2" s="2108"/>
    </row>
    <row r="3" spans="1:20" s="77" customFormat="1" ht="26.25" customHeight="1">
      <c r="A3" s="2109" t="s">
        <v>45</v>
      </c>
      <c r="B3" s="2111" t="s">
        <v>788</v>
      </c>
      <c r="C3" s="2094"/>
      <c r="D3" s="2094"/>
      <c r="E3" s="2094"/>
      <c r="F3" s="2095"/>
      <c r="G3" s="71"/>
      <c r="H3" s="71"/>
      <c r="I3" s="71"/>
      <c r="J3" s="71"/>
      <c r="Q3" s="279"/>
      <c r="R3" s="279"/>
      <c r="S3" s="279"/>
      <c r="T3" s="279"/>
    </row>
    <row r="4" spans="1:20" s="77" customFormat="1" ht="18.75">
      <c r="A4" s="2110"/>
      <c r="B4" s="1738" t="s">
        <v>593</v>
      </c>
      <c r="C4" s="1739" t="s">
        <v>594</v>
      </c>
      <c r="D4" s="1739" t="s">
        <v>595</v>
      </c>
      <c r="E4" s="1739" t="s">
        <v>596</v>
      </c>
      <c r="F4" s="1740" t="s">
        <v>166</v>
      </c>
      <c r="G4" s="71"/>
      <c r="H4" s="71"/>
      <c r="I4" s="71"/>
      <c r="J4" s="71"/>
      <c r="Q4" s="279"/>
      <c r="R4" s="279"/>
      <c r="S4" s="279"/>
      <c r="T4" s="279"/>
    </row>
    <row r="5" spans="1:20" ht="18.75">
      <c r="A5" s="483" t="s">
        <v>576</v>
      </c>
      <c r="B5" s="280">
        <v>280852</v>
      </c>
      <c r="C5" s="280">
        <v>618171</v>
      </c>
      <c r="D5" s="280">
        <v>393074</v>
      </c>
      <c r="E5" s="280">
        <v>349307</v>
      </c>
      <c r="F5" s="486">
        <f t="shared" ref="F5:F8" si="0">+B5+C5+D5+E5</f>
        <v>1641404</v>
      </c>
    </row>
    <row r="6" spans="1:20" ht="21">
      <c r="A6" s="483" t="s">
        <v>574</v>
      </c>
      <c r="B6" s="280">
        <v>285703</v>
      </c>
      <c r="C6" s="280">
        <v>624371</v>
      </c>
      <c r="D6" s="280">
        <v>391447</v>
      </c>
      <c r="E6" s="280">
        <v>349681</v>
      </c>
      <c r="F6" s="486">
        <f t="shared" si="0"/>
        <v>1651202</v>
      </c>
      <c r="P6" s="485"/>
    </row>
    <row r="7" spans="1:20" ht="18.75">
      <c r="A7" s="483" t="s">
        <v>575</v>
      </c>
      <c r="B7" s="280">
        <v>284184</v>
      </c>
      <c r="C7" s="280">
        <v>624657</v>
      </c>
      <c r="D7" s="280">
        <v>393280</v>
      </c>
      <c r="E7" s="280">
        <v>352363</v>
      </c>
      <c r="F7" s="486">
        <f t="shared" si="0"/>
        <v>1654484</v>
      </c>
    </row>
    <row r="8" spans="1:20" ht="18.75">
      <c r="A8" s="483" t="s">
        <v>711</v>
      </c>
      <c r="B8" s="280">
        <v>288078</v>
      </c>
      <c r="C8" s="280">
        <v>627166</v>
      </c>
      <c r="D8" s="280">
        <v>394796</v>
      </c>
      <c r="E8" s="280">
        <v>351430</v>
      </c>
      <c r="F8" s="486">
        <f t="shared" si="0"/>
        <v>1661470</v>
      </c>
      <c r="P8" s="1109"/>
    </row>
    <row r="9" spans="1:20" ht="18.75">
      <c r="A9" s="483" t="s">
        <v>732</v>
      </c>
      <c r="B9" s="280">
        <v>292468</v>
      </c>
      <c r="C9" s="280">
        <v>632767</v>
      </c>
      <c r="D9" s="280">
        <v>397528</v>
      </c>
      <c r="E9" s="280">
        <v>353984</v>
      </c>
      <c r="F9" s="486">
        <f>+E9+D9+C9+B9</f>
        <v>1676747</v>
      </c>
      <c r="P9" s="1109"/>
    </row>
    <row r="10" spans="1:20" ht="18.75">
      <c r="A10" s="483" t="s">
        <v>738</v>
      </c>
      <c r="B10" s="280">
        <v>300150</v>
      </c>
      <c r="C10" s="280">
        <v>636688</v>
      </c>
      <c r="D10" s="280">
        <v>401347</v>
      </c>
      <c r="E10" s="280">
        <v>359903</v>
      </c>
      <c r="F10" s="486">
        <v>1698088</v>
      </c>
      <c r="P10" s="1109"/>
    </row>
    <row r="11" spans="1:20" ht="18.75">
      <c r="A11" s="483" t="s">
        <v>746</v>
      </c>
      <c r="B11" s="280">
        <v>302993</v>
      </c>
      <c r="C11" s="280">
        <v>640576</v>
      </c>
      <c r="D11" s="280">
        <v>403268</v>
      </c>
      <c r="E11" s="280">
        <v>359446</v>
      </c>
      <c r="F11" s="486">
        <v>1706283</v>
      </c>
    </row>
    <row r="12" spans="1:20" ht="18.75">
      <c r="A12" s="483" t="s">
        <v>760</v>
      </c>
      <c r="B12" s="280">
        <v>306000</v>
      </c>
      <c r="C12" s="280">
        <v>639537</v>
      </c>
      <c r="D12" s="280">
        <v>402370</v>
      </c>
      <c r="E12" s="280">
        <v>358877</v>
      </c>
      <c r="F12" s="486">
        <v>1706784</v>
      </c>
    </row>
    <row r="13" spans="1:20" ht="18.75">
      <c r="A13" s="483" t="s">
        <v>769</v>
      </c>
      <c r="B13" s="280">
        <f>219441+55133+37993</f>
        <v>312567</v>
      </c>
      <c r="C13" s="280">
        <f>440992+29437+168483</f>
        <v>638912</v>
      </c>
      <c r="D13" s="280">
        <f>259639+70938+68312</f>
        <v>398889</v>
      </c>
      <c r="E13" s="280">
        <f>320272+27905+9754</f>
        <v>357931</v>
      </c>
      <c r="F13" s="486">
        <f>+E13+D13+C13+B13</f>
        <v>1708299</v>
      </c>
    </row>
    <row r="14" spans="1:20" ht="18.75">
      <c r="A14" s="483" t="s">
        <v>779</v>
      </c>
      <c r="B14" s="280">
        <v>312631</v>
      </c>
      <c r="C14" s="280">
        <v>639988</v>
      </c>
      <c r="D14" s="280">
        <v>398843</v>
      </c>
      <c r="E14" s="280">
        <v>357159</v>
      </c>
      <c r="F14" s="486">
        <f>+E14+D14+C14+B14</f>
        <v>1708621</v>
      </c>
    </row>
    <row r="15" spans="1:20" ht="18.75">
      <c r="A15" s="483" t="s">
        <v>783</v>
      </c>
      <c r="B15" s="280">
        <v>314075</v>
      </c>
      <c r="C15" s="280">
        <v>645125</v>
      </c>
      <c r="D15" s="280">
        <v>400015</v>
      </c>
      <c r="E15" s="280">
        <v>357365</v>
      </c>
      <c r="F15" s="486">
        <v>1716580</v>
      </c>
    </row>
    <row r="16" spans="1:20" ht="18.75">
      <c r="A16" s="483" t="s">
        <v>970</v>
      </c>
      <c r="B16" s="280">
        <v>320347</v>
      </c>
      <c r="C16" s="280">
        <v>658276</v>
      </c>
      <c r="D16" s="280">
        <v>402388</v>
      </c>
      <c r="E16" s="280">
        <v>357861</v>
      </c>
      <c r="F16" s="486">
        <v>1716580</v>
      </c>
    </row>
    <row r="17" spans="1:6" ht="18.75">
      <c r="A17" s="484" t="s">
        <v>1002</v>
      </c>
      <c r="B17" s="1477">
        <v>323402</v>
      </c>
      <c r="C17" s="1477">
        <v>664381</v>
      </c>
      <c r="D17" s="1477">
        <v>402276</v>
      </c>
      <c r="E17" s="1477">
        <v>360630</v>
      </c>
      <c r="F17" s="487">
        <f>+E17+D17+C17+B17</f>
        <v>1750689</v>
      </c>
    </row>
    <row r="18" spans="1:6">
      <c r="B18" s="1109"/>
      <c r="C18" s="1109"/>
      <c r="D18" s="1109"/>
      <c r="E18" s="1109"/>
      <c r="F18" s="1109"/>
    </row>
  </sheetData>
  <mergeCells count="4">
    <mergeCell ref="A1:N1"/>
    <mergeCell ref="A2:N2"/>
    <mergeCell ref="A3:A4"/>
    <mergeCell ref="B3:F3"/>
  </mergeCells>
  <printOptions horizontalCentered="1" verticalCentered="1"/>
  <pageMargins left="0.4" right="0.4" top="0.25" bottom="0.25" header="0.31496062992126" footer="0.31496062992126"/>
  <pageSetup scale="52" orientation="landscape" r:id="rId1"/>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3">
    <tabColor theme="0" tint="-0.499984740745262"/>
    <pageSetUpPr fitToPage="1"/>
  </sheetPr>
  <dimension ref="A1:O50"/>
  <sheetViews>
    <sheetView showGridLines="0" view="pageBreakPreview" zoomScale="70" zoomScaleNormal="100" zoomScaleSheetLayoutView="70" workbookViewId="0">
      <pane ySplit="1" topLeftCell="A2" activePane="bottomLeft" state="frozen"/>
      <selection pane="bottomLeft" activeCell="A3" sqref="A3"/>
    </sheetView>
  </sheetViews>
  <sheetFormatPr baseColWidth="10" defaultColWidth="11.42578125" defaultRowHeight="15"/>
  <cols>
    <col min="1" max="1" width="19.28515625" style="39" customWidth="1"/>
    <col min="2" max="2" width="17.7109375" style="985" customWidth="1"/>
    <col min="3" max="3" width="22.7109375" style="39" customWidth="1"/>
    <col min="4" max="4" width="30.5703125" style="39" customWidth="1"/>
    <col min="5" max="5" width="18.85546875" style="39" customWidth="1"/>
    <col min="6" max="6" width="20.42578125" style="39" customWidth="1"/>
    <col min="7" max="7" width="19" style="39" customWidth="1"/>
    <col min="8" max="8" width="17" style="39" customWidth="1"/>
    <col min="9" max="9" width="15.85546875" style="39" customWidth="1"/>
    <col min="10" max="10" width="20.28515625" style="39" customWidth="1"/>
    <col min="11" max="11" width="14.42578125" style="39" customWidth="1"/>
    <col min="12" max="12" width="14.28515625" style="39" customWidth="1"/>
    <col min="13" max="13" width="13.85546875" style="39" customWidth="1"/>
    <col min="14" max="16384" width="11.42578125" style="39"/>
  </cols>
  <sheetData>
    <row r="1" spans="1:15" s="77" customFormat="1" ht="90.75" customHeight="1">
      <c r="A1" s="2069"/>
      <c r="B1" s="2069"/>
      <c r="C1" s="2069"/>
      <c r="D1" s="2069"/>
      <c r="E1" s="2069"/>
      <c r="F1" s="2069"/>
      <c r="G1" s="2069"/>
      <c r="H1" s="2069"/>
      <c r="I1" s="2069"/>
      <c r="J1" s="2069"/>
    </row>
    <row r="2" spans="1:15" s="77" customFormat="1" ht="10.5" customHeight="1">
      <c r="A2" s="2112"/>
      <c r="B2" s="2112"/>
      <c r="C2" s="2112"/>
      <c r="D2" s="2112"/>
      <c r="E2" s="2112"/>
      <c r="F2" s="2112"/>
      <c r="G2" s="2112"/>
      <c r="H2" s="2112"/>
      <c r="I2" s="2112"/>
      <c r="J2" s="2112"/>
    </row>
    <row r="3" spans="1:15" s="77" customFormat="1" ht="60" customHeight="1">
      <c r="A3" s="1138" t="s">
        <v>0</v>
      </c>
      <c r="B3" s="1886" t="s">
        <v>255</v>
      </c>
      <c r="C3" s="1139" t="s">
        <v>410</v>
      </c>
      <c r="D3" s="1139" t="s">
        <v>736</v>
      </c>
      <c r="E3" s="1140" t="s">
        <v>254</v>
      </c>
      <c r="F3" s="94"/>
      <c r="G3" s="94"/>
      <c r="H3" s="94"/>
      <c r="I3" s="94"/>
      <c r="J3" s="94"/>
      <c r="K3" s="827"/>
      <c r="L3" s="827"/>
      <c r="M3" s="827"/>
      <c r="N3" s="827"/>
      <c r="O3" s="827"/>
    </row>
    <row r="4" spans="1:15" s="77" customFormat="1" ht="18.75">
      <c r="A4" s="1031" t="s">
        <v>252</v>
      </c>
      <c r="B4" s="1190">
        <v>626615</v>
      </c>
      <c r="C4" s="1821">
        <f>+'V.4.2.NA. Reportes ARL'!D4</f>
        <v>3731</v>
      </c>
      <c r="D4" s="1928">
        <f t="shared" ref="D4:D14" si="0">C4/B4*$A$20</f>
        <v>595.42143102223849</v>
      </c>
      <c r="E4" s="1191">
        <f>C4/B4</f>
        <v>5.9542143102223853E-3</v>
      </c>
      <c r="F4" s="94"/>
      <c r="I4" s="94"/>
      <c r="J4" s="94"/>
      <c r="K4" s="827"/>
      <c r="L4" s="827"/>
      <c r="M4" s="827"/>
      <c r="N4" s="827"/>
      <c r="O4" s="827"/>
    </row>
    <row r="5" spans="1:15" s="77" customFormat="1" ht="18.75">
      <c r="A5" s="1031" t="s">
        <v>251</v>
      </c>
      <c r="B5" s="1190">
        <v>808496</v>
      </c>
      <c r="C5" s="1821">
        <f>+'V.4.2.NA. Reportes ARL'!D5</f>
        <v>5535</v>
      </c>
      <c r="D5" s="1928">
        <f t="shared" si="0"/>
        <v>684.60450020779331</v>
      </c>
      <c r="E5" s="1191">
        <f t="shared" ref="E5:E10" si="1">C5/B5</f>
        <v>6.8460450020779327E-3</v>
      </c>
      <c r="F5" s="94"/>
      <c r="H5" s="94"/>
      <c r="I5" s="94"/>
      <c r="J5" s="94"/>
      <c r="K5" s="827"/>
      <c r="L5" s="827"/>
      <c r="M5" s="827"/>
      <c r="N5" s="827"/>
      <c r="O5" s="827"/>
    </row>
    <row r="6" spans="1:15" s="77" customFormat="1" ht="18.75">
      <c r="A6" s="1031" t="s">
        <v>173</v>
      </c>
      <c r="B6" s="1190">
        <v>913203</v>
      </c>
      <c r="C6" s="1821">
        <f>+'V.4.2.NA. Reportes ARL'!D6</f>
        <v>8544</v>
      </c>
      <c r="D6" s="1928">
        <f t="shared" si="0"/>
        <v>935.60796449420332</v>
      </c>
      <c r="E6" s="1191">
        <f t="shared" si="1"/>
        <v>9.3560796449420336E-3</v>
      </c>
      <c r="F6" s="94"/>
      <c r="H6" s="94"/>
      <c r="I6" s="94" t="s">
        <v>31</v>
      </c>
      <c r="J6" s="94"/>
      <c r="K6" s="827"/>
      <c r="L6" s="827"/>
      <c r="M6" s="827"/>
      <c r="N6" s="827"/>
      <c r="O6" s="827"/>
    </row>
    <row r="7" spans="1:15" s="77" customFormat="1" ht="18.75">
      <c r="A7" s="1031" t="s">
        <v>222</v>
      </c>
      <c r="B7" s="1190">
        <v>992746</v>
      </c>
      <c r="C7" s="1821">
        <f>+'V.4.2.NA. Reportes ARL'!D7</f>
        <v>10977</v>
      </c>
      <c r="D7" s="1928">
        <f t="shared" si="0"/>
        <v>1105.7208994042787</v>
      </c>
      <c r="E7" s="1191">
        <f t="shared" si="1"/>
        <v>1.1057208994042786E-2</v>
      </c>
      <c r="F7" s="94"/>
      <c r="H7" s="94"/>
      <c r="I7" s="94"/>
      <c r="J7" s="94"/>
      <c r="K7" s="827"/>
      <c r="L7" s="827"/>
      <c r="M7" s="827"/>
      <c r="N7" s="827"/>
      <c r="O7" s="827"/>
    </row>
    <row r="8" spans="1:15" s="77" customFormat="1" ht="18.75">
      <c r="A8" s="1031" t="s">
        <v>223</v>
      </c>
      <c r="B8" s="1190">
        <v>1084705</v>
      </c>
      <c r="C8" s="1821">
        <f>+'V.4.2.NA. Reportes ARL'!D8</f>
        <v>14683</v>
      </c>
      <c r="D8" s="1928">
        <f t="shared" si="0"/>
        <v>1353.6399297504852</v>
      </c>
      <c r="E8" s="1191">
        <f t="shared" si="1"/>
        <v>1.3536399297504852E-2</v>
      </c>
      <c r="F8" s="94"/>
      <c r="H8" s="94"/>
      <c r="I8" s="94"/>
      <c r="J8" s="94"/>
      <c r="K8" s="827"/>
      <c r="L8" s="827"/>
      <c r="M8" s="827"/>
      <c r="N8" s="827"/>
      <c r="O8" s="827"/>
    </row>
    <row r="9" spans="1:15" s="77" customFormat="1" ht="18.75">
      <c r="A9" s="1031" t="s">
        <v>192</v>
      </c>
      <c r="B9" s="1190">
        <v>1183463</v>
      </c>
      <c r="C9" s="1821">
        <f>+'V.4.2.NA. Reportes ARL'!D9</f>
        <v>17456</v>
      </c>
      <c r="D9" s="1928">
        <f t="shared" si="0"/>
        <v>1474.9933035506815</v>
      </c>
      <c r="E9" s="1191">
        <f t="shared" si="1"/>
        <v>1.4749933035506814E-2</v>
      </c>
      <c r="F9" s="94"/>
      <c r="H9" s="94"/>
      <c r="I9" s="94"/>
      <c r="J9" s="94"/>
      <c r="K9" s="827"/>
      <c r="L9" s="827"/>
      <c r="M9" s="827"/>
      <c r="N9" s="827"/>
      <c r="O9" s="827"/>
    </row>
    <row r="10" spans="1:15" s="77" customFormat="1" ht="18.75">
      <c r="A10" s="1031" t="s">
        <v>224</v>
      </c>
      <c r="B10" s="1190">
        <v>1367790</v>
      </c>
      <c r="C10" s="1821">
        <f>+'V.4.2.NA. Reportes ARL'!D10</f>
        <v>22597</v>
      </c>
      <c r="D10" s="1928">
        <f t="shared" si="0"/>
        <v>1652.0810943200345</v>
      </c>
      <c r="E10" s="1191">
        <f t="shared" si="1"/>
        <v>1.6520810943200345E-2</v>
      </c>
      <c r="F10" s="94"/>
      <c r="H10" s="94"/>
      <c r="I10" s="94"/>
      <c r="J10" s="94"/>
      <c r="K10" s="827"/>
      <c r="L10" s="827"/>
      <c r="M10" s="827"/>
      <c r="N10" s="827"/>
      <c r="O10" s="827"/>
    </row>
    <row r="11" spans="1:15" s="77" customFormat="1" ht="18.75">
      <c r="A11" s="1031" t="s">
        <v>482</v>
      </c>
      <c r="B11" s="1190">
        <v>1430273</v>
      </c>
      <c r="C11" s="1821">
        <f>+'V.4.2.NA. Reportes ARL'!D11</f>
        <v>26688</v>
      </c>
      <c r="D11" s="1928">
        <f t="shared" si="0"/>
        <v>1865.9374818653503</v>
      </c>
      <c r="E11" s="1191">
        <f>C11/B11</f>
        <v>1.8659374818653502E-2</v>
      </c>
      <c r="F11" s="94"/>
      <c r="H11" s="94"/>
      <c r="I11" s="94"/>
      <c r="J11" s="94"/>
      <c r="K11" s="827"/>
      <c r="L11" s="827"/>
      <c r="M11" s="827"/>
      <c r="N11" s="827"/>
      <c r="O11" s="827"/>
    </row>
    <row r="12" spans="1:15" s="77" customFormat="1" ht="18.75">
      <c r="A12" s="1031" t="s">
        <v>561</v>
      </c>
      <c r="B12" s="1190">
        <v>1530322</v>
      </c>
      <c r="C12" s="1821">
        <f>+'V.4.2.NA. Reportes ARL'!D12</f>
        <v>28635</v>
      </c>
      <c r="D12" s="1928">
        <f t="shared" si="0"/>
        <v>1871.174824644748</v>
      </c>
      <c r="E12" s="1191">
        <f>C12/B12</f>
        <v>1.8711748246447481E-2</v>
      </c>
      <c r="F12" s="94"/>
      <c r="H12" s="94"/>
      <c r="I12" s="94"/>
      <c r="J12" s="94"/>
      <c r="K12" s="827"/>
      <c r="L12" s="827"/>
      <c r="M12" s="827"/>
      <c r="N12" s="827"/>
      <c r="O12" s="827"/>
    </row>
    <row r="13" spans="1:15" s="77" customFormat="1" ht="18.75">
      <c r="A13" s="1031" t="s">
        <v>569</v>
      </c>
      <c r="B13" s="1190">
        <f>+'[3]VI.1.1 Afil. SRL'!D10</f>
        <v>1651202</v>
      </c>
      <c r="C13" s="1821">
        <f>+'V.4.2.NA. Reportes ARL'!D13</f>
        <v>31032</v>
      </c>
      <c r="D13" s="1928">
        <f t="shared" si="0"/>
        <v>1879.3581887618836</v>
      </c>
      <c r="E13" s="1191">
        <f>C13/B13</f>
        <v>1.8793581887618836E-2</v>
      </c>
      <c r="F13" s="94"/>
      <c r="H13" s="94"/>
      <c r="I13" s="94"/>
      <c r="J13" s="94"/>
      <c r="K13" s="827"/>
      <c r="L13" s="827"/>
      <c r="M13" s="827"/>
      <c r="N13" s="827"/>
      <c r="O13" s="827"/>
    </row>
    <row r="14" spans="1:15" s="996" customFormat="1" ht="18.75" customHeight="1">
      <c r="A14" s="927" t="s">
        <v>1016</v>
      </c>
      <c r="B14" s="1932">
        <f>+'III.6.4.Afil. SRL x sexoy edad'!B18</f>
        <v>1750689</v>
      </c>
      <c r="C14" s="1933">
        <v>31818</v>
      </c>
      <c r="D14" s="1934">
        <f t="shared" si="0"/>
        <v>1817.4558702316633</v>
      </c>
      <c r="E14" s="1935">
        <f>C14/B14</f>
        <v>1.8174558702316632E-2</v>
      </c>
      <c r="F14" s="163"/>
      <c r="H14" s="163"/>
      <c r="I14" s="163"/>
      <c r="J14" s="163"/>
      <c r="K14" s="1936"/>
      <c r="L14" s="1936"/>
      <c r="M14" s="1936"/>
      <c r="N14" s="1936"/>
      <c r="O14" s="1936"/>
    </row>
    <row r="15" spans="1:15" s="77" customFormat="1" ht="17.25" customHeight="1">
      <c r="A15" s="1141" t="s">
        <v>23</v>
      </c>
      <c r="B15" s="1931"/>
      <c r="C15" s="1929">
        <f>SUM(C4:C14)</f>
        <v>201696</v>
      </c>
      <c r="D15" s="1929"/>
      <c r="E15" s="1930">
        <f>AVERAGE(E4:E14)</f>
        <v>1.3850904989321235E-2</v>
      </c>
      <c r="F15" s="94"/>
      <c r="H15" s="94"/>
      <c r="I15" s="94"/>
      <c r="J15" s="94"/>
      <c r="K15" s="827"/>
      <c r="M15" s="827"/>
      <c r="N15" s="827"/>
      <c r="O15" s="827"/>
    </row>
    <row r="16" spans="1:15" s="77" customFormat="1">
      <c r="B16" s="169"/>
      <c r="C16" s="94"/>
      <c r="D16" s="94"/>
      <c r="E16" s="94"/>
      <c r="F16" s="94"/>
      <c r="G16" s="94"/>
      <c r="H16" s="94"/>
      <c r="I16" s="94"/>
      <c r="J16" s="94"/>
      <c r="K16" s="827"/>
      <c r="M16" s="827"/>
      <c r="N16" s="827"/>
      <c r="O16" s="827"/>
    </row>
    <row r="17" spans="1:15" s="77" customFormat="1">
      <c r="A17" s="94"/>
      <c r="B17" s="169"/>
      <c r="C17" s="94"/>
      <c r="D17" s="94"/>
      <c r="E17" s="94"/>
      <c r="F17" s="94"/>
      <c r="G17" s="94"/>
      <c r="H17" s="94"/>
      <c r="I17" s="94"/>
      <c r="J17" s="94"/>
      <c r="K17" s="827"/>
      <c r="L17" s="827"/>
      <c r="M17" s="827"/>
      <c r="N17" s="827"/>
      <c r="O17" s="827"/>
    </row>
    <row r="18" spans="1:15" s="77" customFormat="1">
      <c r="A18" s="94"/>
      <c r="B18" s="169"/>
      <c r="C18" s="94"/>
      <c r="D18" s="94"/>
      <c r="E18" s="94"/>
      <c r="F18" s="94"/>
      <c r="G18" s="94"/>
      <c r="H18" s="94"/>
      <c r="I18" s="94"/>
      <c r="J18" s="94"/>
      <c r="K18" s="827"/>
      <c r="L18" s="827"/>
      <c r="M18" s="827"/>
      <c r="N18" s="827"/>
      <c r="O18" s="827"/>
    </row>
    <row r="19" spans="1:15" s="77" customFormat="1">
      <c r="A19" s="94"/>
      <c r="B19" s="169"/>
      <c r="C19" s="94"/>
      <c r="D19" s="94"/>
      <c r="E19" s="94"/>
      <c r="F19" s="94"/>
      <c r="G19" s="94"/>
      <c r="H19" s="94"/>
      <c r="I19" s="94"/>
      <c r="J19" s="94"/>
      <c r="K19" s="827"/>
      <c r="L19" s="827"/>
      <c r="M19" s="827"/>
      <c r="N19" s="827"/>
      <c r="O19" s="827"/>
    </row>
    <row r="20" spans="1:15" s="77" customFormat="1" ht="15.75">
      <c r="A20" s="155">
        <v>100000</v>
      </c>
      <c r="B20" s="169"/>
      <c r="C20" s="94"/>
      <c r="D20" s="94"/>
      <c r="E20" s="94"/>
      <c r="F20" s="94"/>
      <c r="G20" s="94"/>
      <c r="H20" s="94"/>
      <c r="I20" s="94"/>
      <c r="J20" s="94"/>
      <c r="K20" s="827"/>
      <c r="L20" s="827"/>
      <c r="M20" s="827"/>
      <c r="N20" s="827"/>
      <c r="O20" s="827"/>
    </row>
    <row r="21" spans="1:15" s="77" customFormat="1">
      <c r="A21" s="94"/>
      <c r="B21" s="169"/>
      <c r="C21" s="94"/>
      <c r="D21" s="94"/>
      <c r="E21" s="94"/>
      <c r="F21" s="94"/>
      <c r="G21" s="94"/>
      <c r="H21" s="94"/>
      <c r="I21" s="94"/>
      <c r="J21" s="94"/>
      <c r="K21" s="827"/>
      <c r="L21" s="827"/>
      <c r="M21" s="827"/>
      <c r="N21" s="827"/>
      <c r="O21" s="827"/>
    </row>
    <row r="22" spans="1:15" s="77" customFormat="1">
      <c r="A22" s="94"/>
      <c r="B22" s="169"/>
      <c r="C22" s="94"/>
      <c r="D22" s="94"/>
      <c r="E22" s="94"/>
      <c r="F22" s="94"/>
      <c r="G22" s="94"/>
      <c r="H22" s="94"/>
      <c r="I22" s="94"/>
      <c r="J22" s="94"/>
      <c r="K22" s="23"/>
      <c r="L22" s="827"/>
    </row>
    <row r="23" spans="1:15" s="77" customFormat="1">
      <c r="A23" s="94"/>
      <c r="B23" s="169"/>
      <c r="C23" s="94"/>
      <c r="D23" s="94"/>
      <c r="E23" s="94"/>
      <c r="F23" s="94"/>
      <c r="G23" s="94"/>
      <c r="H23" s="94"/>
      <c r="I23" s="94"/>
      <c r="J23" s="94"/>
      <c r="K23" s="23"/>
      <c r="L23" s="827"/>
    </row>
    <row r="24" spans="1:15" s="77" customFormat="1">
      <c r="A24" s="94"/>
      <c r="B24" s="169"/>
      <c r="C24" s="94"/>
      <c r="D24" s="94"/>
      <c r="E24" s="94"/>
      <c r="F24" s="94"/>
      <c r="G24" s="94"/>
      <c r="H24" s="94"/>
      <c r="I24" s="94"/>
      <c r="J24" s="94"/>
      <c r="K24" s="23"/>
      <c r="L24" s="23"/>
    </row>
    <row r="25" spans="1:15" s="77" customFormat="1">
      <c r="A25" s="94"/>
      <c r="B25" s="169"/>
      <c r="C25" s="94"/>
      <c r="D25" s="94"/>
      <c r="E25" s="94"/>
      <c r="F25" s="94"/>
      <c r="G25" s="94"/>
      <c r="H25" s="94"/>
      <c r="I25" s="94"/>
      <c r="J25" s="94"/>
      <c r="K25" s="23"/>
      <c r="L25" s="23"/>
    </row>
    <row r="26" spans="1:15" s="77" customFormat="1">
      <c r="A26" s="94"/>
      <c r="B26" s="169"/>
      <c r="C26" s="94"/>
      <c r="D26" s="94"/>
      <c r="E26" s="94"/>
      <c r="F26" s="94"/>
      <c r="G26" s="94"/>
      <c r="H26" s="94"/>
      <c r="I26" s="94"/>
      <c r="J26" s="94"/>
      <c r="K26" s="23"/>
      <c r="L26" s="23"/>
    </row>
    <row r="27" spans="1:15" s="77" customFormat="1">
      <c r="A27" s="94"/>
      <c r="B27" s="169"/>
      <c r="C27" s="94"/>
      <c r="D27" s="94"/>
      <c r="E27" s="94"/>
      <c r="F27" s="94"/>
      <c r="G27" s="94"/>
      <c r="H27" s="94"/>
      <c r="I27" s="94"/>
      <c r="J27" s="94"/>
      <c r="K27" s="23"/>
      <c r="L27" s="23"/>
    </row>
    <row r="28" spans="1:15" s="77" customFormat="1">
      <c r="A28" s="94"/>
      <c r="B28" s="169"/>
      <c r="C28" s="94"/>
      <c r="D28" s="94"/>
      <c r="E28" s="94"/>
      <c r="F28" s="94"/>
      <c r="G28" s="94"/>
      <c r="H28" s="94"/>
      <c r="I28" s="94"/>
      <c r="J28" s="94"/>
      <c r="K28" s="23"/>
      <c r="L28" s="23"/>
      <c r="M28" s="18"/>
    </row>
    <row r="29" spans="1:15" s="77" customFormat="1">
      <c r="A29" s="94"/>
      <c r="B29" s="169"/>
      <c r="C29" s="94"/>
      <c r="D29" s="94"/>
      <c r="E29" s="94"/>
      <c r="F29" s="94"/>
      <c r="G29" s="94"/>
      <c r="H29" s="94"/>
      <c r="I29" s="94"/>
      <c r="J29" s="94"/>
      <c r="K29" s="23"/>
      <c r="L29" s="23"/>
    </row>
    <row r="30" spans="1:15" s="77" customFormat="1">
      <c r="A30" s="94"/>
      <c r="B30" s="169"/>
      <c r="C30" s="94"/>
      <c r="D30" s="94"/>
      <c r="E30" s="94"/>
      <c r="F30" s="94"/>
      <c r="G30" s="94"/>
      <c r="H30" s="94"/>
      <c r="I30" s="94"/>
      <c r="J30" s="94"/>
      <c r="K30" s="23"/>
      <c r="L30" s="23"/>
    </row>
    <row r="31" spans="1:15" s="77" customFormat="1">
      <c r="A31" s="94"/>
      <c r="B31" s="169"/>
      <c r="C31" s="94"/>
      <c r="D31" s="94"/>
      <c r="E31" s="94"/>
      <c r="F31" s="94"/>
      <c r="G31" s="94"/>
      <c r="H31" s="94"/>
      <c r="I31" s="94"/>
      <c r="J31" s="94"/>
      <c r="K31" s="23"/>
      <c r="L31" s="23"/>
    </row>
    <row r="32" spans="1:15" s="77" customFormat="1">
      <c r="A32" s="94"/>
      <c r="B32" s="169"/>
      <c r="C32" s="94"/>
      <c r="D32" s="94"/>
      <c r="E32" s="94"/>
      <c r="F32" s="94"/>
      <c r="G32" s="94"/>
      <c r="H32" s="94"/>
      <c r="I32" s="94"/>
      <c r="J32" s="94"/>
      <c r="K32" s="23"/>
      <c r="L32" s="23"/>
    </row>
    <row r="33" spans="1:12" s="77" customFormat="1">
      <c r="A33" s="94"/>
      <c r="B33" s="169"/>
      <c r="C33" s="94"/>
      <c r="D33" s="94"/>
      <c r="E33" s="94"/>
      <c r="F33" s="94"/>
      <c r="G33" s="94"/>
      <c r="H33" s="94"/>
      <c r="I33" s="94"/>
      <c r="J33" s="94"/>
      <c r="K33" s="23"/>
      <c r="L33" s="23"/>
    </row>
    <row r="34" spans="1:12" s="77" customFormat="1">
      <c r="A34" s="94"/>
      <c r="B34" s="169"/>
      <c r="C34" s="94"/>
      <c r="D34" s="94"/>
      <c r="E34" s="94"/>
      <c r="F34" s="94"/>
      <c r="G34" s="94"/>
      <c r="H34" s="94"/>
      <c r="I34" s="94"/>
      <c r="J34" s="94"/>
      <c r="K34" s="23"/>
      <c r="L34" s="23"/>
    </row>
    <row r="35" spans="1:12" s="77" customFormat="1">
      <c r="A35" s="94"/>
      <c r="B35" s="169"/>
      <c r="C35" s="94"/>
      <c r="D35" s="94"/>
      <c r="E35" s="94"/>
      <c r="F35" s="94"/>
      <c r="G35" s="94"/>
      <c r="H35" s="94"/>
      <c r="I35" s="94"/>
      <c r="J35" s="94"/>
      <c r="K35" s="23"/>
      <c r="L35" s="23"/>
    </row>
    <row r="36" spans="1:12" s="77" customFormat="1">
      <c r="A36" s="94"/>
      <c r="B36" s="169"/>
      <c r="C36" s="94"/>
      <c r="D36" s="94"/>
      <c r="E36" s="94"/>
      <c r="F36" s="94"/>
      <c r="G36" s="94"/>
      <c r="H36" s="94"/>
      <c r="I36" s="94"/>
      <c r="J36" s="94"/>
    </row>
    <row r="37" spans="1:12" s="77" customFormat="1">
      <c r="A37" s="94"/>
      <c r="B37" s="169"/>
      <c r="C37" s="94"/>
      <c r="D37" s="94"/>
      <c r="E37" s="94"/>
      <c r="F37" s="94"/>
      <c r="G37" s="94"/>
      <c r="H37" s="94"/>
      <c r="I37" s="94"/>
      <c r="J37" s="94"/>
    </row>
    <row r="38" spans="1:12" s="77" customFormat="1">
      <c r="A38" s="94"/>
      <c r="B38" s="169"/>
      <c r="C38" s="94"/>
      <c r="D38" s="94"/>
      <c r="E38" s="94"/>
      <c r="F38" s="94"/>
      <c r="G38" s="94"/>
      <c r="H38" s="94"/>
      <c r="I38" s="94"/>
      <c r="J38" s="94"/>
    </row>
    <row r="39" spans="1:12" s="77" customFormat="1">
      <c r="A39" s="94"/>
      <c r="B39" s="169"/>
      <c r="C39" s="94"/>
      <c r="D39" s="94"/>
      <c r="E39" s="94"/>
      <c r="F39" s="94"/>
      <c r="G39" s="94"/>
      <c r="H39" s="94"/>
      <c r="I39" s="94"/>
      <c r="J39" s="94"/>
    </row>
    <row r="40" spans="1:12" s="77" customFormat="1">
      <c r="A40" s="94"/>
      <c r="B40" s="169"/>
      <c r="C40" s="94"/>
      <c r="D40" s="94"/>
      <c r="E40" s="94"/>
      <c r="F40" s="94"/>
      <c r="G40" s="94"/>
      <c r="H40" s="94"/>
      <c r="I40" s="94"/>
      <c r="J40" s="94"/>
    </row>
    <row r="41" spans="1:12" s="77" customFormat="1">
      <c r="A41" s="94"/>
      <c r="B41" s="169"/>
      <c r="C41" s="94"/>
      <c r="D41" s="94"/>
      <c r="E41" s="94"/>
      <c r="F41" s="94"/>
      <c r="G41" s="94"/>
      <c r="H41" s="94"/>
      <c r="I41" s="94"/>
      <c r="J41" s="94"/>
    </row>
    <row r="42" spans="1:12" s="77" customFormat="1">
      <c r="A42" s="94"/>
      <c r="B42" s="169"/>
      <c r="C42" s="94"/>
      <c r="D42" s="94"/>
      <c r="E42" s="94"/>
      <c r="F42" s="94"/>
      <c r="G42" s="94"/>
      <c r="H42" s="94"/>
      <c r="I42" s="94"/>
      <c r="J42" s="94"/>
    </row>
    <row r="43" spans="1:12" s="77" customFormat="1">
      <c r="A43" s="94"/>
      <c r="B43" s="169"/>
      <c r="C43" s="94"/>
      <c r="D43" s="94"/>
      <c r="E43" s="94"/>
      <c r="F43" s="94"/>
      <c r="G43" s="94"/>
      <c r="H43" s="94"/>
      <c r="I43" s="94"/>
      <c r="J43" s="94"/>
    </row>
    <row r="44" spans="1:12" s="77" customFormat="1">
      <c r="A44" s="94"/>
      <c r="B44" s="169"/>
      <c r="C44" s="94"/>
      <c r="D44" s="94"/>
      <c r="E44" s="94"/>
      <c r="F44" s="94"/>
      <c r="G44" s="94"/>
      <c r="H44" s="94"/>
      <c r="I44" s="94"/>
      <c r="J44" s="94"/>
    </row>
    <row r="45" spans="1:12" s="77" customFormat="1">
      <c r="A45" s="94"/>
      <c r="B45" s="169"/>
      <c r="C45" s="94"/>
      <c r="D45" s="94"/>
      <c r="E45" s="94"/>
      <c r="F45" s="94"/>
      <c r="G45" s="94"/>
      <c r="H45" s="94"/>
      <c r="I45" s="94"/>
      <c r="J45" s="94"/>
    </row>
    <row r="46" spans="1:12" s="77" customFormat="1">
      <c r="B46" s="45"/>
    </row>
    <row r="47" spans="1:12" s="77" customFormat="1">
      <c r="B47" s="45"/>
    </row>
    <row r="48" spans="1:12" s="77" customFormat="1">
      <c r="B48" s="45"/>
    </row>
    <row r="49" spans="2:2" s="77" customFormat="1">
      <c r="B49" s="45"/>
    </row>
    <row r="50" spans="2:2" s="77" customFormat="1">
      <c r="B50" s="45"/>
    </row>
  </sheetData>
  <mergeCells count="2">
    <mergeCell ref="A1:J1"/>
    <mergeCell ref="A2:J2"/>
  </mergeCells>
  <printOptions horizontalCentered="1"/>
  <pageMargins left="0.39370078740157483" right="0.39370078740157483" top="0.23622047244094491" bottom="0.23622047244094491" header="0.31496062992125984" footer="0.31496062992125984"/>
  <pageSetup scale="58" orientation="landscape" r:id="rId1"/>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4">
    <tabColor rgb="FF002060"/>
    <pageSetUpPr fitToPage="1"/>
  </sheetPr>
  <dimension ref="A1"/>
  <sheetViews>
    <sheetView showGridLines="0" view="pageBreakPreview" zoomScaleNormal="100" zoomScaleSheetLayoutView="100" workbookViewId="0">
      <selection activeCell="P25" sqref="P25"/>
    </sheetView>
  </sheetViews>
  <sheetFormatPr baseColWidth="10" defaultColWidth="11.42578125" defaultRowHeight="15"/>
  <cols>
    <col min="1" max="6" width="11.42578125" style="77"/>
    <col min="7" max="7" width="8.85546875" style="77" customWidth="1"/>
    <col min="8" max="8" width="11.42578125" style="77"/>
    <col min="9" max="9" width="7.85546875" style="77" customWidth="1"/>
    <col min="10" max="10" width="7" style="77" customWidth="1"/>
    <col min="11" max="11" width="5.85546875" style="77" customWidth="1"/>
    <col min="12" max="16384" width="11.42578125" style="77"/>
  </cols>
  <sheetData/>
  <pageMargins left="0.7" right="0.7" top="0.75" bottom="0.75" header="0.3" footer="0.3"/>
  <pageSetup orientation="landscape" r:id="rId1"/>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5">
    <tabColor rgb="FF002060"/>
    <pageSetUpPr fitToPage="1"/>
  </sheetPr>
  <dimension ref="A6"/>
  <sheetViews>
    <sheetView showGridLines="0" view="pageBreakPreview" zoomScale="70" zoomScaleNormal="100" zoomScaleSheetLayoutView="70" workbookViewId="0">
      <selection activeCell="P24" sqref="P24"/>
    </sheetView>
  </sheetViews>
  <sheetFormatPr baseColWidth="10" defaultColWidth="11.42578125" defaultRowHeight="15"/>
  <cols>
    <col min="1" max="6" width="11.42578125" style="77"/>
    <col min="7" max="7" width="13.42578125" style="77" customWidth="1"/>
    <col min="8" max="10" width="11.42578125" style="77"/>
    <col min="11" max="11" width="15.5703125" style="77" customWidth="1"/>
    <col min="12" max="12" width="13.140625" style="77" customWidth="1"/>
    <col min="13" max="13" width="13" style="77" customWidth="1"/>
    <col min="14" max="16384" width="11.42578125" style="77"/>
  </cols>
  <sheetData>
    <row r="6" ht="20.25" customHeight="1"/>
  </sheetData>
  <pageMargins left="0.70866141732283472" right="0.70866141732283472" top="0.74803149606299213" bottom="0.74803149606299213" header="0.31496062992125984" footer="0.31496062992125984"/>
  <pageSetup scale="65" orientation="landscape" r:id="rId1"/>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6">
    <tabColor rgb="FF002060"/>
  </sheetPr>
  <dimension ref="A1"/>
  <sheetViews>
    <sheetView showGridLines="0" view="pageBreakPreview" zoomScale="85" zoomScaleNormal="100" zoomScaleSheetLayoutView="85" workbookViewId="0">
      <selection activeCell="P18" sqref="P18"/>
    </sheetView>
  </sheetViews>
  <sheetFormatPr baseColWidth="10" defaultColWidth="11.42578125" defaultRowHeight="15"/>
  <cols>
    <col min="1" max="6" width="11.42578125" style="77"/>
    <col min="7" max="7" width="13.42578125" style="77" customWidth="1"/>
    <col min="8" max="10" width="11.42578125" style="77"/>
    <col min="11" max="11" width="15.5703125" style="77" customWidth="1"/>
    <col min="12" max="12" width="13.140625" style="77" customWidth="1"/>
    <col min="13" max="13" width="13" style="77" customWidth="1"/>
    <col min="14" max="16384" width="11.42578125" style="77"/>
  </cols>
  <sheetData/>
  <pageMargins left="0.70866141732283472" right="0.70866141732283472" top="0.74803149606299213" bottom="0.74803149606299213" header="0.31496062992125984" footer="0.31496062992125984"/>
  <pageSetup scale="65" orientation="landscape"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8">
    <tabColor rgb="FF002060"/>
    <pageSetUpPr fitToPage="1"/>
  </sheetPr>
  <dimension ref="D5:O48"/>
  <sheetViews>
    <sheetView showGridLines="0" view="pageBreakPreview" zoomScale="85" zoomScaleNormal="100" zoomScaleSheetLayoutView="85" workbookViewId="0"/>
  </sheetViews>
  <sheetFormatPr baseColWidth="10" defaultColWidth="11.42578125" defaultRowHeight="15"/>
  <cols>
    <col min="1" max="5" width="11.42578125" style="77"/>
    <col min="6" max="6" width="18.85546875" style="77" customWidth="1"/>
    <col min="7" max="7" width="10.7109375" style="77" customWidth="1"/>
    <col min="8" max="8" width="15" style="77" customWidth="1"/>
    <col min="9" max="9" width="14.140625" style="77" customWidth="1"/>
    <col min="10" max="10" width="10.42578125" style="77" customWidth="1"/>
    <col min="11" max="12" width="13.140625" style="77" customWidth="1"/>
    <col min="13" max="13" width="20.5703125" style="77" customWidth="1"/>
    <col min="14" max="16384" width="11.42578125" style="77"/>
  </cols>
  <sheetData>
    <row r="5" ht="9" customHeight="1"/>
    <row r="28" spans="13:15">
      <c r="O28" s="156"/>
    </row>
    <row r="29" spans="13:15">
      <c r="M29" s="277"/>
    </row>
    <row r="32" spans="13:15">
      <c r="O32" s="277"/>
    </row>
    <row r="34" spans="4:15" ht="21" customHeight="1"/>
    <row r="38" spans="4:15">
      <c r="O38" s="277"/>
    </row>
    <row r="39" spans="4:15">
      <c r="O39" s="277"/>
    </row>
    <row r="40" spans="4:15">
      <c r="D40" s="277"/>
    </row>
    <row r="41" spans="4:15">
      <c r="J41" s="277"/>
    </row>
    <row r="48" spans="4:15" ht="15.75">
      <c r="F48" s="497"/>
    </row>
  </sheetData>
  <pageMargins left="0.70866141732283472" right="0.70866141732283472" top="0.74803149606299213" bottom="0.74803149606299213" header="0.31496062992125984" footer="0.31496062992125984"/>
  <pageSetup scale="80" fitToHeight="0"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tabColor theme="9" tint="-0.499984740745262"/>
  </sheetPr>
  <dimension ref="A1"/>
  <sheetViews>
    <sheetView showGridLines="0" view="pageBreakPreview" zoomScale="70" zoomScaleNormal="100" zoomScaleSheetLayoutView="70" workbookViewId="0">
      <selection activeCell="P28" sqref="P28"/>
    </sheetView>
  </sheetViews>
  <sheetFormatPr baseColWidth="10" defaultColWidth="11.42578125" defaultRowHeight="15"/>
  <cols>
    <col min="1" max="6" width="11.42578125" style="77"/>
    <col min="7" max="7" width="13.42578125" style="77" customWidth="1"/>
    <col min="8" max="16384" width="11.42578125" style="77"/>
  </cols>
  <sheetData/>
  <pageMargins left="0.7" right="0.7" top="0.75" bottom="0.75" header="0.3" footer="0.3"/>
  <pageSetup scale="77" orientation="landscape"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0">
    <tabColor theme="3" tint="0.59999389629810485"/>
    <pageSetUpPr fitToPage="1"/>
  </sheetPr>
  <dimension ref="A1:T20"/>
  <sheetViews>
    <sheetView showGridLines="0" view="pageBreakPreview" zoomScale="70" zoomScaleNormal="85" zoomScaleSheetLayoutView="70" workbookViewId="0">
      <pane xSplit="1" ySplit="4" topLeftCell="B5" activePane="bottomRight" state="frozen"/>
      <selection pane="topRight" activeCell="B1" sqref="B1"/>
      <selection pane="bottomLeft" activeCell="A5" sqref="A5"/>
      <selection pane="bottomRight" activeCell="O5" sqref="O5:T22"/>
    </sheetView>
  </sheetViews>
  <sheetFormatPr baseColWidth="10" defaultColWidth="11.42578125" defaultRowHeight="15"/>
  <cols>
    <col min="1" max="1" width="15" style="77" customWidth="1"/>
    <col min="2" max="2" width="22.42578125" style="1965" customWidth="1"/>
    <col min="3" max="3" width="21.85546875" style="1965" customWidth="1"/>
    <col min="4" max="4" width="21.42578125" style="1965" customWidth="1"/>
    <col min="5" max="5" width="27.85546875" style="1965" customWidth="1"/>
    <col min="6" max="6" width="24.5703125" style="1965" customWidth="1"/>
    <col min="7" max="7" width="24.42578125" style="1965" customWidth="1"/>
    <col min="8" max="8" width="26.28515625" style="1965" customWidth="1"/>
    <col min="9" max="9" width="24.42578125" style="1965" customWidth="1"/>
    <col min="10" max="10" width="22" style="1965" customWidth="1"/>
    <col min="11" max="11" width="22.5703125" style="1965" customWidth="1"/>
    <col min="12" max="12" width="24.140625" style="77" customWidth="1"/>
    <col min="13" max="13" width="24.85546875" style="77" customWidth="1"/>
    <col min="14" max="14" width="24" style="77" customWidth="1"/>
    <col min="15" max="15" width="11.42578125" style="77" customWidth="1"/>
    <col min="16" max="16" width="21.28515625" style="77" customWidth="1"/>
    <col min="17" max="17" width="21" style="77" customWidth="1"/>
    <col min="18" max="19" width="11.42578125" style="77"/>
    <col min="20" max="20" width="39.42578125" style="77" customWidth="1"/>
    <col min="21" max="16384" width="11.42578125" style="77"/>
  </cols>
  <sheetData>
    <row r="1" spans="1:20" ht="90" customHeight="1">
      <c r="A1" s="2026"/>
      <c r="B1" s="2026"/>
      <c r="C1" s="2026"/>
      <c r="D1" s="2026"/>
      <c r="E1" s="2026"/>
      <c r="F1" s="2026"/>
      <c r="G1" s="2026"/>
      <c r="H1" s="2026"/>
      <c r="I1" s="2026"/>
      <c r="J1" s="2026"/>
      <c r="K1" s="2026"/>
      <c r="L1" s="2026"/>
      <c r="M1" s="2026"/>
      <c r="N1" s="2026"/>
      <c r="O1" s="2026"/>
      <c r="P1" s="185"/>
      <c r="Q1" s="94"/>
    </row>
    <row r="2" spans="1:20" ht="9" customHeight="1">
      <c r="A2" s="2114" t="s">
        <v>624</v>
      </c>
      <c r="B2" s="2114"/>
      <c r="C2" s="2114"/>
      <c r="D2" s="2114"/>
      <c r="E2" s="2114"/>
      <c r="F2" s="2114"/>
      <c r="G2" s="2114"/>
      <c r="H2" s="2114"/>
      <c r="I2" s="2114"/>
      <c r="J2" s="2114"/>
      <c r="K2" s="2114"/>
      <c r="L2" s="2114"/>
      <c r="M2" s="2114"/>
      <c r="N2" s="2114"/>
      <c r="O2" s="2114"/>
    </row>
    <row r="3" spans="1:20" s="1484" customFormat="1" ht="24.75" customHeight="1">
      <c r="A3" s="2115" t="s">
        <v>0</v>
      </c>
      <c r="B3" s="2117" t="s">
        <v>445</v>
      </c>
      <c r="C3" s="2117"/>
      <c r="D3" s="2117"/>
      <c r="E3" s="2117"/>
      <c r="F3" s="2117"/>
      <c r="G3" s="2117"/>
      <c r="H3" s="2118" t="s">
        <v>446</v>
      </c>
      <c r="I3" s="2119"/>
      <c r="J3" s="2119"/>
      <c r="K3" s="2120"/>
    </row>
    <row r="4" spans="1:20" s="1484" customFormat="1" ht="65.25" customHeight="1">
      <c r="A4" s="2116"/>
      <c r="B4" s="499" t="s">
        <v>755</v>
      </c>
      <c r="C4" s="317" t="s">
        <v>754</v>
      </c>
      <c r="D4" s="317" t="s">
        <v>1025</v>
      </c>
      <c r="E4" s="317" t="s">
        <v>684</v>
      </c>
      <c r="F4" s="317" t="s">
        <v>680</v>
      </c>
      <c r="G4" s="505" t="s">
        <v>447</v>
      </c>
      <c r="H4" s="499" t="s">
        <v>677</v>
      </c>
      <c r="I4" s="317" t="s">
        <v>678</v>
      </c>
      <c r="J4" s="317" t="s">
        <v>679</v>
      </c>
      <c r="K4" s="505" t="s">
        <v>448</v>
      </c>
      <c r="L4" s="499" t="s">
        <v>709</v>
      </c>
      <c r="M4" s="317" t="s">
        <v>461</v>
      </c>
      <c r="N4" s="318" t="s">
        <v>710</v>
      </c>
      <c r="O4" s="1988"/>
    </row>
    <row r="5" spans="1:20" s="1484" customFormat="1" ht="15.75">
      <c r="A5" s="498">
        <v>2003</v>
      </c>
      <c r="B5" s="1977">
        <v>1839323722.0100002</v>
      </c>
      <c r="C5" s="1977">
        <v>50000000</v>
      </c>
      <c r="D5" s="1977">
        <v>0</v>
      </c>
      <c r="E5" s="1977">
        <v>0</v>
      </c>
      <c r="F5" s="1977">
        <v>0</v>
      </c>
      <c r="G5" s="1978">
        <f>+C5+B5+D5+E5+F5</f>
        <v>1889323722.0100002</v>
      </c>
      <c r="H5" s="1977">
        <v>1813713639.8399999</v>
      </c>
      <c r="I5" s="1977">
        <v>50652652.469999999</v>
      </c>
      <c r="J5" s="1977">
        <v>0</v>
      </c>
      <c r="K5" s="1979">
        <f>+I5+H5+J5</f>
        <v>1864366292.3099999</v>
      </c>
      <c r="L5" s="1985">
        <f t="shared" ref="L5:L17" si="0">+B5-H5</f>
        <v>25610082.170000315</v>
      </c>
      <c r="M5" s="1986">
        <f t="shared" ref="M5:M17" si="1">+G5-K5</f>
        <v>24957429.700000286</v>
      </c>
      <c r="N5" s="1987">
        <f t="shared" ref="N5:N17" si="2">C5-I5</f>
        <v>-652652.46999999881</v>
      </c>
      <c r="O5" s="1988"/>
    </row>
    <row r="6" spans="1:20" s="1484" customFormat="1" ht="15.75">
      <c r="A6" s="498">
        <v>2004</v>
      </c>
      <c r="B6" s="1977">
        <v>7420447711.6900005</v>
      </c>
      <c r="C6" s="1977">
        <v>100013332.31999999</v>
      </c>
      <c r="D6" s="1977">
        <v>0</v>
      </c>
      <c r="E6" s="1977">
        <v>0</v>
      </c>
      <c r="F6" s="1977">
        <v>0</v>
      </c>
      <c r="G6" s="1978">
        <f>+C6+B6+D6+E6+F6</f>
        <v>7520461044.0100002</v>
      </c>
      <c r="H6" s="1977">
        <v>7307971772.0699987</v>
      </c>
      <c r="I6" s="1977">
        <v>103813912.38</v>
      </c>
      <c r="J6" s="1977">
        <v>0</v>
      </c>
      <c r="K6" s="1979">
        <f>+I6+H6+J6</f>
        <v>7411785684.4499989</v>
      </c>
      <c r="L6" s="1985">
        <f t="shared" si="0"/>
        <v>112475939.62000179</v>
      </c>
      <c r="M6" s="1986">
        <f t="shared" si="1"/>
        <v>108675359.56000137</v>
      </c>
      <c r="N6" s="1987">
        <f t="shared" si="2"/>
        <v>-3800580.0600000024</v>
      </c>
      <c r="O6" s="1988"/>
    </row>
    <row r="7" spans="1:20" s="1484" customFormat="1" ht="15.75">
      <c r="A7" s="498">
        <v>2005</v>
      </c>
      <c r="B7" s="1977">
        <v>9658178373.5399971</v>
      </c>
      <c r="C7" s="1977">
        <v>604604920.63</v>
      </c>
      <c r="D7" s="1977">
        <v>0</v>
      </c>
      <c r="E7" s="1977">
        <v>0</v>
      </c>
      <c r="F7" s="1977">
        <v>0</v>
      </c>
      <c r="G7" s="1978">
        <f t="shared" ref="G7:G17" si="3">+C7+B7+D7+E7+F7</f>
        <v>10262783294.169996</v>
      </c>
      <c r="H7" s="1977">
        <v>9649957865.664959</v>
      </c>
      <c r="I7" s="1977">
        <v>203608914.68000001</v>
      </c>
      <c r="J7" s="1977">
        <v>0</v>
      </c>
      <c r="K7" s="1979">
        <f t="shared" ref="K7:K17" si="4">+I7+H7+J7</f>
        <v>9853566780.3449593</v>
      </c>
      <c r="L7" s="1985">
        <f t="shared" si="0"/>
        <v>8220507.875038147</v>
      </c>
      <c r="M7" s="1986">
        <f t="shared" si="1"/>
        <v>409216513.825037</v>
      </c>
      <c r="N7" s="1987">
        <f t="shared" si="2"/>
        <v>400996005.94999999</v>
      </c>
      <c r="O7" s="1988"/>
    </row>
    <row r="8" spans="1:20" s="1484" customFormat="1" ht="15.75">
      <c r="A8" s="498">
        <v>2006</v>
      </c>
      <c r="B8" s="1977">
        <v>11072100417.48</v>
      </c>
      <c r="C8" s="1977">
        <v>724509996.65999997</v>
      </c>
      <c r="D8" s="1977">
        <v>0</v>
      </c>
      <c r="E8" s="1977">
        <v>0</v>
      </c>
      <c r="F8" s="1977">
        <v>0</v>
      </c>
      <c r="G8" s="1978">
        <f t="shared" si="3"/>
        <v>11796610414.139999</v>
      </c>
      <c r="H8" s="1977">
        <v>10992104977.92</v>
      </c>
      <c r="I8" s="1977">
        <v>816768960.5</v>
      </c>
      <c r="J8" s="1977">
        <v>0</v>
      </c>
      <c r="K8" s="1979">
        <f t="shared" si="4"/>
        <v>11808873938.42</v>
      </c>
      <c r="L8" s="1985">
        <f t="shared" si="0"/>
        <v>79995439.559999466</v>
      </c>
      <c r="M8" s="1986">
        <f t="shared" si="1"/>
        <v>-12263524.280000687</v>
      </c>
      <c r="N8" s="1987">
        <f t="shared" si="2"/>
        <v>-92258963.840000033</v>
      </c>
      <c r="O8" s="1988"/>
    </row>
    <row r="9" spans="1:20" s="1484" customFormat="1" ht="15.75">
      <c r="A9" s="498">
        <v>2007</v>
      </c>
      <c r="B9" s="1977">
        <v>21196634534.599998</v>
      </c>
      <c r="C9" s="1977">
        <v>1566425499.9599998</v>
      </c>
      <c r="D9" s="1977">
        <v>6163525.5899999999</v>
      </c>
      <c r="E9" s="1977">
        <v>125000000</v>
      </c>
      <c r="F9" s="1977">
        <v>0</v>
      </c>
      <c r="G9" s="1978">
        <f t="shared" si="3"/>
        <v>22894223560.149998</v>
      </c>
      <c r="H9" s="1977">
        <v>19449421024.499001</v>
      </c>
      <c r="I9" s="1977">
        <v>1578880050.26</v>
      </c>
      <c r="J9" s="1977">
        <v>0</v>
      </c>
      <c r="K9" s="1979">
        <f t="shared" si="4"/>
        <v>21028301074.758999</v>
      </c>
      <c r="L9" s="1985">
        <f t="shared" si="0"/>
        <v>1747213510.1009979</v>
      </c>
      <c r="M9" s="1986">
        <f t="shared" si="1"/>
        <v>1865922485.3909988</v>
      </c>
      <c r="N9" s="1987">
        <f t="shared" si="2"/>
        <v>-12454550.300000191</v>
      </c>
      <c r="O9" s="1988"/>
    </row>
    <row r="10" spans="1:20" s="1484" customFormat="1" ht="15.75">
      <c r="A10" s="498">
        <v>2008</v>
      </c>
      <c r="B10" s="1977">
        <v>33078165051.270004</v>
      </c>
      <c r="C10" s="1977">
        <v>2203369531</v>
      </c>
      <c r="D10" s="1977">
        <v>173508720.10999998</v>
      </c>
      <c r="E10" s="1977">
        <v>256250000</v>
      </c>
      <c r="F10" s="1977">
        <v>0</v>
      </c>
      <c r="G10" s="1978">
        <f t="shared" si="3"/>
        <v>35711293302.380005</v>
      </c>
      <c r="H10" s="1977">
        <v>30384608580.630005</v>
      </c>
      <c r="I10" s="1977">
        <v>2556770326.0999999</v>
      </c>
      <c r="J10" s="1977">
        <v>0</v>
      </c>
      <c r="K10" s="1979">
        <f t="shared" si="4"/>
        <v>32941378906.730003</v>
      </c>
      <c r="L10" s="1985">
        <f t="shared" si="0"/>
        <v>2693556470.6399994</v>
      </c>
      <c r="M10" s="1986">
        <f t="shared" si="1"/>
        <v>2769914395.6500015</v>
      </c>
      <c r="N10" s="1987">
        <f t="shared" si="2"/>
        <v>-353400795.0999999</v>
      </c>
      <c r="O10" s="1988"/>
    </row>
    <row r="11" spans="1:20" s="1484" customFormat="1" ht="15.75">
      <c r="A11" s="498">
        <v>2009</v>
      </c>
      <c r="B11" s="1977">
        <v>37872770644.519997</v>
      </c>
      <c r="C11" s="1977">
        <v>3190675855.0100002</v>
      </c>
      <c r="D11" s="1977">
        <v>756417677.61999989</v>
      </c>
      <c r="E11" s="1977">
        <v>18750000</v>
      </c>
      <c r="F11" s="1977">
        <v>178872817.62</v>
      </c>
      <c r="G11" s="1978">
        <f t="shared" si="3"/>
        <v>42017486994.770004</v>
      </c>
      <c r="H11" s="1977">
        <v>36497964610.739998</v>
      </c>
      <c r="I11" s="1977">
        <v>2723337644.3600001</v>
      </c>
      <c r="J11" s="1977">
        <v>0</v>
      </c>
      <c r="K11" s="1979">
        <f t="shared" si="4"/>
        <v>39221302255.099998</v>
      </c>
      <c r="L11" s="1985">
        <f t="shared" si="0"/>
        <v>1374806033.7799988</v>
      </c>
      <c r="M11" s="1986">
        <f t="shared" si="1"/>
        <v>2796184739.6700058</v>
      </c>
      <c r="N11" s="1987">
        <f t="shared" si="2"/>
        <v>467338210.6500001</v>
      </c>
      <c r="O11" s="1989"/>
      <c r="P11" s="1989"/>
      <c r="Q11" s="1989"/>
      <c r="R11" s="1989"/>
      <c r="S11" s="1989"/>
      <c r="T11" s="1990"/>
    </row>
    <row r="12" spans="1:20" s="1484" customFormat="1" ht="15.75">
      <c r="A12" s="498">
        <v>2010</v>
      </c>
      <c r="B12" s="1977">
        <v>43605006094</v>
      </c>
      <c r="C12" s="1977">
        <v>3736675849.46</v>
      </c>
      <c r="D12" s="1977">
        <v>592502085.87</v>
      </c>
      <c r="E12" s="1977">
        <v>0</v>
      </c>
      <c r="F12" s="1977">
        <v>95767340.060000002</v>
      </c>
      <c r="G12" s="1978">
        <f t="shared" si="3"/>
        <v>48029951369.389999</v>
      </c>
      <c r="H12" s="1977">
        <v>47159091999.259995</v>
      </c>
      <c r="I12" s="1977">
        <v>3444380482.9799995</v>
      </c>
      <c r="J12" s="1977">
        <v>115952658.19999999</v>
      </c>
      <c r="K12" s="1979">
        <f t="shared" si="4"/>
        <v>50719425140.439987</v>
      </c>
      <c r="L12" s="1985">
        <f t="shared" si="0"/>
        <v>-3554085905.2599945</v>
      </c>
      <c r="M12" s="1986">
        <f t="shared" si="1"/>
        <v>-2689473771.0499878</v>
      </c>
      <c r="N12" s="1987">
        <f t="shared" si="2"/>
        <v>292295366.4800005</v>
      </c>
      <c r="O12" s="1965"/>
      <c r="P12" s="1965"/>
      <c r="Q12" s="1965"/>
      <c r="R12" s="1965"/>
      <c r="S12" s="1965"/>
      <c r="T12" s="1991"/>
    </row>
    <row r="13" spans="1:20" s="1484" customFormat="1" ht="15.75">
      <c r="A13" s="498">
        <v>2011</v>
      </c>
      <c r="B13" s="1977">
        <v>49415884815.839996</v>
      </c>
      <c r="C13" s="1977">
        <v>4134675852</v>
      </c>
      <c r="D13" s="1977">
        <v>678652741.80999982</v>
      </c>
      <c r="E13" s="1977">
        <v>0</v>
      </c>
      <c r="F13" s="1977">
        <v>320281085.42000002</v>
      </c>
      <c r="G13" s="1978">
        <f t="shared" si="3"/>
        <v>54549494495.069992</v>
      </c>
      <c r="H13" s="1977">
        <v>49687029143.730011</v>
      </c>
      <c r="I13" s="1977">
        <v>4363872025.2399998</v>
      </c>
      <c r="J13" s="1977">
        <v>291946073.39999998</v>
      </c>
      <c r="K13" s="1979">
        <f t="shared" si="4"/>
        <v>54342847242.37001</v>
      </c>
      <c r="L13" s="1985">
        <f t="shared" si="0"/>
        <v>-271144327.89001465</v>
      </c>
      <c r="M13" s="1986">
        <f t="shared" si="1"/>
        <v>206647252.69998169</v>
      </c>
      <c r="N13" s="1987">
        <f t="shared" si="2"/>
        <v>-229196173.23999977</v>
      </c>
      <c r="O13" s="1992"/>
    </row>
    <row r="14" spans="1:20" s="1484" customFormat="1" ht="15.75">
      <c r="A14" s="498">
        <v>2012</v>
      </c>
      <c r="B14" s="1977">
        <v>55065532307.990005</v>
      </c>
      <c r="C14" s="1977">
        <v>4599999999.96</v>
      </c>
      <c r="D14" s="1977">
        <v>728182337.74000013</v>
      </c>
      <c r="E14" s="1977">
        <v>0</v>
      </c>
      <c r="F14" s="1977">
        <v>349151178.95999998</v>
      </c>
      <c r="G14" s="1978">
        <f t="shared" si="3"/>
        <v>60742865824.650002</v>
      </c>
      <c r="H14" s="1977">
        <v>56015800379.699997</v>
      </c>
      <c r="I14" s="1977">
        <v>4742082647.7799997</v>
      </c>
      <c r="J14" s="1977">
        <v>331635794.92000002</v>
      </c>
      <c r="K14" s="1979">
        <f t="shared" si="4"/>
        <v>61089518822.399994</v>
      </c>
      <c r="L14" s="1985">
        <f t="shared" si="0"/>
        <v>-950268071.70999146</v>
      </c>
      <c r="M14" s="1986">
        <f t="shared" si="1"/>
        <v>-346652997.74999237</v>
      </c>
      <c r="N14" s="1987">
        <f t="shared" si="2"/>
        <v>-142082647.81999969</v>
      </c>
      <c r="O14" s="1992"/>
    </row>
    <row r="15" spans="1:20" s="1484" customFormat="1" ht="15.75">
      <c r="A15" s="498">
        <v>2013</v>
      </c>
      <c r="B15" s="1977">
        <v>61483003598.400002</v>
      </c>
      <c r="C15" s="1977">
        <v>5302610000</v>
      </c>
      <c r="D15" s="1977">
        <v>546685227.30000007</v>
      </c>
      <c r="E15" s="1977">
        <v>0</v>
      </c>
      <c r="F15" s="1977">
        <v>362641633.79000002</v>
      </c>
      <c r="G15" s="1978">
        <f t="shared" si="3"/>
        <v>67694940459.490005</v>
      </c>
      <c r="H15" s="1977">
        <v>62148659498.759995</v>
      </c>
      <c r="I15" s="1977">
        <v>5215203784.9399996</v>
      </c>
      <c r="J15" s="1977">
        <v>333800248.55999994</v>
      </c>
      <c r="K15" s="1979">
        <f t="shared" si="4"/>
        <v>67697663532.259995</v>
      </c>
      <c r="L15" s="1985">
        <f t="shared" si="0"/>
        <v>-665655900.35999298</v>
      </c>
      <c r="M15" s="1986">
        <f t="shared" si="1"/>
        <v>-2723072.7699890137</v>
      </c>
      <c r="N15" s="1987">
        <f t="shared" si="2"/>
        <v>87406215.06000042</v>
      </c>
      <c r="O15" s="1992"/>
    </row>
    <row r="16" spans="1:20" s="1484" customFormat="1" ht="15.75">
      <c r="A16" s="498">
        <v>2014</v>
      </c>
      <c r="B16" s="1977">
        <v>69920892914.539993</v>
      </c>
      <c r="C16" s="1977">
        <v>6839999499</v>
      </c>
      <c r="D16" s="1977">
        <v>518319800.63000005</v>
      </c>
      <c r="E16" s="1977">
        <v>0</v>
      </c>
      <c r="F16" s="1977">
        <v>355808488.19</v>
      </c>
      <c r="G16" s="1978">
        <f t="shared" si="3"/>
        <v>77635020702.360001</v>
      </c>
      <c r="H16" s="1977">
        <v>70212118559.800003</v>
      </c>
      <c r="I16" s="1977">
        <v>7378610518.96</v>
      </c>
      <c r="J16" s="1977">
        <v>329249337.19999999</v>
      </c>
      <c r="K16" s="1979">
        <f t="shared" si="4"/>
        <v>77919978415.960007</v>
      </c>
      <c r="L16" s="1985">
        <f t="shared" si="0"/>
        <v>-291225645.26000977</v>
      </c>
      <c r="M16" s="1986">
        <f t="shared" si="1"/>
        <v>-284957713.6000061</v>
      </c>
      <c r="N16" s="1987">
        <f t="shared" si="2"/>
        <v>-538611019.96000004</v>
      </c>
      <c r="O16" s="1992"/>
    </row>
    <row r="17" spans="1:19" s="1349" customFormat="1" ht="15.75">
      <c r="A17" s="498" t="s">
        <v>1006</v>
      </c>
      <c r="B17" s="1977">
        <v>71576137041.759995</v>
      </c>
      <c r="C17" s="1977">
        <v>6293464792.25</v>
      </c>
      <c r="D17" s="1977">
        <v>510618021.72999996</v>
      </c>
      <c r="E17" s="1977">
        <v>0</v>
      </c>
      <c r="F17" s="1977">
        <v>325719703.07999992</v>
      </c>
      <c r="G17" s="1978">
        <f t="shared" si="3"/>
        <v>78705939558.819992</v>
      </c>
      <c r="H17" s="1977">
        <v>71338501125.209991</v>
      </c>
      <c r="I17" s="1977">
        <v>6254114959.9200001</v>
      </c>
      <c r="J17" s="1977">
        <v>307729442.79999995</v>
      </c>
      <c r="K17" s="1979">
        <f t="shared" si="4"/>
        <v>77900345527.929993</v>
      </c>
      <c r="L17" s="1985">
        <f t="shared" si="0"/>
        <v>237635916.55000305</v>
      </c>
      <c r="M17" s="1986">
        <f t="shared" si="1"/>
        <v>805594030.88999939</v>
      </c>
      <c r="N17" s="1987">
        <f t="shared" si="2"/>
        <v>39349832.329999924</v>
      </c>
      <c r="O17" s="1993"/>
      <c r="P17" s="1993"/>
      <c r="Q17" s="1993"/>
      <c r="R17" s="1993"/>
      <c r="S17" s="1993"/>
    </row>
    <row r="18" spans="1:19" s="1999" customFormat="1" ht="18.75" customHeight="1">
      <c r="A18" s="1975" t="s">
        <v>140</v>
      </c>
      <c r="B18" s="1980">
        <f>SUM(B5:B17)</f>
        <v>473204077227.64001</v>
      </c>
      <c r="C18" s="1980">
        <f>SUM(C5:C17)</f>
        <v>39347025128.25</v>
      </c>
      <c r="D18" s="1980">
        <f t="shared" ref="D18:M18" si="5">SUM(D5:D17)</f>
        <v>4511050138.4000006</v>
      </c>
      <c r="E18" s="1980">
        <f t="shared" si="5"/>
        <v>400000000</v>
      </c>
      <c r="F18" s="1980">
        <f t="shared" si="5"/>
        <v>1988242247.1199999</v>
      </c>
      <c r="G18" s="1981">
        <f>SUM(G5:G17)</f>
        <v>519450394741.41003</v>
      </c>
      <c r="H18" s="1982">
        <f t="shared" si="5"/>
        <v>472656943177.82397</v>
      </c>
      <c r="I18" s="1980">
        <f t="shared" si="5"/>
        <v>39432096880.57</v>
      </c>
      <c r="J18" s="1980">
        <f t="shared" si="5"/>
        <v>1710313555.0799999</v>
      </c>
      <c r="K18" s="1981">
        <f>SUM(K5:K17)</f>
        <v>513799353613.474</v>
      </c>
      <c r="L18" s="1980">
        <f t="shared" si="5"/>
        <v>547134049.81603527</v>
      </c>
      <c r="M18" s="1980">
        <f t="shared" si="5"/>
        <v>5651041127.9360504</v>
      </c>
      <c r="N18" s="1980">
        <f>SUM(N5:N17)</f>
        <v>-85071752.319998741</v>
      </c>
      <c r="O18" s="1998"/>
      <c r="P18" s="1998"/>
      <c r="Q18" s="1998"/>
      <c r="R18" s="1998"/>
      <c r="S18" s="1998"/>
    </row>
    <row r="19" spans="1:19" ht="15.75">
      <c r="A19" s="2113" t="s">
        <v>1026</v>
      </c>
      <c r="B19" s="2113"/>
      <c r="C19" s="2113"/>
      <c r="D19" s="2113"/>
      <c r="E19" s="2113"/>
      <c r="F19" s="1983"/>
      <c r="G19" s="1983"/>
      <c r="H19" s="1983"/>
      <c r="I19" s="1983"/>
      <c r="J19" s="1983"/>
      <c r="K19" s="1983"/>
      <c r="L19" s="1"/>
      <c r="M19" s="1"/>
      <c r="N19" s="7"/>
      <c r="O19" s="7"/>
      <c r="P19" s="7"/>
    </row>
    <row r="20" spans="1:19" ht="15.75">
      <c r="A20" s="1976" t="s">
        <v>1033</v>
      </c>
      <c r="B20" s="1984"/>
      <c r="C20" s="1984"/>
      <c r="D20" s="1984"/>
      <c r="E20" s="2000"/>
      <c r="F20" s="1627"/>
    </row>
  </sheetData>
  <mergeCells count="6">
    <mergeCell ref="A19:E19"/>
    <mergeCell ref="A1:O1"/>
    <mergeCell ref="A2:O2"/>
    <mergeCell ref="A3:A4"/>
    <mergeCell ref="B3:G3"/>
    <mergeCell ref="H3:K3"/>
  </mergeCells>
  <printOptions horizontalCentered="1" verticalCentered="1"/>
  <pageMargins left="0.39370078740157483" right="0.39370078740157483" top="0.23622047244094488" bottom="0.23622047244094488" header="0.31496062992125984" footer="7.874015748031496E-2"/>
  <pageSetup paperSize="5" scale="44" orientation="landscape" r:id="rId1"/>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1">
    <tabColor theme="3" tint="0.59999389629810485"/>
    <pageSetUpPr fitToPage="1"/>
  </sheetPr>
  <dimension ref="A1:L24"/>
  <sheetViews>
    <sheetView showGridLines="0" view="pageBreakPreview" zoomScale="85" zoomScaleNormal="100" zoomScaleSheetLayoutView="85" workbookViewId="0">
      <selection activeCell="A3" sqref="A3"/>
    </sheetView>
  </sheetViews>
  <sheetFormatPr baseColWidth="10" defaultRowHeight="15"/>
  <cols>
    <col min="1" max="1" width="15.140625" style="784" customWidth="1"/>
    <col min="2" max="2" width="20.140625" style="784" customWidth="1"/>
    <col min="3" max="3" width="20.5703125" style="784" customWidth="1"/>
    <col min="4" max="4" width="21.28515625" style="784" customWidth="1"/>
    <col min="5" max="8" width="18" style="784" customWidth="1"/>
    <col min="9" max="9" width="17.140625" style="784" customWidth="1"/>
    <col min="10" max="10" width="15.42578125" style="784" customWidth="1"/>
    <col min="11" max="11" width="18.42578125" style="784" customWidth="1"/>
    <col min="12" max="16384" width="11.42578125" style="784"/>
  </cols>
  <sheetData>
    <row r="1" spans="1:12" ht="71.25" customHeight="1">
      <c r="A1" s="2121"/>
      <c r="B1" s="2121"/>
      <c r="C1" s="2121"/>
      <c r="D1" s="2121"/>
      <c r="E1" s="2121"/>
      <c r="F1" s="2121"/>
      <c r="G1" s="2121"/>
      <c r="H1" s="2121"/>
      <c r="I1" s="2121"/>
      <c r="J1" s="2121"/>
    </row>
    <row r="2" spans="1:12" ht="3.75" customHeight="1"/>
    <row r="3" spans="1:12" s="1309" customFormat="1" ht="21.75" customHeight="1">
      <c r="A3" s="1307" t="s">
        <v>189</v>
      </c>
      <c r="B3" s="1308" t="s">
        <v>613</v>
      </c>
      <c r="C3" s="1308" t="s">
        <v>313</v>
      </c>
      <c r="D3" s="1307" t="s">
        <v>614</v>
      </c>
    </row>
    <row r="4" spans="1:12" ht="14.25" customHeight="1">
      <c r="A4" s="1195">
        <v>2003</v>
      </c>
      <c r="B4" s="792">
        <v>211522228.03</v>
      </c>
      <c r="C4" s="792">
        <v>1627801493.98</v>
      </c>
      <c r="D4" s="1246">
        <f>+C4+B4</f>
        <v>1839323722.01</v>
      </c>
      <c r="E4" s="1192"/>
      <c r="F4" s="1196"/>
    </row>
    <row r="5" spans="1:12" ht="14.25" customHeight="1">
      <c r="A5" s="1195">
        <v>2004</v>
      </c>
      <c r="B5" s="792">
        <v>2104921284.339</v>
      </c>
      <c r="C5" s="792">
        <v>5315526427.3509998</v>
      </c>
      <c r="D5" s="1247">
        <f>+C5+B5</f>
        <v>7420447711.6899996</v>
      </c>
      <c r="E5" s="1192"/>
      <c r="F5" s="1196"/>
      <c r="K5" s="1192"/>
    </row>
    <row r="6" spans="1:12" ht="14.25" customHeight="1">
      <c r="A6" s="1195">
        <v>2005</v>
      </c>
      <c r="B6" s="792">
        <v>2740119047.3900003</v>
      </c>
      <c r="C6" s="792">
        <v>6918059326.1500006</v>
      </c>
      <c r="D6" s="1247">
        <f t="shared" ref="D6:D15" si="0">+C6+B6</f>
        <v>9658178373.5400009</v>
      </c>
      <c r="E6" s="1192"/>
      <c r="F6" s="1196"/>
      <c r="G6" s="785"/>
      <c r="H6" s="785"/>
      <c r="K6" s="1192"/>
    </row>
    <row r="7" spans="1:12" ht="14.25" customHeight="1">
      <c r="A7" s="1195">
        <v>2006</v>
      </c>
      <c r="B7" s="792">
        <v>2679574110.783494</v>
      </c>
      <c r="C7" s="792">
        <v>8392526306.6965065</v>
      </c>
      <c r="D7" s="1247">
        <f t="shared" si="0"/>
        <v>11072100417.48</v>
      </c>
      <c r="E7" s="1192"/>
      <c r="F7" s="1196"/>
      <c r="K7" s="1192"/>
    </row>
    <row r="8" spans="1:12" ht="14.25" customHeight="1">
      <c r="A8" s="1195">
        <v>2007</v>
      </c>
      <c r="B8" s="792">
        <v>7440643704.1800003</v>
      </c>
      <c r="C8" s="792">
        <v>13755990830.42</v>
      </c>
      <c r="D8" s="1247">
        <f t="shared" si="0"/>
        <v>21196634534.599998</v>
      </c>
      <c r="E8" s="1192"/>
      <c r="F8" s="1196"/>
      <c r="K8" s="1192"/>
    </row>
    <row r="9" spans="1:12" ht="14.25" customHeight="1">
      <c r="A9" s="1195">
        <v>2008</v>
      </c>
      <c r="B9" s="792">
        <v>10090935314.219999</v>
      </c>
      <c r="C9" s="792">
        <v>22987229737.049999</v>
      </c>
      <c r="D9" s="1247">
        <f t="shared" si="0"/>
        <v>33078165051.269997</v>
      </c>
      <c r="E9" s="1192"/>
      <c r="F9" s="1196"/>
      <c r="K9" s="1192"/>
    </row>
    <row r="10" spans="1:12" ht="14.25" customHeight="1">
      <c r="A10" s="1195">
        <v>2009</v>
      </c>
      <c r="B10" s="792">
        <v>12419428715.15</v>
      </c>
      <c r="C10" s="792">
        <v>25453341929.369999</v>
      </c>
      <c r="D10" s="1247">
        <f t="shared" si="0"/>
        <v>37872770644.519997</v>
      </c>
      <c r="E10" s="1192"/>
      <c r="F10" s="1196"/>
      <c r="K10" s="1192"/>
    </row>
    <row r="11" spans="1:12" ht="14.25" customHeight="1">
      <c r="A11" s="1195">
        <v>2010</v>
      </c>
      <c r="B11" s="792">
        <v>13982932933.34</v>
      </c>
      <c r="C11" s="792">
        <v>29622073160.660004</v>
      </c>
      <c r="D11" s="1247">
        <f t="shared" si="0"/>
        <v>43605006094</v>
      </c>
      <c r="E11" s="1192"/>
      <c r="F11" s="1196"/>
      <c r="G11" s="167"/>
      <c r="H11" s="167"/>
      <c r="K11" s="1192"/>
    </row>
    <row r="12" spans="1:12" ht="14.25" customHeight="1">
      <c r="A12" s="1195">
        <v>2011</v>
      </c>
      <c r="B12" s="792">
        <v>15631836986.009998</v>
      </c>
      <c r="C12" s="792">
        <v>33784047829.830002</v>
      </c>
      <c r="D12" s="1247">
        <f t="shared" si="0"/>
        <v>49415884815.839996</v>
      </c>
      <c r="E12" s="1192"/>
      <c r="F12" s="1196"/>
      <c r="K12" s="1192"/>
    </row>
    <row r="13" spans="1:12" ht="14.25" customHeight="1">
      <c r="A13" s="1195">
        <v>2012</v>
      </c>
      <c r="B13" s="792">
        <v>17595724643.350403</v>
      </c>
      <c r="C13" s="792">
        <v>37469807664.639603</v>
      </c>
      <c r="D13" s="1247">
        <f t="shared" si="0"/>
        <v>55065532307.990005</v>
      </c>
      <c r="E13" s="1192"/>
      <c r="F13" s="1196"/>
      <c r="K13" s="1192"/>
    </row>
    <row r="14" spans="1:12" ht="14.25" customHeight="1">
      <c r="A14" s="1195">
        <v>2013</v>
      </c>
      <c r="B14" s="792">
        <v>20873289030.960003</v>
      </c>
      <c r="C14" s="792">
        <v>40609714567.439995</v>
      </c>
      <c r="D14" s="1247">
        <f t="shared" si="0"/>
        <v>61483003598.399994</v>
      </c>
      <c r="E14" s="1192"/>
      <c r="F14" s="1196"/>
      <c r="K14" s="1192"/>
    </row>
    <row r="15" spans="1:12" ht="14.25" customHeight="1">
      <c r="A15" s="1195">
        <v>2014</v>
      </c>
      <c r="B15" s="792">
        <v>24657599719.139999</v>
      </c>
      <c r="C15" s="792">
        <v>45263293195.400002</v>
      </c>
      <c r="D15" s="1247">
        <f t="shared" si="0"/>
        <v>69920892914.540009</v>
      </c>
      <c r="E15" s="1192"/>
      <c r="F15" s="1196"/>
      <c r="K15" s="1192"/>
      <c r="L15" s="939"/>
    </row>
    <row r="16" spans="1:12" ht="14.25" customHeight="1">
      <c r="A16" s="1762" t="s">
        <v>1007</v>
      </c>
      <c r="B16" s="1761">
        <v>26524669558.41</v>
      </c>
      <c r="C16" s="1761">
        <v>45051467483.349991</v>
      </c>
      <c r="D16" s="1248">
        <f>+C16+B16</f>
        <v>71576137041.759995</v>
      </c>
      <c r="E16" s="1192"/>
      <c r="F16" s="1196"/>
      <c r="K16" s="1192"/>
    </row>
    <row r="17" spans="1:11">
      <c r="A17" s="1059" t="s">
        <v>98</v>
      </c>
      <c r="B17" s="793">
        <f>SUM(B4:B16)</f>
        <v>156953197275.30289</v>
      </c>
      <c r="C17" s="793">
        <f>SUM(C4:C16)</f>
        <v>316250879952.3371</v>
      </c>
      <c r="D17" s="1249">
        <f>SUM(D4:D16)</f>
        <v>473204077227.64001</v>
      </c>
      <c r="E17" s="1192"/>
      <c r="F17" s="1196"/>
      <c r="K17" s="1192"/>
    </row>
    <row r="18" spans="1:11">
      <c r="K18" s="1192"/>
    </row>
    <row r="20" spans="1:11" ht="18.75">
      <c r="K20" s="1994"/>
    </row>
    <row r="23" spans="1:11">
      <c r="K23" s="839"/>
    </row>
    <row r="24" spans="1:11">
      <c r="K24" s="839"/>
    </row>
  </sheetData>
  <mergeCells count="1">
    <mergeCell ref="A1:J1"/>
  </mergeCells>
  <pageMargins left="0.7" right="0.7" top="0.75" bottom="0.75" header="0.3" footer="0.3"/>
  <pageSetup scale="67" orientation="landscape" r:id="rId1"/>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2">
    <tabColor theme="4" tint="0.39997558519241921"/>
    <pageSetUpPr fitToPage="1"/>
  </sheetPr>
  <dimension ref="A1:R23"/>
  <sheetViews>
    <sheetView showGridLines="0" view="pageBreakPreview" zoomScale="85" zoomScaleNormal="100" zoomScaleSheetLayoutView="85" workbookViewId="0">
      <pane xSplit="1" ySplit="3" topLeftCell="B4" activePane="bottomRight" state="frozen"/>
      <selection pane="topRight" activeCell="B1" sqref="B1"/>
      <selection pane="bottomLeft" activeCell="A4" sqref="A4"/>
      <selection pane="bottomRight" activeCell="A3" sqref="A3"/>
    </sheetView>
  </sheetViews>
  <sheetFormatPr baseColWidth="10" defaultRowHeight="15"/>
  <cols>
    <col min="1" max="1" width="15.42578125" style="786" customWidth="1"/>
    <col min="2" max="2" width="20.5703125" style="786" customWidth="1"/>
    <col min="3" max="3" width="19.140625" style="786" customWidth="1"/>
    <col min="4" max="4" width="19.85546875" style="786" customWidth="1"/>
    <col min="5" max="5" width="21.42578125" style="786" customWidth="1"/>
    <col min="6" max="6" width="22" style="786" customWidth="1"/>
    <col min="7" max="7" width="11.42578125" style="786"/>
    <col min="8" max="8" width="23.7109375" style="786" customWidth="1"/>
    <col min="9" max="9" width="18.7109375" style="786" customWidth="1"/>
    <col min="10" max="10" width="16.42578125" style="786" customWidth="1"/>
    <col min="11" max="11" width="9.42578125" style="786" customWidth="1"/>
    <col min="12" max="12" width="17.28515625" style="786" customWidth="1"/>
    <col min="13" max="16384" width="11.42578125" style="786"/>
  </cols>
  <sheetData>
    <row r="1" spans="1:18" ht="54.75" customHeight="1">
      <c r="A1" s="2122" t="s">
        <v>621</v>
      </c>
      <c r="B1" s="2123"/>
      <c r="C1" s="2123"/>
      <c r="D1" s="2123"/>
      <c r="E1" s="2123"/>
      <c r="F1" s="2123"/>
      <c r="G1" s="2123"/>
    </row>
    <row r="2" spans="1:18" ht="8.25" customHeight="1">
      <c r="A2" s="787"/>
      <c r="B2" s="787"/>
      <c r="C2" s="787"/>
      <c r="D2" s="787"/>
      <c r="E2" s="787"/>
      <c r="F2" s="787"/>
    </row>
    <row r="3" spans="1:18" ht="30">
      <c r="A3" s="795" t="s">
        <v>189</v>
      </c>
      <c r="B3" s="794" t="s">
        <v>615</v>
      </c>
      <c r="C3" s="794" t="s">
        <v>616</v>
      </c>
      <c r="D3" s="794" t="s">
        <v>617</v>
      </c>
      <c r="E3" s="794" t="s">
        <v>618</v>
      </c>
      <c r="F3" s="841" t="s">
        <v>619</v>
      </c>
    </row>
    <row r="4" spans="1:18">
      <c r="A4" s="796">
        <v>2003</v>
      </c>
      <c r="B4" s="532">
        <v>63456668.409345008</v>
      </c>
      <c r="C4" s="532">
        <v>488340448.19365501</v>
      </c>
      <c r="D4" s="532">
        <v>148065559.62180501</v>
      </c>
      <c r="E4" s="532">
        <v>1139461045.7851951</v>
      </c>
      <c r="F4" s="842">
        <f t="shared" ref="F4:F16" si="0">SUM(B4:E4)</f>
        <v>1839323722.0100002</v>
      </c>
      <c r="G4" s="838"/>
    </row>
    <row r="5" spans="1:18">
      <c r="A5" s="796">
        <v>2004</v>
      </c>
      <c r="B5" s="532">
        <v>547279533.92999995</v>
      </c>
      <c r="C5" s="532">
        <v>1382036871.1099999</v>
      </c>
      <c r="D5" s="532">
        <v>1557641750.4100001</v>
      </c>
      <c r="E5" s="532">
        <v>3933489556.2399998</v>
      </c>
      <c r="F5" s="842">
        <f>SUM(B5:E5)</f>
        <v>7420447711.6899996</v>
      </c>
      <c r="G5" s="838"/>
    </row>
    <row r="6" spans="1:18">
      <c r="A6" s="796">
        <v>2005</v>
      </c>
      <c r="B6" s="532">
        <v>712430952.32140017</v>
      </c>
      <c r="C6" s="532">
        <v>1798695424.7990003</v>
      </c>
      <c r="D6" s="532">
        <v>2027688095.0686002</v>
      </c>
      <c r="E6" s="532">
        <v>5119363901.3510008</v>
      </c>
      <c r="F6" s="842">
        <f t="shared" si="0"/>
        <v>9658178373.5400009</v>
      </c>
      <c r="G6" s="838"/>
      <c r="L6" s="1945"/>
      <c r="M6" s="1945"/>
    </row>
    <row r="7" spans="1:18">
      <c r="A7" s="796">
        <v>2006</v>
      </c>
      <c r="B7" s="532">
        <v>696689268.80370843</v>
      </c>
      <c r="C7" s="532">
        <v>2182056839.7410917</v>
      </c>
      <c r="D7" s="532">
        <v>1982884841.9797854</v>
      </c>
      <c r="E7" s="532">
        <v>6210469466.9554148</v>
      </c>
      <c r="F7" s="842">
        <f t="shared" si="0"/>
        <v>11072100417.48</v>
      </c>
      <c r="G7" s="838"/>
      <c r="J7" s="839"/>
      <c r="K7" s="839"/>
      <c r="L7" s="2124"/>
      <c r="M7" s="2124"/>
      <c r="R7" s="970"/>
    </row>
    <row r="8" spans="1:18">
      <c r="A8" s="796">
        <v>2007</v>
      </c>
      <c r="B8" s="532">
        <v>2008973800.1286001</v>
      </c>
      <c r="C8" s="532">
        <v>3714117524.2134004</v>
      </c>
      <c r="D8" s="532">
        <v>5431669904.0514002</v>
      </c>
      <c r="E8" s="532">
        <v>10041873306.2066</v>
      </c>
      <c r="F8" s="842">
        <f t="shared" si="0"/>
        <v>21196634534.600002</v>
      </c>
      <c r="G8" s="838"/>
    </row>
    <row r="9" spans="1:18">
      <c r="A9" s="796">
        <v>2008</v>
      </c>
      <c r="B9" s="532">
        <v>2875916564.5526996</v>
      </c>
      <c r="C9" s="532">
        <v>6551360475.0592489</v>
      </c>
      <c r="D9" s="532">
        <v>7215018749.6672993</v>
      </c>
      <c r="E9" s="532">
        <v>16435869261.990749</v>
      </c>
      <c r="F9" s="842">
        <f t="shared" si="0"/>
        <v>33078165051.269997</v>
      </c>
      <c r="G9" s="838"/>
      <c r="L9" s="1944"/>
      <c r="M9" s="1944"/>
    </row>
    <row r="10" spans="1:18">
      <c r="A10" s="796">
        <v>2009</v>
      </c>
      <c r="B10" s="532">
        <v>3539537183.8177495</v>
      </c>
      <c r="C10" s="532">
        <v>7254202449.8704491</v>
      </c>
      <c r="D10" s="532">
        <v>8879891531.3322487</v>
      </c>
      <c r="E10" s="532">
        <v>18199139479.49955</v>
      </c>
      <c r="F10" s="842">
        <f t="shared" si="0"/>
        <v>37872770644.519997</v>
      </c>
      <c r="G10" s="838"/>
      <c r="L10" s="2125"/>
      <c r="M10" s="2125"/>
      <c r="N10" s="839"/>
    </row>
    <row r="11" spans="1:18">
      <c r="A11" s="796">
        <v>2010</v>
      </c>
      <c r="B11" s="532">
        <v>3985135886.0018997</v>
      </c>
      <c r="C11" s="532">
        <v>8442290850.7881002</v>
      </c>
      <c r="D11" s="532">
        <v>9997797047.3381004</v>
      </c>
      <c r="E11" s="532">
        <v>21179782309.871902</v>
      </c>
      <c r="F11" s="842">
        <f t="shared" si="0"/>
        <v>43605006094</v>
      </c>
      <c r="G11" s="838"/>
      <c r="K11" s="838"/>
      <c r="L11" s="838"/>
      <c r="N11" s="839"/>
    </row>
    <row r="12" spans="1:18">
      <c r="A12" s="796">
        <v>2011</v>
      </c>
      <c r="B12" s="532">
        <v>4455073541.0128489</v>
      </c>
      <c r="C12" s="532">
        <v>9628453631.5015488</v>
      </c>
      <c r="D12" s="532">
        <v>11176763444.997149</v>
      </c>
      <c r="E12" s="532">
        <v>24155594198.328449</v>
      </c>
      <c r="F12" s="842">
        <f t="shared" si="0"/>
        <v>49415884815.839996</v>
      </c>
      <c r="G12" s="838"/>
      <c r="K12" s="839"/>
      <c r="L12" s="839"/>
      <c r="N12" s="839"/>
    </row>
    <row r="13" spans="1:18">
      <c r="A13" s="796">
        <v>2012</v>
      </c>
      <c r="B13" s="532">
        <v>5014781523.3548641</v>
      </c>
      <c r="C13" s="532">
        <v>10678895184.422285</v>
      </c>
      <c r="D13" s="532">
        <v>12580943119.995537</v>
      </c>
      <c r="E13" s="532">
        <v>26790912480.217316</v>
      </c>
      <c r="F13" s="842">
        <f t="shared" si="0"/>
        <v>55065532307.990005</v>
      </c>
      <c r="G13" s="838"/>
      <c r="J13" s="1666"/>
      <c r="L13" s="839"/>
      <c r="M13" s="839"/>
    </row>
    <row r="14" spans="1:18">
      <c r="A14" s="796">
        <v>2013</v>
      </c>
      <c r="B14" s="532">
        <v>5948887373.8236008</v>
      </c>
      <c r="C14" s="532">
        <v>11573768651.720398</v>
      </c>
      <c r="D14" s="532">
        <v>14924401657.136402</v>
      </c>
      <c r="E14" s="532">
        <v>29035945915.719597</v>
      </c>
      <c r="F14" s="842">
        <f t="shared" si="0"/>
        <v>61483003598.399994</v>
      </c>
      <c r="G14" s="838"/>
      <c r="L14" s="839"/>
    </row>
    <row r="15" spans="1:18">
      <c r="A15" s="796">
        <v>2014</v>
      </c>
      <c r="B15" s="532">
        <v>7027415919.9548988</v>
      </c>
      <c r="C15" s="532">
        <v>12900038560.688999</v>
      </c>
      <c r="D15" s="532">
        <v>17630183799.185101</v>
      </c>
      <c r="E15" s="532">
        <v>32363254634.710999</v>
      </c>
      <c r="F15" s="842">
        <f t="shared" si="0"/>
        <v>69920892914.539993</v>
      </c>
      <c r="G15" s="838"/>
      <c r="H15" s="838"/>
      <c r="L15" s="839"/>
    </row>
    <row r="16" spans="1:18">
      <c r="A16" s="1760" t="s">
        <v>1007</v>
      </c>
      <c r="B16" s="1759">
        <v>7559530824.1468496</v>
      </c>
      <c r="C16" s="1759">
        <v>12839668232.754745</v>
      </c>
      <c r="D16" s="1759">
        <v>18965138734.263149</v>
      </c>
      <c r="E16" s="1759">
        <v>32211799250.595242</v>
      </c>
      <c r="F16" s="842">
        <f t="shared" si="0"/>
        <v>71576137041.759995</v>
      </c>
      <c r="G16" s="838"/>
      <c r="H16" s="838"/>
      <c r="K16" s="838"/>
      <c r="L16" s="839"/>
    </row>
    <row r="17" spans="1:15">
      <c r="A17" s="797" t="s">
        <v>98</v>
      </c>
      <c r="B17" s="840">
        <f>SUM(B4:B16)</f>
        <v>44435109040.258469</v>
      </c>
      <c r="C17" s="798">
        <f>SUM(C4:C16)</f>
        <v>89433925144.86293</v>
      </c>
      <c r="D17" s="798">
        <f>SUM(D4:D16)</f>
        <v>112518088235.04659</v>
      </c>
      <c r="E17" s="798">
        <f>SUM(E4:E16)</f>
        <v>226816954807.47202</v>
      </c>
      <c r="F17" s="843">
        <f>SUM(F4:F16)</f>
        <v>473204077227.63995</v>
      </c>
      <c r="G17" s="838"/>
      <c r="L17" s="970"/>
      <c r="M17" s="970"/>
      <c r="N17" s="970"/>
      <c r="O17" s="970"/>
    </row>
    <row r="20" spans="1:15" ht="18.75">
      <c r="C20" s="1197"/>
      <c r="E20" s="1197"/>
      <c r="L20" s="1995"/>
    </row>
    <row r="21" spans="1:15" ht="18.75">
      <c r="L21" s="1995"/>
    </row>
    <row r="22" spans="1:15">
      <c r="L22" s="1666"/>
    </row>
    <row r="23" spans="1:15">
      <c r="L23" s="838"/>
    </row>
  </sheetData>
  <mergeCells count="3">
    <mergeCell ref="A1:G1"/>
    <mergeCell ref="L7:M7"/>
    <mergeCell ref="L10:M10"/>
  </mergeCells>
  <pageMargins left="0.7" right="0.7" top="0.75" bottom="0.75" header="0.3" footer="0.3"/>
  <pageSetup scale="62" orientation="landscape" r:id="rId1"/>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3">
    <tabColor theme="4" tint="0.39997558519241921"/>
    <pageSetUpPr fitToPage="1"/>
  </sheetPr>
  <dimension ref="A1:M21"/>
  <sheetViews>
    <sheetView showGridLines="0" view="pageBreakPreview" zoomScale="85" zoomScaleNormal="100" zoomScaleSheetLayoutView="85" workbookViewId="0">
      <selection activeCell="A4" sqref="A4"/>
    </sheetView>
  </sheetViews>
  <sheetFormatPr baseColWidth="10" defaultRowHeight="15"/>
  <cols>
    <col min="1" max="1" width="15.140625" style="977" customWidth="1"/>
    <col min="2" max="2" width="17.85546875" style="977" customWidth="1"/>
    <col min="3" max="3" width="17.5703125" style="977" customWidth="1"/>
    <col min="4" max="4" width="24.140625" style="977" customWidth="1"/>
    <col min="5" max="5" width="21.7109375" style="977" customWidth="1"/>
    <col min="6" max="6" width="20.140625" style="977" customWidth="1"/>
    <col min="7" max="7" width="22.28515625" style="977" customWidth="1"/>
    <col min="8" max="10" width="13.140625" style="977" customWidth="1"/>
    <col min="11" max="11" width="11.42578125" style="977"/>
    <col min="12" max="12" width="17.140625" style="977" bestFit="1" customWidth="1"/>
    <col min="13" max="13" width="21" style="977" bestFit="1" customWidth="1"/>
    <col min="14" max="16384" width="11.42578125" style="977"/>
  </cols>
  <sheetData>
    <row r="1" spans="1:13" ht="15.75" customHeight="1">
      <c r="A1" s="2126" t="s">
        <v>708</v>
      </c>
      <c r="B1" s="2126"/>
      <c r="C1" s="2126"/>
      <c r="D1" s="2126"/>
      <c r="E1" s="2126"/>
      <c r="F1" s="2126"/>
      <c r="G1" s="2126"/>
      <c r="H1" s="2126"/>
      <c r="I1" s="1964"/>
      <c r="J1" s="1964"/>
      <c r="K1" s="1079"/>
    </row>
    <row r="2" spans="1:13" s="1080" customFormat="1" ht="41.25" customHeight="1">
      <c r="A2" s="2126"/>
      <c r="B2" s="2126"/>
      <c r="C2" s="2126"/>
      <c r="D2" s="2126"/>
      <c r="E2" s="2126"/>
      <c r="F2" s="2126"/>
      <c r="G2" s="2126"/>
      <c r="H2" s="2126"/>
      <c r="I2" s="1964"/>
      <c r="J2" s="1964"/>
      <c r="K2" s="1079"/>
    </row>
    <row r="3" spans="1:13" ht="18" customHeight="1">
      <c r="A3" s="978"/>
      <c r="B3" s="978"/>
      <c r="C3" s="978"/>
      <c r="D3" s="978"/>
      <c r="E3" s="978"/>
      <c r="F3" s="978"/>
      <c r="G3" s="1080"/>
      <c r="H3" s="1080"/>
      <c r="I3" s="1080"/>
      <c r="J3" s="1080"/>
      <c r="K3" s="1080"/>
      <c r="L3" s="1764"/>
    </row>
    <row r="4" spans="1:13" s="979" customFormat="1" ht="35.25" customHeight="1">
      <c r="A4" s="980" t="s">
        <v>45</v>
      </c>
      <c r="B4" s="982" t="s">
        <v>704</v>
      </c>
      <c r="C4" s="982" t="s">
        <v>705</v>
      </c>
      <c r="D4" s="982" t="s">
        <v>1027</v>
      </c>
      <c r="E4" s="982" t="s">
        <v>706</v>
      </c>
      <c r="F4" s="981" t="s">
        <v>23</v>
      </c>
      <c r="G4" s="982" t="s">
        <v>707</v>
      </c>
      <c r="H4" s="980" t="s">
        <v>42</v>
      </c>
      <c r="I4" s="1996"/>
      <c r="J4" s="1996"/>
      <c r="L4" s="1764"/>
      <c r="M4" s="1193"/>
    </row>
    <row r="5" spans="1:13">
      <c r="A5" s="1384">
        <v>2005</v>
      </c>
      <c r="B5" s="1353"/>
      <c r="C5" s="1353">
        <v>0</v>
      </c>
      <c r="D5" s="1353">
        <f>+'IV.1.3. Ingr y egr SDSS'!C7</f>
        <v>604604920.63</v>
      </c>
      <c r="E5" s="1353">
        <f>+'IV.1.5 Rec. x origen'!D6</f>
        <v>2027688095.0686002</v>
      </c>
      <c r="F5" s="983">
        <f>SUM(B5:E5)</f>
        <v>2632293015.6986003</v>
      </c>
      <c r="G5" s="1142">
        <v>1020002000000</v>
      </c>
      <c r="H5" s="1145">
        <f>+F5/G5</f>
        <v>2.5806743670096729E-3</v>
      </c>
      <c r="I5" s="1997"/>
      <c r="J5" s="1997"/>
      <c r="L5" s="1764"/>
      <c r="M5" s="1193"/>
    </row>
    <row r="6" spans="1:13">
      <c r="A6" s="1384">
        <v>2006</v>
      </c>
      <c r="B6" s="1353"/>
      <c r="C6" s="1353">
        <v>0</v>
      </c>
      <c r="D6" s="1353">
        <f>+'IV.1.3. Ingr y egr SDSS'!C8</f>
        <v>724509996.65999997</v>
      </c>
      <c r="E6" s="1353">
        <f>+'IV.1.5 Rec. x origen'!D7</f>
        <v>1982884841.9797854</v>
      </c>
      <c r="F6" s="983">
        <f t="shared" ref="F6:F14" si="0">SUM(B6:E6)</f>
        <v>2707394838.6397853</v>
      </c>
      <c r="G6" s="1143">
        <v>1189801900000</v>
      </c>
      <c r="H6" s="1146">
        <f t="shared" ref="H6:H14" si="1">+F6/G6</f>
        <v>2.2755005170522801E-3</v>
      </c>
      <c r="I6" s="1997"/>
      <c r="J6" s="1997"/>
      <c r="L6" s="1764"/>
      <c r="M6" s="1193"/>
    </row>
    <row r="7" spans="1:13">
      <c r="A7" s="1384">
        <v>2007</v>
      </c>
      <c r="B7" s="1353"/>
      <c r="C7" s="1353">
        <v>125000000</v>
      </c>
      <c r="D7" s="1353">
        <f>+'IV.1.3. Ingr y egr SDSS'!C9</f>
        <v>1566425499.9599998</v>
      </c>
      <c r="E7" s="1353">
        <f>+'IV.1.5 Rec. x origen'!D8</f>
        <v>5431669904.0514002</v>
      </c>
      <c r="F7" s="983">
        <f t="shared" si="0"/>
        <v>7123095404.0114002</v>
      </c>
      <c r="G7" s="1143">
        <v>1364210300000</v>
      </c>
      <c r="H7" s="1146">
        <f t="shared" si="1"/>
        <v>5.2214056762446377E-3</v>
      </c>
      <c r="I7" s="1997"/>
      <c r="J7" s="1997"/>
      <c r="L7" s="1764"/>
      <c r="M7" s="1193"/>
    </row>
    <row r="8" spans="1:13">
      <c r="A8" s="1384">
        <v>2008</v>
      </c>
      <c r="B8" s="1353"/>
      <c r="C8" s="1353">
        <v>256250000</v>
      </c>
      <c r="D8" s="1353">
        <f>+'IV.1.3. Ingr y egr SDSS'!C10</f>
        <v>2203369531</v>
      </c>
      <c r="E8" s="1353">
        <f>+'IV.1.5 Rec. x origen'!D9</f>
        <v>7215018749.6672993</v>
      </c>
      <c r="F8" s="983">
        <f t="shared" si="0"/>
        <v>9674638280.6672993</v>
      </c>
      <c r="G8" s="1143">
        <v>1576162800000</v>
      </c>
      <c r="H8" s="1146">
        <f t="shared" si="1"/>
        <v>6.138095811338333E-3</v>
      </c>
      <c r="I8" s="1997"/>
      <c r="J8" s="1997"/>
      <c r="L8" s="1764"/>
      <c r="M8" s="1193"/>
    </row>
    <row r="9" spans="1:13">
      <c r="A9" s="1384">
        <v>2009</v>
      </c>
      <c r="B9" s="1353">
        <f>+'IV.1.3. Ingr y egr SDSS'!F11</f>
        <v>178872817.62</v>
      </c>
      <c r="C9" s="1353">
        <v>18750000</v>
      </c>
      <c r="D9" s="1353">
        <f>+'IV.1.3. Ingr y egr SDSS'!C11</f>
        <v>3190675855.0100002</v>
      </c>
      <c r="E9" s="1353">
        <f>+'IV.1.5 Rec. x origen'!D10</f>
        <v>8879891531.3322487</v>
      </c>
      <c r="F9" s="983">
        <f t="shared" si="0"/>
        <v>12268190203.96225</v>
      </c>
      <c r="G9" s="1143">
        <v>1678762600000</v>
      </c>
      <c r="H9" s="1146">
        <f t="shared" si="1"/>
        <v>7.3078767682591035E-3</v>
      </c>
      <c r="I9" s="1997"/>
      <c r="J9" s="1997"/>
      <c r="L9" s="1764"/>
      <c r="M9" s="1193"/>
    </row>
    <row r="10" spans="1:13">
      <c r="A10" s="1384">
        <v>2010</v>
      </c>
      <c r="B10" s="1353">
        <f>+'IV.1.3. Ingr y egr SDSS'!F12</f>
        <v>95767340.060000002</v>
      </c>
      <c r="C10" s="1353">
        <v>0</v>
      </c>
      <c r="D10" s="1353">
        <f>+'IV.1.3. Ingr y egr SDSS'!C12</f>
        <v>3736675849.46</v>
      </c>
      <c r="E10" s="1353">
        <f>+'IV.1.5 Rec. x origen'!D11</f>
        <v>9997797047.3381004</v>
      </c>
      <c r="F10" s="983">
        <f t="shared" si="0"/>
        <v>13830240236.858101</v>
      </c>
      <c r="G10" s="1143">
        <v>1901896700000</v>
      </c>
      <c r="H10" s="1146">
        <f t="shared" si="1"/>
        <v>7.2718146242422635E-3</v>
      </c>
      <c r="I10" s="1997"/>
      <c r="J10" s="1997"/>
      <c r="L10" s="1764"/>
      <c r="M10" s="1193"/>
    </row>
    <row r="11" spans="1:13">
      <c r="A11" s="1384">
        <v>2011</v>
      </c>
      <c r="B11" s="1353">
        <f>+'IV.1.3. Ingr y egr SDSS'!F13</f>
        <v>320281085.42000002</v>
      </c>
      <c r="C11" s="1353">
        <v>0</v>
      </c>
      <c r="D11" s="1353">
        <f>+'IV.1.3. Ingr y egr SDSS'!C13</f>
        <v>4134675852</v>
      </c>
      <c r="E11" s="1353">
        <f>+'IV.1.5 Rec. x origen'!D12</f>
        <v>11176763444.997149</v>
      </c>
      <c r="F11" s="983">
        <f t="shared" si="0"/>
        <v>15631720382.417149</v>
      </c>
      <c r="G11" s="1143">
        <v>2119301799999.9998</v>
      </c>
      <c r="H11" s="1146">
        <f t="shared" si="1"/>
        <v>7.3758821808282094E-3</v>
      </c>
      <c r="I11" s="1997"/>
      <c r="J11" s="1997"/>
      <c r="L11" s="1764"/>
      <c r="M11" s="1193"/>
    </row>
    <row r="12" spans="1:13">
      <c r="A12" s="1384">
        <v>2012</v>
      </c>
      <c r="B12" s="1353">
        <f>+'IV.1.3. Ingr y egr SDSS'!F14</f>
        <v>349151178.95999998</v>
      </c>
      <c r="C12" s="1353">
        <v>0</v>
      </c>
      <c r="D12" s="1353">
        <f>+'IV.1.3. Ingr y egr SDSS'!C14</f>
        <v>4599999999.96</v>
      </c>
      <c r="E12" s="1353">
        <f>+'IV.1.5 Rec. x origen'!D13</f>
        <v>12580943119.995537</v>
      </c>
      <c r="F12" s="983">
        <f t="shared" si="0"/>
        <v>17530094298.915535</v>
      </c>
      <c r="G12" s="1143">
        <v>2316783700000</v>
      </c>
      <c r="H12" s="1146">
        <f t="shared" si="1"/>
        <v>7.5665649317696489E-3</v>
      </c>
      <c r="I12" s="1997"/>
      <c r="J12" s="1997"/>
      <c r="L12" s="1764"/>
      <c r="M12" s="1193"/>
    </row>
    <row r="13" spans="1:13">
      <c r="A13" s="1384">
        <v>2013</v>
      </c>
      <c r="B13" s="1353">
        <f>+'IV.1.3. Ingr y egr SDSS'!F15</f>
        <v>362641633.79000002</v>
      </c>
      <c r="C13" s="1353">
        <v>0</v>
      </c>
      <c r="D13" s="1353">
        <f>+'IV.1.3. Ingr y egr SDSS'!C15</f>
        <v>5302610000</v>
      </c>
      <c r="E13" s="1353">
        <f>+'IV.1.5 Rec. x origen'!D14</f>
        <v>14924401657.136402</v>
      </c>
      <c r="F13" s="983">
        <f t="shared" si="0"/>
        <v>20589653290.926403</v>
      </c>
      <c r="G13" s="1143">
        <v>2534067800000</v>
      </c>
      <c r="H13" s="1146">
        <f t="shared" si="1"/>
        <v>8.1251390712302179E-3</v>
      </c>
      <c r="I13" s="1997"/>
      <c r="J13" s="1997"/>
      <c r="L13" s="1764"/>
      <c r="M13" s="1193"/>
    </row>
    <row r="14" spans="1:13">
      <c r="A14" s="1384">
        <v>2014</v>
      </c>
      <c r="B14" s="1353">
        <f>+'IV.1.3. Ingr y egr SDSS'!F16</f>
        <v>355808488.19</v>
      </c>
      <c r="C14" s="1353">
        <v>0</v>
      </c>
      <c r="D14" s="1353">
        <f>+'IV.1.3. Ingr y egr SDSS'!C16</f>
        <v>6839999499</v>
      </c>
      <c r="E14" s="1353">
        <f>+'IV.1.5 Rec. x origen'!D15</f>
        <v>17630183799.185101</v>
      </c>
      <c r="F14" s="983">
        <f t="shared" si="0"/>
        <v>24825991786.375099</v>
      </c>
      <c r="G14" s="1143">
        <v>2786229703801.9404</v>
      </c>
      <c r="H14" s="1146">
        <f t="shared" si="1"/>
        <v>8.9102458969907879E-3</v>
      </c>
      <c r="I14" s="1997"/>
      <c r="J14" s="1997"/>
      <c r="L14" s="1764"/>
      <c r="M14" s="1193"/>
    </row>
    <row r="15" spans="1:13">
      <c r="A15" s="1765" t="s">
        <v>1007</v>
      </c>
      <c r="B15" s="1764">
        <f>+'IV.1.3. Ingr y egr SDSS'!F17</f>
        <v>325719703.07999992</v>
      </c>
      <c r="C15" s="1764" t="s">
        <v>977</v>
      </c>
      <c r="D15" s="1764">
        <f>+'IV.1.3. Ingr y egr SDSS'!C17</f>
        <v>6293464792.25</v>
      </c>
      <c r="E15" s="1764">
        <f>+'IV.1.5 Rec. x origen'!D16</f>
        <v>18965138734.263149</v>
      </c>
      <c r="F15" s="983">
        <f>SUM(B15:E15)</f>
        <v>25584323229.593147</v>
      </c>
      <c r="G15" s="1144">
        <v>2786229703801.9404</v>
      </c>
      <c r="H15" s="1147">
        <f>+F15/G15</f>
        <v>9.1824170830862029E-3</v>
      </c>
      <c r="I15" s="1997"/>
      <c r="J15" s="1997"/>
      <c r="L15" s="1764"/>
      <c r="M15" s="1193"/>
    </row>
    <row r="16" spans="1:13" s="979" customFormat="1" ht="18.75" customHeight="1">
      <c r="A16" s="1852" t="s">
        <v>23</v>
      </c>
      <c r="B16" s="1853">
        <f>SUM(B5:B15)</f>
        <v>1988242247.1199999</v>
      </c>
      <c r="C16" s="1853">
        <f>SUM(C5:C15)</f>
        <v>400000000</v>
      </c>
      <c r="D16" s="1853">
        <f>SUM(D5:D15)</f>
        <v>39197011795.93</v>
      </c>
      <c r="E16" s="1853">
        <f>SUM(E5:E15)</f>
        <v>110812380925.01479</v>
      </c>
      <c r="F16" s="1854">
        <f>SUM(F5:F15)</f>
        <v>152397634968.06476</v>
      </c>
    </row>
    <row r="17" spans="2:13">
      <c r="L17" s="1441"/>
    </row>
    <row r="18" spans="2:13">
      <c r="L18" s="1441"/>
    </row>
    <row r="19" spans="2:13">
      <c r="B19" s="1243" t="e">
        <f>+B16-#REF!</f>
        <v>#REF!</v>
      </c>
      <c r="E19" s="1245"/>
    </row>
    <row r="20" spans="2:13">
      <c r="D20" s="1244"/>
    </row>
    <row r="21" spans="2:13">
      <c r="M21" s="1194"/>
    </row>
  </sheetData>
  <mergeCells count="1">
    <mergeCell ref="A1:H2"/>
  </mergeCells>
  <pageMargins left="0.7" right="0.7" top="0.75" bottom="0.75" header="0.3" footer="0.3"/>
  <pageSetup scale="64" orientation="landscape" r:id="rId1"/>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4">
    <tabColor rgb="FF00B0F0"/>
    <pageSetUpPr fitToPage="1"/>
  </sheetPr>
  <dimension ref="A1:N51"/>
  <sheetViews>
    <sheetView showGridLines="0" view="pageBreakPreview" zoomScale="85" zoomScaleNormal="100" zoomScaleSheetLayoutView="85" workbookViewId="0">
      <selection activeCell="I53" sqref="I53"/>
    </sheetView>
  </sheetViews>
  <sheetFormatPr baseColWidth="10" defaultRowHeight="15"/>
  <cols>
    <col min="4" max="5" width="17.42578125" bestFit="1" customWidth="1"/>
    <col min="7" max="7" width="18.85546875" customWidth="1"/>
    <col min="8" max="8" width="18.42578125" customWidth="1"/>
    <col min="11" max="11" width="18.85546875" customWidth="1"/>
    <col min="12" max="12" width="16.140625" customWidth="1"/>
    <col min="13" max="13" width="24.7109375" customWidth="1"/>
  </cols>
  <sheetData>
    <row r="1" spans="1:13" ht="21">
      <c r="A1" s="965" t="s">
        <v>687</v>
      </c>
    </row>
    <row r="2" spans="1:13" ht="37.5" customHeight="1">
      <c r="A2" s="965" t="s">
        <v>688</v>
      </c>
    </row>
    <row r="3" spans="1:13" ht="21">
      <c r="A3" s="965" t="s">
        <v>689</v>
      </c>
    </row>
    <row r="9" spans="1:13">
      <c r="M9" s="156"/>
    </row>
    <row r="12" spans="1:13">
      <c r="M12" s="277"/>
    </row>
    <row r="22" spans="13:14">
      <c r="M22" s="173"/>
    </row>
    <row r="27" spans="13:14">
      <c r="M27" s="173"/>
    </row>
    <row r="28" spans="13:14">
      <c r="M28" s="173"/>
    </row>
    <row r="29" spans="13:14">
      <c r="M29" s="173"/>
    </row>
    <row r="30" spans="13:14">
      <c r="N30" s="173"/>
    </row>
    <row r="44" spans="10:10">
      <c r="J44" s="173"/>
    </row>
    <row r="45" spans="10:10">
      <c r="J45" s="173"/>
    </row>
    <row r="46" spans="10:10">
      <c r="J46" s="173"/>
    </row>
    <row r="47" spans="10:10">
      <c r="J47" s="173"/>
    </row>
    <row r="49" spans="4:11">
      <c r="D49" s="156"/>
      <c r="K49" t="s">
        <v>31</v>
      </c>
    </row>
    <row r="50" spans="4:11">
      <c r="D50" s="156"/>
    </row>
    <row r="51" spans="4:11">
      <c r="D51" s="156"/>
    </row>
  </sheetData>
  <pageMargins left="0.7" right="0.7" top="0.75" bottom="0.75" header="0.3" footer="0.3"/>
  <pageSetup scale="70" orientation="landscape" r:id="rId1"/>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5">
    <tabColor rgb="FF00B0F0"/>
    <pageSetUpPr fitToPage="1"/>
  </sheetPr>
  <dimension ref="A1:O38"/>
  <sheetViews>
    <sheetView showGridLines="0" view="pageBreakPreview" zoomScale="85" zoomScaleNormal="66" zoomScaleSheetLayoutView="85" workbookViewId="0">
      <pane xSplit="1" ySplit="2" topLeftCell="B3" activePane="bottomRight" state="frozen"/>
      <selection pane="topRight" activeCell="B1" sqref="B1"/>
      <selection pane="bottomLeft" activeCell="A4" sqref="A4"/>
      <selection pane="bottomRight" activeCell="A2" sqref="A2"/>
    </sheetView>
  </sheetViews>
  <sheetFormatPr baseColWidth="10" defaultColWidth="11.5703125" defaultRowHeight="15"/>
  <cols>
    <col min="1" max="1" width="29.140625" style="45" customWidth="1"/>
    <col min="2" max="2" width="21" style="45" customWidth="1"/>
    <col min="3" max="3" width="23" style="45" customWidth="1"/>
    <col min="4" max="4" width="22.28515625" style="45" customWidth="1"/>
    <col min="5" max="5" width="22.7109375" style="45" customWidth="1"/>
    <col min="6" max="7" width="23.5703125" style="45" customWidth="1"/>
    <col min="8" max="8" width="21.140625" style="45" customWidth="1"/>
    <col min="9" max="10" width="21.42578125" style="45" customWidth="1"/>
    <col min="11" max="11" width="29.140625" style="45" customWidth="1"/>
    <col min="12" max="12" width="7.42578125" style="45" customWidth="1"/>
    <col min="13" max="13" width="8.7109375" style="45" customWidth="1"/>
    <col min="14" max="14" width="27.42578125" style="45" customWidth="1"/>
    <col min="15" max="15" width="28.85546875" style="45" customWidth="1"/>
    <col min="16" max="16384" width="11.5703125" style="45"/>
  </cols>
  <sheetData>
    <row r="1" spans="1:15" ht="104.25" customHeight="1">
      <c r="A1" s="2034"/>
      <c r="B1" s="2034"/>
      <c r="C1" s="2034"/>
      <c r="D1" s="2034"/>
      <c r="E1" s="2034"/>
      <c r="F1" s="2034"/>
      <c r="G1" s="2034"/>
      <c r="H1" s="2034"/>
      <c r="I1" s="2034"/>
      <c r="J1" s="2034"/>
      <c r="K1" s="2034"/>
      <c r="L1" s="2034"/>
      <c r="M1" s="2034"/>
      <c r="N1"/>
      <c r="O1"/>
    </row>
    <row r="2" spans="1:15" ht="23.25" customHeight="1">
      <c r="A2" s="502" t="s">
        <v>177</v>
      </c>
      <c r="B2" s="495">
        <v>2007</v>
      </c>
      <c r="C2" s="495">
        <v>2008</v>
      </c>
      <c r="D2" s="495">
        <v>2009</v>
      </c>
      <c r="E2" s="495">
        <v>2010</v>
      </c>
      <c r="F2" s="495">
        <v>2011</v>
      </c>
      <c r="G2" s="495" t="s">
        <v>489</v>
      </c>
      <c r="H2" s="495" t="s">
        <v>597</v>
      </c>
      <c r="I2" s="495" t="s">
        <v>598</v>
      </c>
      <c r="J2" s="495" t="s">
        <v>1008</v>
      </c>
      <c r="K2" s="778" t="s">
        <v>978</v>
      </c>
      <c r="L2" s="169"/>
      <c r="N2"/>
    </row>
    <row r="3" spans="1:15" ht="19.5" customHeight="1">
      <c r="A3" s="503" t="s">
        <v>208</v>
      </c>
      <c r="B3" s="493">
        <v>2756085890.3800001</v>
      </c>
      <c r="C3" s="493">
        <v>12262043622.240002</v>
      </c>
      <c r="D3" s="494">
        <v>14997271060.829998</v>
      </c>
      <c r="E3" s="494">
        <v>20037998054.760002</v>
      </c>
      <c r="F3" s="494">
        <v>22215656750.489998</v>
      </c>
      <c r="G3" s="494">
        <v>25323798457.93</v>
      </c>
      <c r="H3" s="494">
        <v>27866096681.57</v>
      </c>
      <c r="I3" s="494">
        <v>31167111771.200001</v>
      </c>
      <c r="J3" s="1753">
        <f>29706194046.4+1583567235.24</f>
        <v>31289761281.640003</v>
      </c>
      <c r="K3" s="779">
        <f>SUM(B3:J3)</f>
        <v>187915823571.04004</v>
      </c>
      <c r="L3" s="169"/>
      <c r="N3" s="156"/>
      <c r="O3" s="173"/>
    </row>
    <row r="4" spans="1:15" ht="17.25">
      <c r="A4" s="503" t="s">
        <v>102</v>
      </c>
      <c r="B4" s="493">
        <v>71139452</v>
      </c>
      <c r="C4" s="493">
        <v>245511975</v>
      </c>
      <c r="D4" s="494">
        <v>83348568.400000006</v>
      </c>
      <c r="E4" s="494">
        <v>0</v>
      </c>
      <c r="F4" s="494">
        <v>149163844</v>
      </c>
      <c r="G4" s="494">
        <v>182825831.59999999</v>
      </c>
      <c r="H4" s="494">
        <v>213705747.60000002</v>
      </c>
      <c r="I4" s="494">
        <v>260908691.69999999</v>
      </c>
      <c r="J4" s="1753">
        <v>309848380.5</v>
      </c>
      <c r="K4" s="779">
        <f>SUM(B4:J4)</f>
        <v>1516452490.8</v>
      </c>
      <c r="L4" s="81"/>
      <c r="M4" s="47"/>
      <c r="N4" s="156"/>
      <c r="O4" s="156"/>
    </row>
    <row r="5" spans="1:15" ht="17.25">
      <c r="A5" s="503" t="s">
        <v>103</v>
      </c>
      <c r="B5" s="493">
        <v>0</v>
      </c>
      <c r="C5" s="493">
        <v>283848938.23000002</v>
      </c>
      <c r="D5" s="494">
        <v>717406862.31000018</v>
      </c>
      <c r="E5" s="494">
        <v>958993042.63</v>
      </c>
      <c r="F5" s="494">
        <v>1126433498.0599999</v>
      </c>
      <c r="G5" s="494">
        <v>1222112428.3699999</v>
      </c>
      <c r="H5" s="494">
        <v>1358265601.1399999</v>
      </c>
      <c r="I5" s="494">
        <v>1556233315.7999997</v>
      </c>
      <c r="J5" s="1753">
        <v>1527993475.52</v>
      </c>
      <c r="K5" s="779">
        <f>SUM(B5:J5)</f>
        <v>8751287162.0599995</v>
      </c>
      <c r="L5" s="81"/>
      <c r="M5" s="47"/>
      <c r="N5" s="156"/>
      <c r="O5"/>
    </row>
    <row r="6" spans="1:15" ht="17.25">
      <c r="A6" s="503" t="s">
        <v>104</v>
      </c>
      <c r="B6" s="493">
        <v>0</v>
      </c>
      <c r="C6" s="493">
        <v>38720972.609999999</v>
      </c>
      <c r="D6" s="494">
        <v>121903634.47</v>
      </c>
      <c r="E6" s="494">
        <v>138388657.69999999</v>
      </c>
      <c r="F6" s="494">
        <v>155182686.03</v>
      </c>
      <c r="G6" s="494">
        <v>171240027.52000004</v>
      </c>
      <c r="H6" s="494">
        <v>190492244.19999999</v>
      </c>
      <c r="I6" s="494">
        <v>215918628.93000001</v>
      </c>
      <c r="J6" s="1753">
        <v>220941146.91</v>
      </c>
      <c r="K6" s="779">
        <f>SUM(B6:J6)</f>
        <v>1252787998.3700001</v>
      </c>
      <c r="L6" s="81"/>
      <c r="M6" s="47"/>
      <c r="N6" s="156"/>
      <c r="O6"/>
    </row>
    <row r="7" spans="1:15" ht="17.25">
      <c r="A7" s="503" t="s">
        <v>141</v>
      </c>
      <c r="B7" s="493">
        <v>0</v>
      </c>
      <c r="C7" s="493">
        <v>0</v>
      </c>
      <c r="D7" s="494">
        <v>16656000</v>
      </c>
      <c r="E7" s="494">
        <v>68030000</v>
      </c>
      <c r="F7" s="494">
        <v>168385579.84999999</v>
      </c>
      <c r="G7" s="494">
        <v>182376500</v>
      </c>
      <c r="H7" s="494">
        <v>215786255.86000001</v>
      </c>
      <c r="I7" s="494">
        <v>262429320</v>
      </c>
      <c r="J7" s="1753">
        <v>265474840</v>
      </c>
      <c r="K7" s="779">
        <f>SUM(B7:J7)</f>
        <v>1179138495.71</v>
      </c>
      <c r="L7" s="81"/>
      <c r="M7" s="47"/>
      <c r="N7" s="156"/>
      <c r="O7"/>
    </row>
    <row r="8" spans="1:15" s="776" customFormat="1" ht="18" customHeight="1">
      <c r="A8" s="504" t="s">
        <v>41</v>
      </c>
      <c r="B8" s="496">
        <f t="shared" ref="B8:J8" si="0">SUM(B3:B7)</f>
        <v>2827225342.3800001</v>
      </c>
      <c r="C8" s="496">
        <f t="shared" si="0"/>
        <v>12830125508.080002</v>
      </c>
      <c r="D8" s="496">
        <f t="shared" si="0"/>
        <v>15936586126.009996</v>
      </c>
      <c r="E8" s="496">
        <f t="shared" si="0"/>
        <v>21203409755.090004</v>
      </c>
      <c r="F8" s="496">
        <f t="shared" si="0"/>
        <v>23814822358.429996</v>
      </c>
      <c r="G8" s="496">
        <f t="shared" si="0"/>
        <v>27082353245.419998</v>
      </c>
      <c r="H8" s="496">
        <f t="shared" si="0"/>
        <v>29844346530.369999</v>
      </c>
      <c r="I8" s="496">
        <f t="shared" si="0"/>
        <v>33462601727.630001</v>
      </c>
      <c r="J8" s="496">
        <f t="shared" si="0"/>
        <v>33614019124.570004</v>
      </c>
      <c r="K8" s="491">
        <f>SUM(K3:K7)</f>
        <v>200615489717.98001</v>
      </c>
      <c r="L8" s="492"/>
      <c r="N8" s="156"/>
      <c r="O8"/>
    </row>
    <row r="9" spans="1:15" ht="30" customHeight="1">
      <c r="A9" s="2127" t="s">
        <v>1031</v>
      </c>
      <c r="B9" s="2127"/>
      <c r="C9" s="2127"/>
      <c r="D9" s="2127"/>
      <c r="E9" s="2127"/>
      <c r="F9" s="2127"/>
      <c r="G9" s="2127"/>
      <c r="H9" s="2127"/>
      <c r="I9" s="2127"/>
      <c r="J9" s="2127"/>
      <c r="K9" s="2127"/>
      <c r="N9" s="1682"/>
      <c r="O9" s="1355"/>
    </row>
    <row r="10" spans="1:15" ht="15.75">
      <c r="B10" s="107"/>
      <c r="C10" s="107"/>
      <c r="D10" s="107"/>
      <c r="E10" s="107"/>
      <c r="F10" s="107"/>
      <c r="G10" s="107"/>
      <c r="H10" s="107"/>
      <c r="I10" s="107"/>
      <c r="J10" s="107"/>
      <c r="L10" s="107"/>
      <c r="M10" s="107"/>
      <c r="N10" s="1682"/>
      <c r="O10" s="1354"/>
    </row>
    <row r="11" spans="1:15" ht="18">
      <c r="B11" s="107"/>
      <c r="C11" s="1198"/>
      <c r="D11" s="107"/>
      <c r="E11" s="107"/>
      <c r="F11" s="107"/>
      <c r="G11" s="107"/>
      <c r="H11" s="107"/>
      <c r="I11" s="107"/>
      <c r="J11" s="107"/>
      <c r="K11" s="107"/>
      <c r="L11" s="107"/>
      <c r="M11" s="107"/>
      <c r="N11"/>
      <c r="O11" s="1355"/>
    </row>
    <row r="12" spans="1:15" ht="18">
      <c r="B12" s="107"/>
      <c r="C12" s="1198"/>
      <c r="D12" s="107"/>
      <c r="E12" s="107"/>
      <c r="F12" s="107"/>
      <c r="G12" s="107"/>
      <c r="H12" s="107"/>
      <c r="I12" s="107"/>
      <c r="J12" s="107"/>
      <c r="K12" s="107"/>
      <c r="L12" s="107"/>
      <c r="M12" s="107"/>
      <c r="N12"/>
      <c r="O12" s="144"/>
    </row>
    <row r="13" spans="1:15" ht="21">
      <c r="B13" s="107"/>
      <c r="C13" s="1198"/>
      <c r="D13" s="29"/>
      <c r="E13" s="107"/>
      <c r="F13" s="107"/>
      <c r="G13" s="107"/>
      <c r="H13" s="107"/>
      <c r="I13" s="107"/>
      <c r="J13" s="107"/>
      <c r="K13" s="1097"/>
      <c r="L13" s="107"/>
      <c r="M13" s="107"/>
      <c r="N13"/>
      <c r="O13"/>
    </row>
    <row r="14" spans="1:15" ht="18">
      <c r="B14" s="107"/>
      <c r="C14" s="1198"/>
      <c r="D14" s="29"/>
      <c r="E14" s="29"/>
      <c r="F14" s="107"/>
      <c r="G14" s="107"/>
      <c r="H14" s="107"/>
      <c r="I14" s="107"/>
      <c r="J14" s="107"/>
      <c r="K14" s="29"/>
      <c r="L14" s="29"/>
      <c r="M14" s="29"/>
      <c r="N14"/>
      <c r="O14"/>
    </row>
    <row r="15" spans="1:15" ht="18">
      <c r="B15" s="107"/>
      <c r="C15" s="1198"/>
      <c r="D15" s="29"/>
      <c r="E15" s="29"/>
      <c r="F15" s="107"/>
      <c r="G15" s="107"/>
      <c r="H15" s="107"/>
      <c r="I15" s="107"/>
      <c r="J15" s="107"/>
      <c r="K15" s="29"/>
      <c r="L15" s="29"/>
      <c r="M15" s="29"/>
      <c r="N15"/>
      <c r="O15"/>
    </row>
    <row r="16" spans="1:15" ht="18">
      <c r="B16" s="107"/>
      <c r="C16" s="1198"/>
      <c r="D16" s="29"/>
      <c r="E16" s="29"/>
      <c r="F16" s="107"/>
      <c r="G16" s="107"/>
      <c r="H16" s="107"/>
      <c r="I16" s="107"/>
      <c r="J16" s="107"/>
      <c r="K16" s="29"/>
      <c r="L16" s="29"/>
      <c r="M16" s="29"/>
      <c r="N16"/>
      <c r="O16" s="815"/>
    </row>
    <row r="17" spans="2:15" ht="18">
      <c r="B17" s="107"/>
      <c r="C17" s="1198"/>
      <c r="D17" s="29"/>
      <c r="E17" s="29"/>
      <c r="F17" s="107"/>
      <c r="G17" s="107"/>
      <c r="H17" s="107"/>
      <c r="I17" s="107"/>
      <c r="J17" s="107"/>
      <c r="K17" s="29"/>
      <c r="L17" s="29"/>
      <c r="M17" s="29"/>
      <c r="N17"/>
      <c r="O17"/>
    </row>
    <row r="18" spans="2:15" ht="18">
      <c r="B18" s="107"/>
      <c r="C18" s="1198"/>
      <c r="D18" s="29"/>
      <c r="E18" s="29"/>
      <c r="F18" s="29"/>
      <c r="G18" s="29"/>
      <c r="H18" s="29"/>
      <c r="I18" s="29"/>
      <c r="J18" s="29"/>
      <c r="K18" s="29"/>
      <c r="L18" s="29"/>
      <c r="M18" s="29"/>
      <c r="N18"/>
      <c r="O18"/>
    </row>
    <row r="19" spans="2:15" ht="18">
      <c r="B19" s="107"/>
      <c r="C19" s="1198"/>
      <c r="D19" s="29"/>
      <c r="E19" s="29"/>
      <c r="F19" s="29"/>
      <c r="G19" s="29"/>
      <c r="H19" s="29"/>
      <c r="I19" s="29"/>
      <c r="J19" s="29"/>
      <c r="K19" s="29"/>
      <c r="L19" s="29"/>
      <c r="M19" s="29"/>
      <c r="N19"/>
      <c r="O19"/>
    </row>
    <row r="20" spans="2:15">
      <c r="B20" s="29"/>
      <c r="C20" s="29"/>
      <c r="D20" s="29"/>
      <c r="E20" s="29"/>
      <c r="F20" s="29"/>
      <c r="G20" s="29"/>
      <c r="H20" s="29"/>
      <c r="I20" s="29"/>
      <c r="J20" s="29"/>
      <c r="K20" s="29"/>
      <c r="L20" s="29"/>
      <c r="M20" s="29"/>
      <c r="N20"/>
      <c r="O20"/>
    </row>
    <row r="21" spans="2:15">
      <c r="B21" s="29"/>
      <c r="C21" s="29"/>
      <c r="D21" s="29"/>
      <c r="E21" s="29"/>
      <c r="F21" s="29"/>
      <c r="G21" s="29"/>
      <c r="H21" s="29"/>
      <c r="I21" s="29"/>
      <c r="J21" s="29"/>
      <c r="K21" s="29"/>
      <c r="L21" s="29"/>
      <c r="M21" s="29"/>
      <c r="N21"/>
      <c r="O21"/>
    </row>
    <row r="22" spans="2:15">
      <c r="B22" s="29"/>
      <c r="C22" s="29"/>
      <c r="D22" s="29"/>
      <c r="E22" s="29"/>
      <c r="F22" s="29"/>
      <c r="G22" s="29"/>
      <c r="H22" s="29"/>
      <c r="I22" s="29"/>
      <c r="J22" s="29"/>
      <c r="K22" s="29"/>
      <c r="L22" s="29"/>
      <c r="M22" s="29"/>
      <c r="N22"/>
      <c r="O22"/>
    </row>
    <row r="23" spans="2:15">
      <c r="B23" s="29"/>
      <c r="C23" s="29"/>
      <c r="D23" s="29"/>
      <c r="E23" s="29"/>
      <c r="F23" s="29"/>
      <c r="G23" s="29"/>
      <c r="H23" s="29"/>
      <c r="I23" s="29"/>
      <c r="J23" s="29"/>
      <c r="K23" s="29"/>
      <c r="L23" s="29"/>
      <c r="M23" s="29"/>
      <c r="N23"/>
      <c r="O23"/>
    </row>
    <row r="24" spans="2:15">
      <c r="B24" s="29"/>
      <c r="C24" s="29"/>
      <c r="D24" s="29"/>
      <c r="E24" s="29"/>
      <c r="F24" s="29"/>
      <c r="G24" s="29"/>
      <c r="H24" s="29"/>
      <c r="I24" s="29"/>
      <c r="J24" s="29"/>
      <c r="K24" s="29"/>
      <c r="L24" s="29"/>
      <c r="M24" s="29"/>
      <c r="N24"/>
      <c r="O24"/>
    </row>
    <row r="25" spans="2:15">
      <c r="B25" s="29"/>
      <c r="C25" s="29"/>
      <c r="D25" s="29"/>
      <c r="E25" s="29"/>
      <c r="F25" s="29"/>
      <c r="G25" s="29"/>
      <c r="H25" s="29"/>
      <c r="I25" s="29"/>
      <c r="J25" s="29"/>
      <c r="K25" s="29"/>
      <c r="L25" s="29"/>
      <c r="M25" s="29"/>
      <c r="N25"/>
      <c r="O25"/>
    </row>
    <row r="26" spans="2:15">
      <c r="B26" s="29"/>
      <c r="C26" s="29"/>
      <c r="D26" s="29"/>
      <c r="E26" s="29"/>
      <c r="F26" s="29"/>
      <c r="G26" s="29"/>
      <c r="H26" s="29"/>
      <c r="I26" s="29"/>
      <c r="J26" s="29"/>
      <c r="K26" s="29"/>
      <c r="L26" s="29"/>
      <c r="M26" s="29"/>
      <c r="N26" s="777"/>
      <c r="O26" s="777"/>
    </row>
    <row r="27" spans="2:15">
      <c r="B27" s="107"/>
      <c r="C27" s="107"/>
      <c r="D27" s="107"/>
      <c r="E27" s="107"/>
      <c r="F27" s="107"/>
      <c r="G27" s="107"/>
      <c r="H27" s="107"/>
      <c r="I27" s="107"/>
      <c r="J27" s="107"/>
      <c r="K27" s="107"/>
      <c r="L27" s="107"/>
      <c r="M27" s="107"/>
    </row>
    <row r="28" spans="2:15">
      <c r="B28" s="107"/>
      <c r="C28" s="107"/>
      <c r="D28" s="107"/>
      <c r="E28" s="107"/>
      <c r="F28" s="107"/>
      <c r="G28" s="107"/>
      <c r="H28" s="107"/>
      <c r="I28" s="107"/>
      <c r="J28" s="107"/>
      <c r="K28" s="107"/>
      <c r="L28" s="107"/>
      <c r="M28" s="107"/>
    </row>
    <row r="29" spans="2:15">
      <c r="B29" s="107"/>
      <c r="C29" s="107"/>
      <c r="D29" s="107"/>
      <c r="E29" s="107"/>
      <c r="F29" s="107"/>
      <c r="G29" s="107"/>
      <c r="H29" s="107"/>
      <c r="I29" s="107"/>
      <c r="J29" s="107"/>
      <c r="K29" s="107"/>
      <c r="L29" s="107"/>
      <c r="M29" s="107"/>
    </row>
    <row r="30" spans="2:15">
      <c r="B30" s="107"/>
      <c r="C30" s="107"/>
      <c r="D30" s="107"/>
      <c r="E30" s="107"/>
      <c r="F30" s="107"/>
      <c r="G30" s="107"/>
      <c r="H30" s="107"/>
      <c r="I30" s="107"/>
      <c r="J30" s="107"/>
      <c r="K30" s="107"/>
      <c r="L30" s="107"/>
      <c r="M30" s="107"/>
    </row>
    <row r="31" spans="2:15">
      <c r="B31" s="107"/>
      <c r="C31" s="107"/>
      <c r="D31" s="107"/>
      <c r="E31" s="107"/>
      <c r="F31" s="107"/>
      <c r="G31" s="107"/>
      <c r="H31" s="107"/>
      <c r="I31" s="107"/>
      <c r="J31" s="107"/>
      <c r="K31" s="107"/>
      <c r="L31" s="107"/>
      <c r="M31" s="107"/>
    </row>
    <row r="32" spans="2:15">
      <c r="B32" s="107"/>
      <c r="C32" s="107"/>
      <c r="D32" s="107"/>
      <c r="E32" s="107"/>
      <c r="F32" s="107"/>
      <c r="G32" s="107"/>
      <c r="H32" s="107"/>
      <c r="I32" s="107"/>
      <c r="J32" s="107"/>
      <c r="K32" s="107"/>
      <c r="L32" s="107"/>
      <c r="M32" s="107"/>
    </row>
    <row r="33" spans="2:13">
      <c r="B33" s="107"/>
      <c r="C33" s="107"/>
      <c r="D33" s="107"/>
      <c r="E33" s="107"/>
      <c r="F33" s="107"/>
      <c r="G33" s="107"/>
      <c r="H33" s="107"/>
      <c r="I33" s="107"/>
      <c r="J33" s="107"/>
      <c r="K33" s="107"/>
      <c r="L33" s="107"/>
      <c r="M33" s="107"/>
    </row>
    <row r="34" spans="2:13">
      <c r="B34" s="107"/>
      <c r="C34" s="107"/>
      <c r="D34" s="107"/>
      <c r="E34" s="107"/>
      <c r="F34" s="107"/>
      <c r="G34" s="107"/>
      <c r="H34" s="107"/>
      <c r="I34" s="107"/>
      <c r="J34" s="107"/>
      <c r="K34" s="107"/>
      <c r="L34" s="107"/>
      <c r="M34" s="107"/>
    </row>
    <row r="35" spans="2:13">
      <c r="B35" s="107"/>
      <c r="C35" s="107"/>
      <c r="D35" s="107"/>
      <c r="E35" s="107"/>
      <c r="F35" s="107"/>
      <c r="G35" s="107"/>
      <c r="H35" s="107"/>
      <c r="I35" s="107"/>
      <c r="J35" s="107"/>
      <c r="K35" s="107"/>
      <c r="L35" s="107"/>
      <c r="M35" s="107"/>
    </row>
    <row r="36" spans="2:13">
      <c r="B36" s="107"/>
      <c r="C36" s="107"/>
      <c r="D36" s="107"/>
      <c r="E36" s="107"/>
      <c r="F36" s="107"/>
      <c r="G36" s="107"/>
      <c r="H36" s="107"/>
      <c r="I36" s="107"/>
      <c r="J36" s="107"/>
      <c r="K36" s="107"/>
      <c r="L36" s="107"/>
      <c r="M36" s="107"/>
    </row>
    <row r="37" spans="2:13">
      <c r="B37" s="107"/>
      <c r="C37" s="107"/>
      <c r="D37" s="107"/>
      <c r="E37" s="107"/>
      <c r="F37" s="107"/>
      <c r="G37" s="107"/>
      <c r="H37" s="107"/>
      <c r="I37" s="107"/>
      <c r="J37" s="107"/>
      <c r="K37" s="107"/>
      <c r="L37" s="107"/>
      <c r="M37" s="107"/>
    </row>
    <row r="38" spans="2:13">
      <c r="B38" s="107"/>
      <c r="C38" s="107"/>
      <c r="D38" s="107"/>
      <c r="E38" s="107"/>
      <c r="F38" s="107"/>
      <c r="G38" s="107"/>
      <c r="H38" s="107"/>
      <c r="I38" s="107"/>
      <c r="J38" s="107"/>
      <c r="K38" s="107"/>
      <c r="L38" s="107"/>
      <c r="M38" s="107"/>
    </row>
  </sheetData>
  <mergeCells count="2">
    <mergeCell ref="A1:M1"/>
    <mergeCell ref="A9:K9"/>
  </mergeCells>
  <printOptions horizontalCentered="1" verticalCentered="1"/>
  <pageMargins left="0.4" right="0.4" top="0.25" bottom="0.25" header="0.31496062992126" footer="0.31496062992126"/>
  <pageSetup scale="47" orientation="landscape" r:id="rId1"/>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1">
    <tabColor rgb="FF00B0F0"/>
  </sheetPr>
  <dimension ref="A1:X355"/>
  <sheetViews>
    <sheetView showGridLines="0" view="pageBreakPreview" zoomScale="70" zoomScaleNormal="55" zoomScaleSheetLayoutView="70" workbookViewId="0">
      <selection activeCell="A3" sqref="A3"/>
    </sheetView>
  </sheetViews>
  <sheetFormatPr baseColWidth="10" defaultColWidth="11.5703125" defaultRowHeight="18"/>
  <cols>
    <col min="1" max="1" width="14.85546875" customWidth="1"/>
    <col min="2" max="2" width="21.42578125" customWidth="1"/>
    <col min="3" max="3" width="20" style="77" customWidth="1"/>
    <col min="4" max="4" width="20.7109375" customWidth="1"/>
    <col min="5" max="5" width="20.5703125" customWidth="1"/>
    <col min="6" max="6" width="20.7109375" customWidth="1"/>
    <col min="7" max="7" width="20.7109375" style="77" customWidth="1"/>
    <col min="8" max="8" width="21.85546875" customWidth="1"/>
    <col min="9" max="10" width="21.28515625" style="77" customWidth="1"/>
    <col min="11" max="11" width="26.28515625" customWidth="1"/>
    <col min="12" max="12" width="18.5703125" bestFit="1" customWidth="1"/>
    <col min="13" max="13" width="20.140625" customWidth="1"/>
    <col min="14" max="14" width="25.7109375" style="41" bestFit="1" customWidth="1"/>
    <col min="15" max="15" width="21.28515625" style="41" bestFit="1" customWidth="1"/>
    <col min="16" max="17" width="29.28515625" style="41" bestFit="1" customWidth="1"/>
    <col min="18" max="18" width="21.140625" style="41" customWidth="1"/>
    <col min="19" max="19" width="22" style="41" customWidth="1"/>
    <col min="20" max="20" width="22.7109375" style="41" bestFit="1" customWidth="1"/>
    <col min="21" max="21" width="21.28515625" style="40" bestFit="1" customWidth="1"/>
    <col min="22" max="22" width="22.140625" style="40" bestFit="1" customWidth="1"/>
    <col min="23" max="23" width="22.85546875" style="40" bestFit="1" customWidth="1"/>
  </cols>
  <sheetData>
    <row r="1" spans="1:24" ht="87.75" customHeight="1">
      <c r="A1" s="2128"/>
      <c r="B1" s="2128"/>
      <c r="C1" s="2128"/>
      <c r="D1" s="2128"/>
      <c r="E1" s="2128"/>
      <c r="F1" s="2128"/>
      <c r="G1" s="2128"/>
      <c r="H1" s="2128"/>
      <c r="I1" s="2128"/>
      <c r="J1" s="2128"/>
      <c r="K1" s="2128"/>
    </row>
    <row r="2" spans="1:24" s="39" customFormat="1" ht="6" customHeight="1">
      <c r="A2" s="179"/>
      <c r="B2" s="179"/>
      <c r="C2" s="179"/>
      <c r="D2" s="179"/>
      <c r="E2" s="179"/>
      <c r="F2" s="179"/>
      <c r="G2" s="1281"/>
      <c r="H2" s="179"/>
      <c r="I2" s="179"/>
      <c r="J2" s="179"/>
      <c r="K2" s="179"/>
      <c r="N2" s="189"/>
      <c r="O2" s="189"/>
      <c r="P2" s="189"/>
      <c r="Q2" s="189"/>
      <c r="R2" s="189"/>
      <c r="S2" s="189"/>
      <c r="T2" s="189"/>
      <c r="U2" s="190"/>
      <c r="V2" s="190"/>
      <c r="W2" s="190"/>
    </row>
    <row r="3" spans="1:24" ht="38.25" customHeight="1">
      <c r="A3" s="1754" t="s">
        <v>979</v>
      </c>
      <c r="B3" s="1756" t="s">
        <v>980</v>
      </c>
      <c r="C3" s="1756" t="s">
        <v>981</v>
      </c>
      <c r="D3" s="1756" t="s">
        <v>982</v>
      </c>
      <c r="E3" s="1756" t="s">
        <v>983</v>
      </c>
      <c r="F3" s="1756" t="s">
        <v>984</v>
      </c>
      <c r="G3" s="1756" t="s">
        <v>985</v>
      </c>
      <c r="H3" s="511" t="s">
        <v>153</v>
      </c>
      <c r="I3" s="512"/>
      <c r="J3" s="512"/>
      <c r="K3" s="22"/>
      <c r="L3" s="22"/>
      <c r="N3"/>
      <c r="O3" s="40"/>
      <c r="P3" s="40"/>
      <c r="Q3" s="40"/>
      <c r="R3" s="40"/>
      <c r="S3" s="40"/>
      <c r="T3" s="40"/>
      <c r="X3" s="40"/>
    </row>
    <row r="4" spans="1:24" s="77" customFormat="1">
      <c r="A4" s="1757">
        <v>41957</v>
      </c>
      <c r="B4" s="1755">
        <v>2675404983.6300001</v>
      </c>
      <c r="C4" s="1755">
        <v>22622574</v>
      </c>
      <c r="D4" s="1755">
        <v>129397014.25</v>
      </c>
      <c r="E4" s="1755">
        <v>18490936.91</v>
      </c>
      <c r="F4" s="1755">
        <v>15756000</v>
      </c>
      <c r="G4" s="1763" t="s">
        <v>986</v>
      </c>
      <c r="H4" s="1758">
        <f t="shared" ref="H4:H16" si="0">SUM(B4:G4)</f>
        <v>2861671508.79</v>
      </c>
      <c r="I4" s="513"/>
      <c r="J4" s="513"/>
      <c r="K4" s="94"/>
      <c r="L4" s="94"/>
      <c r="O4" s="40"/>
      <c r="P4" s="40"/>
      <c r="Q4" s="40"/>
      <c r="R4" s="40"/>
      <c r="S4" s="40"/>
      <c r="T4" s="40"/>
      <c r="U4" s="40"/>
      <c r="V4" s="40"/>
      <c r="W4" s="40"/>
      <c r="X4" s="40"/>
    </row>
    <row r="5" spans="1:24" s="77" customFormat="1">
      <c r="A5" s="1757">
        <v>41987</v>
      </c>
      <c r="B5" s="1755">
        <v>2695428414.4200001</v>
      </c>
      <c r="C5" s="1755">
        <v>22553880</v>
      </c>
      <c r="D5" s="1755">
        <v>133971069.88</v>
      </c>
      <c r="E5" s="1755">
        <v>19457072.02</v>
      </c>
      <c r="F5" s="1755">
        <v>14748000</v>
      </c>
      <c r="G5" s="1763" t="s">
        <v>986</v>
      </c>
      <c r="H5" s="1758">
        <f t="shared" si="0"/>
        <v>2886158436.3200002</v>
      </c>
      <c r="I5" s="513"/>
      <c r="J5" s="513"/>
      <c r="K5" s="94"/>
      <c r="L5" s="94"/>
      <c r="O5" s="40"/>
      <c r="P5" s="40"/>
      <c r="Q5" s="40"/>
      <c r="R5" s="40"/>
      <c r="S5" s="40"/>
      <c r="T5" s="40"/>
      <c r="U5" s="40"/>
      <c r="V5" s="40"/>
      <c r="W5" s="40"/>
      <c r="X5" s="40"/>
    </row>
    <row r="6" spans="1:24" s="77" customFormat="1">
      <c r="A6" s="1757">
        <v>42019</v>
      </c>
      <c r="B6" s="1755">
        <v>2706090096.8499999</v>
      </c>
      <c r="C6" s="1755">
        <v>26935035</v>
      </c>
      <c r="D6" s="1755">
        <v>128685947.84999999</v>
      </c>
      <c r="E6" s="1755">
        <v>18409106.789999999</v>
      </c>
      <c r="F6" s="1755">
        <v>14816000</v>
      </c>
      <c r="G6" s="1763" t="s">
        <v>986</v>
      </c>
      <c r="H6" s="1758">
        <f t="shared" si="0"/>
        <v>2894936186.4899998</v>
      </c>
      <c r="I6" s="513"/>
      <c r="J6" s="513"/>
      <c r="K6" s="94"/>
      <c r="L6" s="94"/>
      <c r="O6" s="40"/>
      <c r="P6" s="40"/>
      <c r="Q6" s="40"/>
      <c r="R6" s="40"/>
      <c r="S6" s="40"/>
      <c r="T6" s="40"/>
      <c r="U6" s="40"/>
      <c r="V6" s="40"/>
      <c r="W6" s="40"/>
      <c r="X6" s="40"/>
    </row>
    <row r="7" spans="1:24" s="77" customFormat="1">
      <c r="A7" s="1757">
        <v>42050</v>
      </c>
      <c r="B7" s="1755">
        <v>2715305476.3699999</v>
      </c>
      <c r="C7" s="1755">
        <v>27413422.5</v>
      </c>
      <c r="D7" s="1755">
        <v>131476627.64</v>
      </c>
      <c r="E7" s="1755">
        <v>18908389.609999999</v>
      </c>
      <c r="F7" s="1755">
        <v>14174000</v>
      </c>
      <c r="G7" s="1763" t="s">
        <v>986</v>
      </c>
      <c r="H7" s="1758">
        <f t="shared" si="0"/>
        <v>2907277916.1199999</v>
      </c>
      <c r="I7" s="513"/>
      <c r="J7" s="513"/>
      <c r="K7" s="94"/>
      <c r="L7" s="94"/>
      <c r="O7" s="40"/>
      <c r="P7" s="40"/>
      <c r="Q7" s="40"/>
      <c r="R7" s="40"/>
      <c r="S7" s="40"/>
      <c r="T7" s="40"/>
      <c r="U7" s="40"/>
      <c r="V7" s="40"/>
      <c r="W7" s="40"/>
      <c r="X7" s="40"/>
    </row>
    <row r="8" spans="1:24" s="77" customFormat="1">
      <c r="A8" s="1757">
        <v>42078</v>
      </c>
      <c r="B8" s="1755">
        <v>2770375708.0900002</v>
      </c>
      <c r="C8" s="1755">
        <v>27668746.5</v>
      </c>
      <c r="D8" s="1755">
        <v>138467247.25</v>
      </c>
      <c r="E8" s="1755">
        <v>19882626.829999998</v>
      </c>
      <c r="F8" s="1755">
        <v>13972000</v>
      </c>
      <c r="G8" s="1763" t="s">
        <v>986</v>
      </c>
      <c r="H8" s="1758">
        <f t="shared" si="0"/>
        <v>2970366328.6700001</v>
      </c>
      <c r="I8" s="513"/>
      <c r="J8" s="513"/>
      <c r="K8" s="94"/>
      <c r="L8" s="94"/>
      <c r="O8" s="40"/>
      <c r="P8" s="40"/>
      <c r="Q8" s="40"/>
      <c r="R8" s="40"/>
      <c r="S8" s="40"/>
      <c r="T8" s="40"/>
      <c r="U8" s="40"/>
      <c r="V8" s="40"/>
      <c r="W8" s="40"/>
      <c r="X8" s="40"/>
    </row>
    <row r="9" spans="1:24" s="77" customFormat="1">
      <c r="A9" s="1757">
        <v>42109</v>
      </c>
      <c r="B9" s="1755">
        <v>2783474943.29</v>
      </c>
      <c r="C9" s="1755">
        <v>28317622.5</v>
      </c>
      <c r="D9" s="1755">
        <v>134538299.06</v>
      </c>
      <c r="E9" s="1755">
        <v>19553715.449999999</v>
      </c>
      <c r="F9" s="1755">
        <v>11500000</v>
      </c>
      <c r="G9" s="1763">
        <v>38440452</v>
      </c>
      <c r="H9" s="1758">
        <f t="shared" si="0"/>
        <v>3015825032.2999997</v>
      </c>
      <c r="I9" s="513"/>
      <c r="J9" s="513"/>
      <c r="K9" s="94"/>
      <c r="L9" s="94"/>
      <c r="O9" s="40"/>
      <c r="P9" s="40"/>
      <c r="Q9" s="40"/>
      <c r="R9" s="40"/>
      <c r="S9" s="40"/>
      <c r="T9" s="40"/>
      <c r="U9" s="40"/>
      <c r="V9" s="40"/>
      <c r="W9" s="40"/>
      <c r="X9" s="40"/>
    </row>
    <row r="10" spans="1:24" s="77" customFormat="1">
      <c r="A10" s="1757">
        <v>42139</v>
      </c>
      <c r="B10" s="1755">
        <v>2799017569.7600002</v>
      </c>
      <c r="C10" s="1755">
        <v>28285198.5</v>
      </c>
      <c r="D10" s="1755">
        <v>136303790.02000001</v>
      </c>
      <c r="E10" s="1755">
        <v>19771677.609999999</v>
      </c>
      <c r="F10" s="1755">
        <v>11478000</v>
      </c>
      <c r="G10" s="1763">
        <v>12813484</v>
      </c>
      <c r="H10" s="1758">
        <f t="shared" si="0"/>
        <v>3007669719.8900003</v>
      </c>
      <c r="I10" s="513"/>
      <c r="J10" s="513"/>
      <c r="K10" s="94"/>
      <c r="L10" s="94"/>
      <c r="O10" s="40"/>
      <c r="P10" s="40"/>
      <c r="Q10" s="40"/>
      <c r="R10" s="40"/>
      <c r="S10" s="40"/>
      <c r="T10" s="40"/>
      <c r="U10" s="40"/>
      <c r="V10" s="40"/>
      <c r="W10" s="40"/>
      <c r="X10" s="40"/>
    </row>
    <row r="11" spans="1:24" s="77" customFormat="1">
      <c r="A11" s="1757">
        <v>42170</v>
      </c>
      <c r="B11" s="1755">
        <v>2808485248.3299999</v>
      </c>
      <c r="C11" s="1755">
        <v>28281892.5</v>
      </c>
      <c r="D11" s="1755">
        <v>145785015.66</v>
      </c>
      <c r="E11" s="1755">
        <v>20180806.620000001</v>
      </c>
      <c r="F11" s="1755">
        <v>11180000</v>
      </c>
      <c r="G11" s="1755">
        <v>12813484</v>
      </c>
      <c r="H11" s="1758">
        <f t="shared" si="0"/>
        <v>3026726447.1099997</v>
      </c>
      <c r="I11" s="513"/>
      <c r="J11" s="513"/>
      <c r="K11" s="94"/>
      <c r="L11" s="94"/>
      <c r="O11" s="40"/>
      <c r="P11" s="40"/>
      <c r="Q11" s="40"/>
      <c r="R11" s="40"/>
      <c r="S11" s="40"/>
      <c r="T11" s="40"/>
      <c r="U11" s="40"/>
      <c r="V11" s="40"/>
      <c r="W11" s="40"/>
      <c r="X11" s="40"/>
    </row>
    <row r="12" spans="1:24" s="77" customFormat="1">
      <c r="A12" s="1757">
        <v>42200</v>
      </c>
      <c r="B12" s="1755">
        <v>2813198539.2199998</v>
      </c>
      <c r="C12" s="1755">
        <v>28280568</v>
      </c>
      <c r="D12" s="1755">
        <v>142908166.75999999</v>
      </c>
      <c r="E12" s="1755">
        <v>20508504.91</v>
      </c>
      <c r="F12" s="1755">
        <v>11450000</v>
      </c>
      <c r="G12" s="1755">
        <v>12813484</v>
      </c>
      <c r="H12" s="1758">
        <f t="shared" si="0"/>
        <v>3029159262.8899994</v>
      </c>
      <c r="I12" s="513"/>
      <c r="J12" s="513"/>
      <c r="K12" s="94"/>
      <c r="L12" s="94"/>
      <c r="O12" s="40"/>
      <c r="P12" s="40"/>
      <c r="Q12" s="40"/>
      <c r="R12" s="40"/>
      <c r="S12" s="40"/>
      <c r="T12" s="40"/>
      <c r="U12" s="40"/>
      <c r="V12" s="40"/>
      <c r="W12" s="40"/>
      <c r="X12" s="40"/>
    </row>
    <row r="13" spans="1:24" s="77" customFormat="1">
      <c r="A13" s="1757">
        <v>42231</v>
      </c>
      <c r="B13" s="1755">
        <v>2830325804.3299999</v>
      </c>
      <c r="C13" s="1755">
        <v>28714021.5</v>
      </c>
      <c r="D13" s="1755">
        <v>138439463.38</v>
      </c>
      <c r="E13" s="1755">
        <v>20470315.219999999</v>
      </c>
      <c r="F13" s="1755">
        <v>12058000</v>
      </c>
      <c r="G13" s="1755">
        <v>12813484</v>
      </c>
      <c r="H13" s="1758">
        <f t="shared" si="0"/>
        <v>3042821088.4299998</v>
      </c>
      <c r="I13" s="513"/>
      <c r="J13" s="513"/>
      <c r="K13" s="94"/>
      <c r="L13" s="94"/>
      <c r="O13" s="40"/>
      <c r="P13" s="40"/>
      <c r="Q13" s="40"/>
      <c r="R13" s="40"/>
      <c r="S13" s="40"/>
      <c r="T13" s="40"/>
      <c r="U13" s="40"/>
      <c r="V13" s="40"/>
      <c r="W13" s="40"/>
      <c r="X13" s="40"/>
    </row>
    <row r="14" spans="1:24" s="77" customFormat="1">
      <c r="A14" s="1757">
        <v>42262</v>
      </c>
      <c r="B14" s="1755">
        <v>2820974591.46</v>
      </c>
      <c r="C14" s="1755">
        <v>28235092.5</v>
      </c>
      <c r="D14" s="1755">
        <v>142178850.41999999</v>
      </c>
      <c r="E14" s="1755">
        <v>20740592.91</v>
      </c>
      <c r="F14" s="1755">
        <v>12250000</v>
      </c>
      <c r="G14" s="1755" t="s">
        <v>986</v>
      </c>
      <c r="H14" s="1758">
        <f t="shared" si="0"/>
        <v>3024379127.29</v>
      </c>
      <c r="I14" s="513"/>
      <c r="J14" s="513"/>
      <c r="K14" s="94"/>
      <c r="L14" s="94"/>
      <c r="O14" s="40"/>
      <c r="P14" s="40"/>
      <c r="Q14" s="40"/>
      <c r="R14" s="40"/>
      <c r="S14" s="40"/>
      <c r="T14" s="40"/>
      <c r="U14" s="40"/>
      <c r="V14" s="40"/>
      <c r="W14" s="40"/>
      <c r="X14" s="40"/>
    </row>
    <row r="15" spans="1:24" s="1777" customFormat="1">
      <c r="A15" s="1757">
        <v>42292</v>
      </c>
      <c r="B15" s="1755">
        <v>2866567079.54</v>
      </c>
      <c r="C15" s="1755">
        <v>28659573</v>
      </c>
      <c r="D15" s="1755">
        <v>144117327.62</v>
      </c>
      <c r="E15" s="1755">
        <v>21184823.920000002</v>
      </c>
      <c r="F15" s="1755">
        <v>12362000</v>
      </c>
      <c r="G15" s="1755">
        <v>12813484</v>
      </c>
      <c r="H15" s="1758">
        <f t="shared" si="0"/>
        <v>3085704288.0799999</v>
      </c>
      <c r="I15" s="513"/>
      <c r="J15" s="513"/>
      <c r="K15" s="1769"/>
      <c r="L15" s="1769"/>
      <c r="O15" s="40"/>
      <c r="P15" s="40"/>
      <c r="Q15" s="40"/>
      <c r="R15" s="40"/>
      <c r="S15" s="40"/>
      <c r="T15" s="40"/>
      <c r="U15" s="40"/>
      <c r="V15" s="40"/>
      <c r="W15" s="40"/>
      <c r="X15" s="40"/>
    </row>
    <row r="16" spans="1:24" s="77" customFormat="1">
      <c r="A16" s="1766">
        <v>42323</v>
      </c>
      <c r="B16" s="1767">
        <f>3227732108.14+148214116.26</f>
        <v>3375946224.3999996</v>
      </c>
      <c r="C16" s="1767">
        <v>29057208</v>
      </c>
      <c r="D16" s="1767">
        <v>145092739.86000001</v>
      </c>
      <c r="E16" s="1767">
        <v>21330587.039999999</v>
      </c>
      <c r="F16" s="1767">
        <f>37726968-G16</f>
        <v>24913484</v>
      </c>
      <c r="G16" s="1767">
        <v>12813484</v>
      </c>
      <c r="H16" s="1768">
        <f t="shared" si="0"/>
        <v>3609153727.2999997</v>
      </c>
      <c r="I16" s="513"/>
      <c r="J16" s="513"/>
      <c r="K16" s="94"/>
      <c r="L16" s="94"/>
      <c r="O16" s="40"/>
      <c r="P16" s="40"/>
      <c r="Q16" s="40"/>
      <c r="R16" s="40"/>
      <c r="S16" s="40"/>
      <c r="T16" s="40"/>
      <c r="U16" s="40"/>
      <c r="V16" s="40"/>
      <c r="W16" s="40"/>
      <c r="X16" s="40"/>
    </row>
    <row r="17" spans="1:23" s="22" customFormat="1" ht="26.25" customHeight="1">
      <c r="A17" s="2129" t="s">
        <v>718</v>
      </c>
      <c r="B17" s="2130"/>
      <c r="C17" s="2130"/>
      <c r="D17" s="2130"/>
      <c r="E17" s="2130"/>
      <c r="F17" s="2130"/>
      <c r="G17" s="2130"/>
      <c r="H17" s="2130"/>
      <c r="I17" s="2130"/>
      <c r="J17" s="2130"/>
      <c r="K17" s="2130"/>
      <c r="N17" s="80"/>
      <c r="O17" s="80"/>
      <c r="P17" s="80"/>
      <c r="Q17" s="80"/>
      <c r="R17" s="80"/>
      <c r="S17" s="80"/>
      <c r="T17" s="80"/>
      <c r="U17" s="80"/>
      <c r="V17" s="80"/>
      <c r="W17" s="80"/>
    </row>
    <row r="18" spans="1:23" ht="18.75" customHeight="1">
      <c r="A18" s="2130"/>
      <c r="B18" s="2130"/>
      <c r="C18" s="2130"/>
      <c r="D18" s="2130"/>
      <c r="E18" s="2130"/>
      <c r="F18" s="2130"/>
      <c r="G18" s="2130"/>
      <c r="H18" s="2130"/>
      <c r="I18" s="2130"/>
      <c r="J18" s="2130"/>
      <c r="K18" s="2130"/>
      <c r="N18" s="40"/>
      <c r="O18" s="40"/>
      <c r="P18" s="40"/>
      <c r="Q18" s="40"/>
      <c r="R18" s="40"/>
      <c r="S18" s="40"/>
      <c r="T18" s="40"/>
    </row>
    <row r="19" spans="1:23">
      <c r="N19" s="40"/>
      <c r="O19" s="40"/>
      <c r="P19" s="40"/>
      <c r="Q19" s="40"/>
      <c r="R19" s="40"/>
      <c r="S19" s="40"/>
      <c r="T19" s="40"/>
    </row>
    <row r="20" spans="1:23">
      <c r="N20" s="40"/>
      <c r="O20" s="40"/>
      <c r="P20" s="40"/>
      <c r="Q20" s="40"/>
      <c r="R20" s="40"/>
      <c r="S20" s="40"/>
      <c r="T20" s="40"/>
    </row>
    <row r="21" spans="1:23">
      <c r="N21" s="40"/>
      <c r="O21" s="40"/>
      <c r="P21" s="40"/>
      <c r="Q21" s="40"/>
      <c r="R21" s="40"/>
      <c r="S21" s="40"/>
      <c r="T21" s="40"/>
    </row>
    <row r="22" spans="1:23">
      <c r="N22" s="40"/>
      <c r="O22" s="40"/>
      <c r="P22" s="40"/>
      <c r="Q22" s="40"/>
      <c r="R22" s="40"/>
      <c r="S22" s="40"/>
      <c r="T22" s="40"/>
    </row>
    <row r="23" spans="1:23">
      <c r="N23" s="40"/>
      <c r="O23" s="40"/>
      <c r="P23" s="40"/>
      <c r="Q23" s="40"/>
      <c r="R23" s="40"/>
      <c r="S23" s="40"/>
      <c r="T23" s="40"/>
    </row>
    <row r="24" spans="1:23">
      <c r="N24" s="40"/>
      <c r="O24" s="40"/>
      <c r="P24" s="40"/>
      <c r="Q24" s="40"/>
      <c r="R24" s="40"/>
      <c r="S24" s="40"/>
      <c r="T24" s="40"/>
    </row>
    <row r="25" spans="1:23">
      <c r="N25" s="40"/>
      <c r="O25" s="40"/>
      <c r="P25" s="40"/>
      <c r="Q25" s="40"/>
      <c r="R25" s="40"/>
      <c r="S25" s="40"/>
      <c r="T25" s="40"/>
    </row>
    <row r="26" spans="1:23">
      <c r="N26" s="40"/>
      <c r="O26" s="40"/>
      <c r="P26" s="40"/>
      <c r="Q26" s="40"/>
      <c r="R26" s="40"/>
      <c r="S26" s="40"/>
      <c r="T26" s="40"/>
    </row>
    <row r="27" spans="1:23">
      <c r="N27" s="40"/>
      <c r="O27" s="40"/>
      <c r="P27" s="40"/>
      <c r="Q27" s="40"/>
      <c r="R27" s="40"/>
      <c r="S27" s="40"/>
      <c r="T27" s="40"/>
    </row>
    <row r="28" spans="1:23">
      <c r="N28" s="40"/>
      <c r="O28" s="40"/>
      <c r="P28" s="40"/>
      <c r="Q28" s="40"/>
      <c r="R28" s="40"/>
      <c r="S28" s="40"/>
      <c r="T28" s="40"/>
    </row>
    <row r="29" spans="1:23">
      <c r="N29" s="40"/>
      <c r="O29" s="40"/>
      <c r="P29" s="40"/>
      <c r="Q29" s="40"/>
      <c r="R29" s="40"/>
      <c r="S29" s="40"/>
      <c r="T29" s="40"/>
    </row>
    <row r="30" spans="1:23">
      <c r="N30" s="40"/>
      <c r="O30" s="40"/>
      <c r="P30" s="40"/>
      <c r="Q30" s="40"/>
      <c r="R30" s="40"/>
      <c r="S30" s="40"/>
      <c r="T30" s="40"/>
    </row>
    <row r="31" spans="1:23">
      <c r="N31" s="40"/>
      <c r="O31" s="40"/>
      <c r="P31" s="40"/>
      <c r="Q31" s="40"/>
      <c r="R31" s="40"/>
      <c r="S31" s="40"/>
      <c r="T31" s="40"/>
    </row>
    <row r="32" spans="1:23">
      <c r="N32" s="40"/>
      <c r="O32" s="40"/>
      <c r="P32" s="40"/>
      <c r="Q32" s="40"/>
      <c r="R32" s="40"/>
      <c r="S32" s="40"/>
      <c r="T32" s="40"/>
    </row>
    <row r="33" spans="14:20">
      <c r="N33" s="40"/>
      <c r="O33" s="40"/>
      <c r="P33" s="40"/>
      <c r="Q33" s="40"/>
      <c r="R33" s="40"/>
      <c r="S33" s="40"/>
      <c r="T33" s="40"/>
    </row>
    <row r="34" spans="14:20">
      <c r="N34" s="40"/>
      <c r="O34" s="40"/>
      <c r="P34" s="40"/>
      <c r="Q34" s="40"/>
      <c r="R34" s="40"/>
      <c r="S34" s="40"/>
      <c r="T34" s="40"/>
    </row>
    <row r="35" spans="14:20">
      <c r="N35" s="40"/>
      <c r="O35" s="40"/>
      <c r="P35" s="40"/>
      <c r="Q35" s="40"/>
      <c r="R35" s="40"/>
      <c r="S35" s="40"/>
      <c r="T35" s="40"/>
    </row>
    <row r="36" spans="14:20">
      <c r="N36" s="40"/>
      <c r="O36" s="40"/>
      <c r="P36" s="40"/>
      <c r="Q36" s="40"/>
      <c r="R36" s="40"/>
      <c r="S36" s="40"/>
      <c r="T36" s="40"/>
    </row>
    <row r="37" spans="14:20">
      <c r="N37" s="40"/>
      <c r="O37" s="40"/>
      <c r="P37" s="40"/>
      <c r="Q37" s="40"/>
      <c r="R37" s="40"/>
      <c r="S37" s="40"/>
      <c r="T37" s="40"/>
    </row>
    <row r="38" spans="14:20">
      <c r="N38" s="40"/>
      <c r="O38" s="40"/>
      <c r="P38" s="40"/>
      <c r="Q38" s="40"/>
      <c r="R38" s="40"/>
      <c r="S38" s="40"/>
      <c r="T38" s="40"/>
    </row>
    <row r="39" spans="14:20">
      <c r="N39" s="40"/>
      <c r="O39" s="40"/>
      <c r="P39" s="40"/>
      <c r="Q39" s="40"/>
      <c r="R39" s="40"/>
      <c r="S39" s="40"/>
      <c r="T39" s="40"/>
    </row>
    <row r="40" spans="14:20">
      <c r="N40" s="40"/>
      <c r="O40" s="40"/>
      <c r="P40" s="40"/>
      <c r="Q40" s="40"/>
      <c r="R40" s="40"/>
      <c r="S40" s="40"/>
      <c r="T40" s="40"/>
    </row>
    <row r="41" spans="14:20">
      <c r="N41" s="40"/>
      <c r="O41" s="40"/>
      <c r="P41" s="40"/>
      <c r="Q41" s="40"/>
      <c r="R41" s="40"/>
      <c r="S41" s="40"/>
      <c r="T41" s="40"/>
    </row>
    <row r="42" spans="14:20">
      <c r="N42" s="40"/>
      <c r="O42" s="40"/>
      <c r="P42" s="40"/>
      <c r="Q42" s="40"/>
      <c r="R42" s="40"/>
      <c r="S42" s="40"/>
      <c r="T42" s="40"/>
    </row>
    <row r="43" spans="14:20">
      <c r="N43" s="40"/>
      <c r="O43" s="40"/>
      <c r="P43" s="40"/>
      <c r="Q43" s="40"/>
      <c r="R43" s="40"/>
      <c r="S43" s="40"/>
      <c r="T43" s="40"/>
    </row>
    <row r="44" spans="14:20">
      <c r="N44" s="40"/>
      <c r="O44" s="40"/>
      <c r="P44" s="40"/>
      <c r="Q44" s="40"/>
      <c r="R44" s="40"/>
      <c r="S44" s="40"/>
      <c r="T44" s="40"/>
    </row>
    <row r="45" spans="14:20">
      <c r="N45" s="40"/>
      <c r="O45" s="40"/>
      <c r="P45" s="40"/>
      <c r="Q45" s="40"/>
      <c r="R45" s="40"/>
      <c r="S45" s="40"/>
      <c r="T45" s="40"/>
    </row>
    <row r="46" spans="14:20" ht="16.5" customHeight="1">
      <c r="N46" s="40"/>
      <c r="O46" s="40"/>
      <c r="P46" s="40"/>
      <c r="Q46" s="40"/>
      <c r="R46" s="40"/>
      <c r="S46" s="40"/>
      <c r="T46" s="40"/>
    </row>
    <row r="47" spans="14:20" hidden="1">
      <c r="N47" s="40"/>
      <c r="O47" s="40"/>
      <c r="P47" s="40"/>
      <c r="Q47" s="40"/>
      <c r="R47" s="40"/>
      <c r="S47" s="40"/>
      <c r="T47" s="40"/>
    </row>
    <row r="48" spans="14:20" hidden="1">
      <c r="N48" s="40"/>
      <c r="O48" s="40"/>
      <c r="P48" s="40"/>
      <c r="Q48" s="40"/>
      <c r="R48" s="40"/>
      <c r="S48" s="40"/>
      <c r="T48" s="40"/>
    </row>
    <row r="49" spans="12:20">
      <c r="N49" s="40"/>
      <c r="O49" s="40"/>
      <c r="P49" s="40"/>
      <c r="Q49" s="40"/>
      <c r="R49" s="40"/>
      <c r="S49" s="40"/>
      <c r="T49" s="40"/>
    </row>
    <row r="50" spans="12:20">
      <c r="L50" s="77" t="s">
        <v>176</v>
      </c>
      <c r="N50" s="40"/>
      <c r="O50" s="40"/>
      <c r="P50" s="40"/>
      <c r="Q50" s="40"/>
      <c r="R50" s="40"/>
      <c r="S50" s="40"/>
      <c r="T50" s="40"/>
    </row>
    <row r="51" spans="12:20">
      <c r="N51" s="40"/>
      <c r="O51" s="40"/>
      <c r="P51" s="40"/>
      <c r="Q51" s="40"/>
      <c r="R51" s="40"/>
      <c r="S51" s="40"/>
      <c r="T51" s="40"/>
    </row>
    <row r="52" spans="12:20">
      <c r="N52" s="40"/>
      <c r="O52" s="40"/>
      <c r="P52" s="40"/>
      <c r="Q52" s="40"/>
      <c r="R52" s="40"/>
      <c r="S52" s="40"/>
      <c r="T52" s="40"/>
    </row>
    <row r="53" spans="12:20">
      <c r="N53" s="40"/>
      <c r="O53" s="40"/>
      <c r="P53" s="40"/>
      <c r="Q53" s="40"/>
      <c r="R53" s="40"/>
      <c r="S53" s="40"/>
      <c r="T53" s="40"/>
    </row>
    <row r="54" spans="12:20">
      <c r="N54" s="40"/>
      <c r="O54" s="40"/>
      <c r="P54" s="40"/>
      <c r="Q54" s="40"/>
      <c r="R54" s="40"/>
      <c r="S54" s="40"/>
      <c r="T54" s="40"/>
    </row>
    <row r="55" spans="12:20">
      <c r="N55" s="40"/>
      <c r="O55" s="40"/>
      <c r="P55" s="40"/>
      <c r="Q55" s="40"/>
      <c r="R55" s="40"/>
      <c r="S55" s="40"/>
      <c r="T55" s="40"/>
    </row>
    <row r="56" spans="12:20">
      <c r="N56" s="40"/>
      <c r="O56" s="40"/>
      <c r="P56" s="40"/>
      <c r="Q56" s="40"/>
      <c r="R56" s="40"/>
      <c r="S56" s="40"/>
      <c r="T56" s="40"/>
    </row>
    <row r="57" spans="12:20">
      <c r="N57" s="40"/>
      <c r="O57" s="40"/>
      <c r="P57" s="40"/>
      <c r="Q57" s="40"/>
      <c r="R57" s="40"/>
      <c r="S57" s="40"/>
      <c r="T57" s="40"/>
    </row>
    <row r="58" spans="12:20">
      <c r="N58" s="40"/>
      <c r="O58" s="40"/>
      <c r="P58" s="40"/>
      <c r="Q58" s="40"/>
      <c r="R58" s="40"/>
      <c r="S58" s="40"/>
      <c r="T58" s="40"/>
    </row>
    <row r="59" spans="12:20">
      <c r="N59" s="40"/>
      <c r="O59" s="40"/>
      <c r="P59" s="40"/>
      <c r="Q59" s="40"/>
      <c r="R59" s="40"/>
      <c r="S59" s="40"/>
      <c r="T59" s="40"/>
    </row>
    <row r="60" spans="12:20">
      <c r="N60" s="40"/>
      <c r="O60" s="40"/>
      <c r="P60" s="40"/>
      <c r="Q60" s="40"/>
      <c r="R60" s="40"/>
      <c r="S60" s="40"/>
      <c r="T60" s="40"/>
    </row>
    <row r="61" spans="12:20">
      <c r="N61" s="40"/>
      <c r="O61" s="40"/>
      <c r="P61" s="40"/>
      <c r="Q61" s="40"/>
      <c r="R61" s="40"/>
      <c r="S61" s="40"/>
      <c r="T61" s="40"/>
    </row>
    <row r="62" spans="12:20">
      <c r="N62" s="40"/>
      <c r="O62" s="40"/>
      <c r="P62" s="40"/>
      <c r="Q62" s="40"/>
      <c r="R62" s="40"/>
      <c r="S62" s="40"/>
      <c r="T62" s="40"/>
    </row>
    <row r="63" spans="12:20">
      <c r="N63" s="40"/>
      <c r="O63" s="40"/>
      <c r="P63" s="40"/>
      <c r="Q63" s="40"/>
      <c r="R63" s="40"/>
      <c r="S63" s="40"/>
      <c r="T63" s="40"/>
    </row>
    <row r="64" spans="12:20">
      <c r="N64" s="40"/>
      <c r="O64" s="40"/>
      <c r="P64" s="40"/>
      <c r="Q64" s="40"/>
      <c r="R64" s="40"/>
      <c r="S64" s="40"/>
      <c r="T64" s="40"/>
    </row>
    <row r="65" spans="14:20">
      <c r="N65" s="40"/>
      <c r="O65" s="40"/>
      <c r="P65" s="40"/>
      <c r="Q65" s="40"/>
      <c r="R65" s="40"/>
      <c r="S65" s="40"/>
      <c r="T65" s="40"/>
    </row>
    <row r="66" spans="14:20">
      <c r="N66" s="40"/>
      <c r="O66" s="40"/>
      <c r="P66" s="40"/>
      <c r="Q66" s="40"/>
      <c r="R66" s="40"/>
      <c r="S66" s="40"/>
      <c r="T66" s="40"/>
    </row>
    <row r="67" spans="14:20">
      <c r="N67" s="40"/>
      <c r="O67" s="40"/>
      <c r="P67" s="40"/>
      <c r="Q67" s="40"/>
      <c r="R67" s="40"/>
      <c r="S67" s="40"/>
      <c r="T67" s="40"/>
    </row>
    <row r="68" spans="14:20">
      <c r="N68" s="40"/>
      <c r="O68" s="40"/>
      <c r="P68" s="40"/>
      <c r="Q68" s="40"/>
      <c r="R68" s="40"/>
      <c r="S68" s="40"/>
      <c r="T68" s="40"/>
    </row>
    <row r="69" spans="14:20">
      <c r="N69" s="40"/>
      <c r="O69" s="40"/>
      <c r="P69" s="40"/>
      <c r="Q69" s="40"/>
      <c r="R69" s="40"/>
      <c r="S69" s="40"/>
      <c r="T69" s="40"/>
    </row>
    <row r="70" spans="14:20">
      <c r="N70" s="40"/>
      <c r="O70" s="40"/>
      <c r="P70" s="40"/>
      <c r="Q70" s="40"/>
      <c r="R70" s="40"/>
      <c r="S70" s="40"/>
      <c r="T70" s="40"/>
    </row>
    <row r="71" spans="14:20">
      <c r="N71" s="40"/>
      <c r="O71" s="40"/>
      <c r="P71" s="40"/>
      <c r="Q71" s="40"/>
      <c r="R71" s="40"/>
      <c r="S71" s="40"/>
      <c r="T71" s="40"/>
    </row>
    <row r="72" spans="14:20">
      <c r="N72" s="40"/>
      <c r="O72" s="40"/>
      <c r="P72" s="40"/>
      <c r="Q72" s="40"/>
      <c r="R72" s="40"/>
      <c r="S72" s="40"/>
      <c r="T72" s="40"/>
    </row>
    <row r="73" spans="14:20">
      <c r="N73" s="40"/>
      <c r="O73" s="40"/>
      <c r="P73" s="40"/>
      <c r="Q73" s="40"/>
      <c r="R73" s="40"/>
      <c r="S73" s="40"/>
      <c r="T73" s="40"/>
    </row>
    <row r="74" spans="14:20">
      <c r="N74" s="40"/>
      <c r="O74" s="40"/>
      <c r="P74" s="40"/>
      <c r="Q74" s="40"/>
      <c r="R74" s="40"/>
      <c r="S74" s="40"/>
      <c r="T74" s="40"/>
    </row>
    <row r="75" spans="14:20">
      <c r="N75" s="40"/>
      <c r="O75" s="40"/>
      <c r="P75" s="40"/>
      <c r="Q75" s="40"/>
      <c r="R75" s="40"/>
      <c r="S75" s="40"/>
      <c r="T75" s="40"/>
    </row>
    <row r="76" spans="14:20">
      <c r="N76" s="40"/>
      <c r="O76" s="40"/>
      <c r="P76" s="40"/>
      <c r="Q76" s="40"/>
      <c r="R76" s="40"/>
      <c r="S76" s="40"/>
      <c r="T76" s="40"/>
    </row>
    <row r="77" spans="14:20">
      <c r="N77" s="40"/>
      <c r="O77" s="40"/>
      <c r="P77" s="40"/>
      <c r="Q77" s="40"/>
      <c r="R77" s="40"/>
      <c r="S77" s="40"/>
      <c r="T77" s="40"/>
    </row>
    <row r="78" spans="14:20">
      <c r="N78" s="40"/>
      <c r="O78" s="40"/>
      <c r="P78" s="40"/>
      <c r="Q78" s="40"/>
      <c r="R78" s="40"/>
      <c r="S78" s="40"/>
      <c r="T78" s="40"/>
    </row>
    <row r="79" spans="14:20">
      <c r="N79" s="40"/>
      <c r="O79" s="40"/>
      <c r="P79" s="40"/>
      <c r="Q79" s="40"/>
      <c r="R79" s="40"/>
      <c r="S79" s="40"/>
      <c r="T79" s="40"/>
    </row>
    <row r="80" spans="14:20">
      <c r="N80" s="40"/>
      <c r="O80" s="40"/>
      <c r="P80" s="40"/>
      <c r="Q80" s="40"/>
      <c r="R80" s="40"/>
      <c r="S80" s="40"/>
      <c r="T80" s="40"/>
    </row>
    <row r="81" spans="14:20">
      <c r="N81" s="40"/>
      <c r="O81" s="40"/>
      <c r="P81" s="40"/>
      <c r="Q81" s="40"/>
      <c r="R81" s="40"/>
      <c r="S81" s="40"/>
      <c r="T81" s="40"/>
    </row>
    <row r="82" spans="14:20">
      <c r="N82" s="40"/>
      <c r="O82" s="40"/>
      <c r="P82" s="40"/>
      <c r="Q82" s="40"/>
      <c r="R82" s="40"/>
      <c r="S82" s="40"/>
      <c r="T82" s="40"/>
    </row>
    <row r="83" spans="14:20">
      <c r="N83" s="40"/>
      <c r="O83" s="40"/>
      <c r="P83" s="40"/>
      <c r="Q83" s="40"/>
      <c r="R83" s="40"/>
      <c r="S83" s="40"/>
      <c r="T83" s="40"/>
    </row>
    <row r="84" spans="14:20">
      <c r="N84" s="40"/>
      <c r="O84" s="40"/>
      <c r="P84" s="40"/>
      <c r="Q84" s="40"/>
      <c r="R84" s="40"/>
      <c r="S84" s="40"/>
      <c r="T84" s="40"/>
    </row>
    <row r="85" spans="14:20">
      <c r="N85" s="40"/>
      <c r="O85" s="40"/>
      <c r="P85" s="40"/>
      <c r="Q85" s="40"/>
      <c r="R85" s="40"/>
      <c r="S85" s="40"/>
      <c r="T85" s="40"/>
    </row>
    <row r="86" spans="14:20">
      <c r="N86" s="40"/>
      <c r="O86" s="40"/>
      <c r="P86" s="40"/>
      <c r="Q86" s="40"/>
      <c r="R86" s="40"/>
      <c r="S86" s="40"/>
      <c r="T86" s="40"/>
    </row>
    <row r="87" spans="14:20">
      <c r="N87" s="40"/>
      <c r="O87" s="40"/>
      <c r="P87" s="40"/>
      <c r="Q87" s="40"/>
      <c r="R87" s="40"/>
      <c r="S87" s="40"/>
      <c r="T87" s="40"/>
    </row>
    <row r="88" spans="14:20">
      <c r="N88" s="40"/>
      <c r="O88" s="40"/>
      <c r="P88" s="40"/>
      <c r="Q88" s="40"/>
      <c r="R88" s="40"/>
      <c r="S88" s="40"/>
      <c r="T88" s="40"/>
    </row>
    <row r="89" spans="14:20">
      <c r="N89" s="40"/>
      <c r="O89" s="40"/>
      <c r="P89" s="40"/>
      <c r="Q89" s="40"/>
      <c r="R89" s="40"/>
      <c r="S89" s="40"/>
      <c r="T89" s="40"/>
    </row>
    <row r="90" spans="14:20">
      <c r="N90" s="40"/>
      <c r="O90" s="40"/>
      <c r="P90" s="40"/>
      <c r="Q90" s="40"/>
      <c r="R90" s="40"/>
      <c r="S90" s="40"/>
      <c r="T90" s="40"/>
    </row>
    <row r="91" spans="14:20">
      <c r="N91" s="40"/>
      <c r="O91" s="40"/>
      <c r="P91" s="40"/>
      <c r="Q91" s="40"/>
      <c r="R91" s="40"/>
      <c r="S91" s="40"/>
      <c r="T91" s="40"/>
    </row>
    <row r="92" spans="14:20">
      <c r="N92" s="40"/>
      <c r="O92" s="40"/>
      <c r="P92" s="40"/>
      <c r="Q92" s="40"/>
      <c r="R92" s="40"/>
      <c r="S92" s="40"/>
      <c r="T92" s="40"/>
    </row>
    <row r="93" spans="14:20">
      <c r="N93" s="40"/>
      <c r="O93" s="40"/>
      <c r="P93" s="40"/>
      <c r="Q93" s="40"/>
      <c r="R93" s="40"/>
      <c r="S93" s="40"/>
      <c r="T93" s="40"/>
    </row>
    <row r="94" spans="14:20">
      <c r="N94" s="40"/>
      <c r="O94" s="40"/>
      <c r="P94" s="40"/>
      <c r="Q94" s="40"/>
      <c r="R94" s="40"/>
      <c r="S94" s="40"/>
      <c r="T94" s="40"/>
    </row>
    <row r="95" spans="14:20">
      <c r="N95" s="40"/>
      <c r="O95" s="40"/>
      <c r="P95" s="40"/>
      <c r="Q95" s="40"/>
      <c r="R95" s="40"/>
      <c r="S95" s="40"/>
      <c r="T95" s="40"/>
    </row>
    <row r="96" spans="14:20">
      <c r="N96" s="40"/>
      <c r="O96" s="40"/>
      <c r="P96" s="40"/>
      <c r="Q96" s="40"/>
      <c r="R96" s="40"/>
      <c r="S96" s="40"/>
      <c r="T96" s="40"/>
    </row>
    <row r="97" spans="14:20">
      <c r="N97" s="40"/>
      <c r="O97" s="40"/>
      <c r="P97" s="40"/>
      <c r="Q97" s="40"/>
      <c r="R97" s="40"/>
      <c r="S97" s="40"/>
      <c r="T97" s="40"/>
    </row>
    <row r="98" spans="14:20">
      <c r="N98" s="40"/>
      <c r="O98" s="40"/>
      <c r="P98" s="40"/>
      <c r="Q98" s="40"/>
      <c r="R98" s="40"/>
      <c r="S98" s="40"/>
      <c r="T98" s="40"/>
    </row>
    <row r="99" spans="14:20">
      <c r="N99" s="40"/>
      <c r="O99" s="40"/>
      <c r="P99" s="40"/>
      <c r="Q99" s="40"/>
      <c r="R99" s="40"/>
      <c r="S99" s="40"/>
      <c r="T99" s="40"/>
    </row>
    <row r="100" spans="14:20">
      <c r="N100" s="40"/>
      <c r="O100" s="40"/>
      <c r="P100" s="40"/>
      <c r="Q100" s="40"/>
      <c r="R100" s="40"/>
      <c r="S100" s="40"/>
      <c r="T100" s="40"/>
    </row>
    <row r="101" spans="14:20">
      <c r="N101" s="40"/>
      <c r="O101" s="40"/>
      <c r="P101" s="40"/>
      <c r="Q101" s="40"/>
      <c r="R101" s="40"/>
      <c r="S101" s="40"/>
      <c r="T101" s="40"/>
    </row>
    <row r="102" spans="14:20">
      <c r="N102" s="40"/>
      <c r="O102" s="40"/>
      <c r="P102" s="40"/>
      <c r="Q102" s="40"/>
      <c r="R102" s="40"/>
      <c r="S102" s="40"/>
      <c r="T102" s="40"/>
    </row>
    <row r="103" spans="14:20">
      <c r="N103" s="40"/>
      <c r="O103" s="40"/>
      <c r="P103" s="40"/>
      <c r="Q103" s="40"/>
      <c r="R103" s="40"/>
      <c r="S103" s="40"/>
      <c r="T103" s="40"/>
    </row>
    <row r="104" spans="14:20">
      <c r="N104" s="40"/>
      <c r="O104" s="40"/>
      <c r="P104" s="40"/>
      <c r="Q104" s="40"/>
      <c r="R104" s="40"/>
      <c r="S104" s="40"/>
      <c r="T104" s="40"/>
    </row>
    <row r="105" spans="14:20">
      <c r="N105" s="40"/>
      <c r="O105" s="40"/>
      <c r="P105" s="40"/>
      <c r="Q105" s="40"/>
      <c r="R105" s="40"/>
      <c r="S105" s="40"/>
      <c r="T105" s="40"/>
    </row>
    <row r="106" spans="14:20">
      <c r="N106" s="40"/>
      <c r="O106" s="40"/>
      <c r="P106" s="40"/>
      <c r="Q106" s="40"/>
      <c r="R106" s="40"/>
      <c r="S106" s="40"/>
      <c r="T106" s="40"/>
    </row>
    <row r="107" spans="14:20">
      <c r="N107" s="40"/>
      <c r="O107" s="40"/>
      <c r="P107" s="40"/>
      <c r="Q107" s="40"/>
      <c r="R107" s="40"/>
      <c r="S107" s="40"/>
      <c r="T107" s="40"/>
    </row>
    <row r="108" spans="14:20">
      <c r="N108" s="40"/>
      <c r="O108" s="40"/>
      <c r="P108" s="40"/>
      <c r="Q108" s="40"/>
      <c r="R108" s="40"/>
      <c r="S108" s="40"/>
      <c r="T108" s="40"/>
    </row>
    <row r="109" spans="14:20">
      <c r="N109" s="40"/>
      <c r="O109" s="40"/>
      <c r="P109" s="40"/>
      <c r="Q109" s="40"/>
      <c r="R109" s="40"/>
      <c r="S109" s="40"/>
      <c r="T109" s="40"/>
    </row>
    <row r="110" spans="14:20">
      <c r="N110" s="40"/>
      <c r="O110" s="40"/>
      <c r="P110" s="40"/>
      <c r="Q110" s="40"/>
      <c r="R110" s="40"/>
      <c r="S110" s="40"/>
      <c r="T110" s="40"/>
    </row>
    <row r="111" spans="14:20">
      <c r="N111" s="40"/>
      <c r="O111" s="40"/>
      <c r="P111" s="40"/>
      <c r="Q111" s="40"/>
      <c r="R111" s="40"/>
      <c r="S111" s="40"/>
      <c r="T111" s="40"/>
    </row>
    <row r="112" spans="14:20">
      <c r="N112" s="40"/>
      <c r="O112" s="40"/>
      <c r="P112" s="40"/>
      <c r="Q112" s="40"/>
      <c r="R112" s="40"/>
      <c r="S112" s="40"/>
      <c r="T112" s="40"/>
    </row>
    <row r="113" spans="14:20">
      <c r="N113" s="40"/>
      <c r="O113" s="40"/>
      <c r="P113" s="40"/>
      <c r="Q113" s="40"/>
      <c r="R113" s="40"/>
      <c r="S113" s="40"/>
      <c r="T113" s="40"/>
    </row>
    <row r="114" spans="14:20">
      <c r="N114" s="40"/>
      <c r="O114" s="40"/>
      <c r="P114" s="40"/>
      <c r="Q114" s="40"/>
      <c r="R114" s="40"/>
      <c r="S114" s="40"/>
      <c r="T114" s="40"/>
    </row>
    <row r="115" spans="14:20">
      <c r="N115" s="40"/>
      <c r="O115" s="40"/>
      <c r="P115" s="40"/>
      <c r="Q115" s="40"/>
      <c r="R115" s="40"/>
      <c r="S115" s="40"/>
      <c r="T115" s="40"/>
    </row>
    <row r="116" spans="14:20">
      <c r="N116" s="40"/>
      <c r="O116" s="40"/>
      <c r="P116" s="40"/>
      <c r="Q116" s="40"/>
      <c r="R116" s="40"/>
      <c r="S116" s="40"/>
      <c r="T116" s="40"/>
    </row>
    <row r="117" spans="14:20">
      <c r="N117" s="40"/>
      <c r="O117" s="40"/>
      <c r="P117" s="40"/>
      <c r="Q117" s="40"/>
      <c r="R117" s="40"/>
      <c r="S117" s="40"/>
      <c r="T117" s="40"/>
    </row>
    <row r="118" spans="14:20">
      <c r="N118" s="40"/>
      <c r="O118" s="40"/>
      <c r="P118" s="40"/>
      <c r="Q118" s="40"/>
      <c r="R118" s="40"/>
      <c r="S118" s="40"/>
      <c r="T118" s="40"/>
    </row>
    <row r="119" spans="14:20">
      <c r="N119" s="40"/>
      <c r="O119" s="40"/>
      <c r="P119" s="40"/>
      <c r="Q119" s="40"/>
      <c r="R119" s="40"/>
      <c r="S119" s="40"/>
      <c r="T119" s="40"/>
    </row>
    <row r="120" spans="14:20">
      <c r="N120" s="40"/>
      <c r="O120" s="40"/>
      <c r="P120" s="40"/>
      <c r="Q120" s="40"/>
      <c r="R120" s="40"/>
      <c r="S120" s="40"/>
      <c r="T120" s="40"/>
    </row>
    <row r="121" spans="14:20">
      <c r="N121" s="40"/>
      <c r="O121" s="40"/>
      <c r="P121" s="40"/>
      <c r="Q121" s="40"/>
      <c r="R121" s="40"/>
      <c r="S121" s="40"/>
      <c r="T121" s="40"/>
    </row>
    <row r="122" spans="14:20">
      <c r="N122" s="40"/>
      <c r="O122" s="40"/>
      <c r="P122" s="40"/>
      <c r="Q122" s="40"/>
      <c r="R122" s="40"/>
      <c r="S122" s="40"/>
      <c r="T122" s="40"/>
    </row>
    <row r="123" spans="14:20">
      <c r="N123" s="40"/>
      <c r="O123" s="40"/>
      <c r="P123" s="40"/>
      <c r="Q123" s="40"/>
      <c r="R123" s="40"/>
      <c r="S123" s="40"/>
      <c r="T123" s="40"/>
    </row>
    <row r="124" spans="14:20">
      <c r="N124" s="40"/>
      <c r="O124" s="40"/>
      <c r="P124" s="40"/>
      <c r="Q124" s="40"/>
      <c r="R124" s="40"/>
      <c r="S124" s="40"/>
      <c r="T124" s="40"/>
    </row>
    <row r="125" spans="14:20">
      <c r="N125" s="40"/>
      <c r="O125" s="40"/>
      <c r="P125" s="40"/>
      <c r="Q125" s="40"/>
      <c r="R125" s="40"/>
      <c r="S125" s="40"/>
      <c r="T125" s="40"/>
    </row>
    <row r="126" spans="14:20">
      <c r="N126" s="40"/>
      <c r="O126" s="40"/>
      <c r="P126" s="40"/>
      <c r="Q126" s="40"/>
      <c r="R126" s="40"/>
      <c r="S126" s="40"/>
      <c r="T126" s="40"/>
    </row>
    <row r="127" spans="14:20">
      <c r="N127" s="40"/>
      <c r="O127" s="40"/>
      <c r="P127" s="40"/>
      <c r="Q127" s="40"/>
      <c r="R127" s="40"/>
      <c r="S127" s="40"/>
      <c r="T127" s="40"/>
    </row>
    <row r="128" spans="14:20">
      <c r="N128" s="40"/>
      <c r="O128" s="40"/>
      <c r="P128" s="40"/>
      <c r="Q128" s="40"/>
      <c r="R128" s="40"/>
      <c r="S128" s="40"/>
      <c r="T128" s="40"/>
    </row>
    <row r="129" spans="14:20">
      <c r="N129" s="40"/>
      <c r="O129" s="40"/>
      <c r="P129" s="40"/>
      <c r="Q129" s="40"/>
      <c r="R129" s="40"/>
      <c r="S129" s="40"/>
      <c r="T129" s="40"/>
    </row>
    <row r="130" spans="14:20">
      <c r="N130" s="40"/>
      <c r="O130" s="40"/>
      <c r="P130" s="40"/>
      <c r="Q130" s="40"/>
      <c r="R130" s="40"/>
      <c r="S130" s="40"/>
      <c r="T130" s="40"/>
    </row>
    <row r="131" spans="14:20">
      <c r="N131" s="40"/>
      <c r="O131" s="40"/>
      <c r="P131" s="40"/>
      <c r="Q131" s="40"/>
      <c r="R131" s="40"/>
      <c r="S131" s="40"/>
      <c r="T131" s="40"/>
    </row>
    <row r="132" spans="14:20">
      <c r="N132" s="40"/>
      <c r="O132" s="40"/>
      <c r="P132" s="40"/>
      <c r="Q132" s="40"/>
      <c r="R132" s="40"/>
      <c r="S132" s="40"/>
      <c r="T132" s="40"/>
    </row>
    <row r="133" spans="14:20">
      <c r="N133" s="40"/>
      <c r="O133" s="40"/>
      <c r="P133" s="40"/>
      <c r="Q133" s="40"/>
      <c r="R133" s="40"/>
      <c r="S133" s="40"/>
      <c r="T133" s="40"/>
    </row>
    <row r="134" spans="14:20">
      <c r="N134" s="40"/>
      <c r="O134" s="40"/>
      <c r="P134" s="40"/>
      <c r="Q134" s="40"/>
      <c r="R134" s="40"/>
      <c r="S134" s="40"/>
      <c r="T134" s="40"/>
    </row>
    <row r="135" spans="14:20">
      <c r="N135" s="40"/>
      <c r="O135" s="40"/>
      <c r="P135" s="40"/>
      <c r="Q135" s="40"/>
      <c r="R135" s="40"/>
      <c r="S135" s="40"/>
      <c r="T135" s="40"/>
    </row>
    <row r="136" spans="14:20">
      <c r="N136" s="40"/>
      <c r="O136" s="40"/>
      <c r="P136" s="40"/>
      <c r="Q136" s="40"/>
      <c r="R136" s="40"/>
      <c r="S136" s="40"/>
      <c r="T136" s="40"/>
    </row>
    <row r="137" spans="14:20">
      <c r="N137" s="40"/>
      <c r="O137" s="40"/>
      <c r="P137" s="40"/>
      <c r="Q137" s="40"/>
      <c r="R137" s="40"/>
      <c r="S137" s="40"/>
      <c r="T137" s="40"/>
    </row>
    <row r="138" spans="14:20">
      <c r="N138" s="40"/>
      <c r="O138" s="40"/>
      <c r="P138" s="40"/>
      <c r="Q138" s="40"/>
      <c r="R138" s="40"/>
      <c r="S138" s="40"/>
      <c r="T138" s="40"/>
    </row>
    <row r="139" spans="14:20">
      <c r="N139" s="40"/>
      <c r="O139" s="40"/>
      <c r="P139" s="40"/>
      <c r="Q139" s="40"/>
      <c r="R139" s="40"/>
      <c r="S139" s="40"/>
      <c r="T139" s="40"/>
    </row>
    <row r="140" spans="14:20">
      <c r="N140" s="40"/>
      <c r="O140" s="40"/>
      <c r="P140" s="40"/>
      <c r="Q140" s="40"/>
      <c r="R140" s="40"/>
      <c r="S140" s="40"/>
      <c r="T140" s="40"/>
    </row>
    <row r="141" spans="14:20">
      <c r="N141" s="40"/>
      <c r="O141" s="40"/>
      <c r="P141" s="40"/>
      <c r="Q141" s="40"/>
      <c r="R141" s="40"/>
      <c r="S141" s="40"/>
      <c r="T141" s="40"/>
    </row>
    <row r="142" spans="14:20">
      <c r="N142" s="40"/>
      <c r="O142" s="40"/>
      <c r="P142" s="40"/>
      <c r="Q142" s="40"/>
      <c r="R142" s="40"/>
      <c r="S142" s="40"/>
      <c r="T142" s="40"/>
    </row>
    <row r="143" spans="14:20">
      <c r="N143" s="40"/>
      <c r="O143" s="40"/>
      <c r="P143" s="40"/>
      <c r="Q143" s="40"/>
      <c r="R143" s="40"/>
      <c r="S143" s="40"/>
      <c r="T143" s="40"/>
    </row>
    <row r="144" spans="14:20">
      <c r="N144" s="40"/>
      <c r="O144" s="40"/>
      <c r="P144" s="40"/>
      <c r="Q144" s="40"/>
      <c r="R144" s="40"/>
      <c r="S144" s="40"/>
      <c r="T144" s="40"/>
    </row>
    <row r="145" spans="14:20">
      <c r="N145" s="40"/>
      <c r="O145" s="40"/>
      <c r="P145" s="40"/>
      <c r="Q145" s="40"/>
      <c r="R145" s="40"/>
      <c r="S145" s="40"/>
      <c r="T145" s="40"/>
    </row>
    <row r="146" spans="14:20">
      <c r="N146" s="40"/>
      <c r="O146" s="40"/>
      <c r="P146" s="40"/>
      <c r="Q146" s="40"/>
      <c r="R146" s="40"/>
      <c r="S146" s="40"/>
      <c r="T146" s="40"/>
    </row>
    <row r="147" spans="14:20">
      <c r="N147" s="40"/>
      <c r="O147" s="40"/>
      <c r="P147" s="40"/>
      <c r="Q147" s="40"/>
      <c r="R147" s="40"/>
      <c r="S147" s="40"/>
      <c r="T147" s="40"/>
    </row>
    <row r="148" spans="14:20">
      <c r="N148" s="40"/>
      <c r="O148" s="40"/>
      <c r="P148" s="40"/>
      <c r="Q148" s="40"/>
      <c r="R148" s="40"/>
      <c r="S148" s="40"/>
      <c r="T148" s="40"/>
    </row>
    <row r="149" spans="14:20">
      <c r="N149" s="40"/>
      <c r="O149" s="40"/>
      <c r="P149" s="40"/>
      <c r="Q149" s="40"/>
      <c r="R149" s="40"/>
      <c r="S149" s="40"/>
      <c r="T149" s="40"/>
    </row>
    <row r="150" spans="14:20">
      <c r="N150" s="40"/>
      <c r="O150" s="40"/>
      <c r="P150" s="40"/>
      <c r="Q150" s="40"/>
      <c r="R150" s="40"/>
      <c r="S150" s="40"/>
      <c r="T150" s="40"/>
    </row>
    <row r="151" spans="14:20">
      <c r="N151" s="40"/>
      <c r="O151" s="40"/>
      <c r="P151" s="40"/>
      <c r="Q151" s="40"/>
      <c r="R151" s="40"/>
      <c r="S151" s="40"/>
      <c r="T151" s="40"/>
    </row>
    <row r="152" spans="14:20">
      <c r="N152" s="40"/>
      <c r="O152" s="40"/>
      <c r="P152" s="40"/>
      <c r="Q152" s="40"/>
      <c r="R152" s="40"/>
      <c r="S152" s="40"/>
      <c r="T152" s="40"/>
    </row>
    <row r="153" spans="14:20">
      <c r="N153" s="40"/>
      <c r="O153" s="40"/>
      <c r="P153" s="40"/>
      <c r="Q153" s="40"/>
      <c r="R153" s="40"/>
      <c r="S153" s="40"/>
      <c r="T153" s="40"/>
    </row>
    <row r="154" spans="14:20">
      <c r="N154" s="40"/>
      <c r="O154" s="40"/>
      <c r="P154" s="40"/>
      <c r="Q154" s="40"/>
      <c r="R154" s="40"/>
      <c r="S154" s="40"/>
      <c r="T154" s="40"/>
    </row>
    <row r="155" spans="14:20">
      <c r="N155" s="40"/>
      <c r="O155" s="40"/>
      <c r="P155" s="40"/>
      <c r="Q155" s="40"/>
      <c r="R155" s="40"/>
      <c r="S155" s="40"/>
      <c r="T155" s="40"/>
    </row>
    <row r="156" spans="14:20">
      <c r="N156" s="40"/>
      <c r="O156" s="40"/>
      <c r="P156" s="40"/>
      <c r="Q156" s="40"/>
      <c r="R156" s="40"/>
      <c r="S156" s="40"/>
      <c r="T156" s="40"/>
    </row>
    <row r="157" spans="14:20">
      <c r="N157" s="40"/>
      <c r="O157" s="40"/>
      <c r="P157" s="40"/>
      <c r="Q157" s="40"/>
      <c r="R157" s="40"/>
      <c r="S157" s="40"/>
      <c r="T157" s="40"/>
    </row>
    <row r="158" spans="14:20">
      <c r="N158" s="40"/>
      <c r="O158" s="40"/>
      <c r="P158" s="40"/>
      <c r="Q158" s="40"/>
      <c r="R158" s="40"/>
      <c r="S158" s="40"/>
      <c r="T158" s="40"/>
    </row>
    <row r="159" spans="14:20">
      <c r="N159" s="40"/>
      <c r="O159" s="40"/>
      <c r="P159" s="40"/>
      <c r="Q159" s="40"/>
      <c r="R159" s="40"/>
      <c r="S159" s="40"/>
      <c r="T159" s="40"/>
    </row>
    <row r="160" spans="14:20">
      <c r="N160" s="40"/>
      <c r="O160" s="40"/>
      <c r="P160" s="40"/>
      <c r="Q160" s="40"/>
      <c r="R160" s="40"/>
      <c r="S160" s="40"/>
      <c r="T160" s="40"/>
    </row>
    <row r="161" spans="14:20">
      <c r="N161" s="40"/>
      <c r="O161" s="40"/>
      <c r="P161" s="40"/>
      <c r="Q161" s="40"/>
      <c r="R161" s="40"/>
      <c r="S161" s="40"/>
      <c r="T161" s="40"/>
    </row>
    <row r="162" spans="14:20">
      <c r="N162" s="40"/>
      <c r="O162" s="40"/>
      <c r="P162" s="40"/>
      <c r="Q162" s="40"/>
      <c r="R162" s="40"/>
      <c r="S162" s="40"/>
      <c r="T162" s="40"/>
    </row>
    <row r="163" spans="14:20">
      <c r="N163" s="40"/>
      <c r="O163" s="40"/>
      <c r="P163" s="40"/>
      <c r="Q163" s="40"/>
      <c r="R163" s="40"/>
      <c r="S163" s="40"/>
      <c r="T163" s="40"/>
    </row>
    <row r="164" spans="14:20">
      <c r="N164" s="40"/>
      <c r="O164" s="40"/>
      <c r="P164" s="40"/>
      <c r="Q164" s="40"/>
      <c r="R164" s="40"/>
      <c r="S164" s="40"/>
      <c r="T164" s="40"/>
    </row>
    <row r="165" spans="14:20">
      <c r="N165" s="40"/>
      <c r="O165" s="40"/>
      <c r="P165" s="40"/>
      <c r="Q165" s="40"/>
      <c r="R165" s="40"/>
      <c r="S165" s="40"/>
      <c r="T165" s="40"/>
    </row>
    <row r="166" spans="14:20">
      <c r="N166" s="40"/>
      <c r="O166" s="40"/>
      <c r="P166" s="40"/>
      <c r="Q166" s="40"/>
      <c r="R166" s="40"/>
      <c r="S166" s="40"/>
      <c r="T166" s="40"/>
    </row>
    <row r="167" spans="14:20">
      <c r="N167" s="40"/>
      <c r="O167" s="40"/>
      <c r="P167" s="40"/>
      <c r="Q167" s="40"/>
      <c r="R167" s="40"/>
      <c r="S167" s="40"/>
      <c r="T167" s="40"/>
    </row>
    <row r="168" spans="14:20">
      <c r="N168" s="40"/>
      <c r="O168" s="40"/>
      <c r="P168" s="40"/>
      <c r="Q168" s="40"/>
      <c r="R168" s="40"/>
      <c r="S168" s="40"/>
      <c r="T168" s="40"/>
    </row>
    <row r="169" spans="14:20">
      <c r="N169" s="40"/>
      <c r="O169" s="40"/>
      <c r="P169" s="40"/>
      <c r="Q169" s="40"/>
      <c r="R169" s="40"/>
      <c r="S169" s="40"/>
      <c r="T169" s="40"/>
    </row>
    <row r="170" spans="14:20">
      <c r="N170" s="40"/>
      <c r="O170" s="40"/>
      <c r="P170" s="40"/>
      <c r="Q170" s="40"/>
      <c r="R170" s="40"/>
      <c r="S170" s="40"/>
      <c r="T170" s="40"/>
    </row>
    <row r="171" spans="14:20">
      <c r="N171" s="40"/>
      <c r="O171" s="40"/>
      <c r="P171" s="40"/>
      <c r="Q171" s="40"/>
      <c r="R171" s="40"/>
      <c r="S171" s="40"/>
      <c r="T171" s="40"/>
    </row>
    <row r="172" spans="14:20">
      <c r="N172" s="40"/>
      <c r="O172" s="40"/>
      <c r="P172" s="40"/>
      <c r="Q172" s="40"/>
      <c r="R172" s="40"/>
      <c r="S172" s="40"/>
      <c r="T172" s="40"/>
    </row>
    <row r="173" spans="14:20">
      <c r="N173" s="40"/>
      <c r="O173" s="40"/>
      <c r="P173" s="40"/>
      <c r="Q173" s="40"/>
      <c r="R173" s="40"/>
      <c r="S173" s="40"/>
      <c r="T173" s="40"/>
    </row>
    <row r="174" spans="14:20">
      <c r="N174" s="40"/>
      <c r="O174" s="40"/>
      <c r="P174" s="40"/>
      <c r="Q174" s="40"/>
      <c r="R174" s="40"/>
      <c r="S174" s="40"/>
      <c r="T174" s="40"/>
    </row>
    <row r="175" spans="14:20">
      <c r="N175" s="40"/>
      <c r="O175" s="40"/>
      <c r="P175" s="40"/>
      <c r="Q175" s="40"/>
      <c r="R175" s="40"/>
      <c r="S175" s="40"/>
      <c r="T175" s="40"/>
    </row>
    <row r="176" spans="14:20">
      <c r="N176" s="40"/>
      <c r="O176" s="40"/>
      <c r="P176" s="40"/>
      <c r="Q176" s="40"/>
      <c r="R176" s="40"/>
      <c r="S176" s="40"/>
      <c r="T176" s="40"/>
    </row>
    <row r="177" spans="14:20">
      <c r="N177" s="40"/>
      <c r="O177" s="40"/>
      <c r="P177" s="40"/>
      <c r="Q177" s="40"/>
      <c r="R177" s="40"/>
      <c r="S177" s="40"/>
      <c r="T177" s="40"/>
    </row>
    <row r="178" spans="14:20">
      <c r="N178" s="40"/>
      <c r="O178" s="40"/>
      <c r="P178" s="40"/>
      <c r="Q178" s="40"/>
      <c r="R178" s="40"/>
      <c r="S178" s="40"/>
      <c r="T178" s="40"/>
    </row>
    <row r="179" spans="14:20">
      <c r="N179" s="40"/>
      <c r="O179" s="40"/>
      <c r="P179" s="40"/>
      <c r="Q179" s="40"/>
      <c r="R179" s="40"/>
      <c r="S179" s="40"/>
      <c r="T179" s="40"/>
    </row>
    <row r="180" spans="14:20">
      <c r="N180" s="40"/>
      <c r="O180" s="40"/>
      <c r="P180" s="40"/>
      <c r="Q180" s="40"/>
      <c r="R180" s="40"/>
      <c r="S180" s="40"/>
      <c r="T180" s="40"/>
    </row>
    <row r="181" spans="14:20">
      <c r="N181" s="40"/>
      <c r="O181" s="40"/>
      <c r="P181" s="40"/>
      <c r="Q181" s="40"/>
      <c r="R181" s="40"/>
      <c r="S181" s="40"/>
      <c r="T181" s="40"/>
    </row>
    <row r="182" spans="14:20">
      <c r="N182" s="40"/>
      <c r="O182" s="40"/>
      <c r="P182" s="40"/>
      <c r="Q182" s="40"/>
      <c r="R182" s="40"/>
      <c r="S182" s="40"/>
      <c r="T182" s="40"/>
    </row>
    <row r="183" spans="14:20">
      <c r="N183" s="40"/>
      <c r="O183" s="40"/>
      <c r="P183" s="40"/>
      <c r="Q183" s="40"/>
      <c r="R183" s="40"/>
      <c r="S183" s="40"/>
      <c r="T183" s="40"/>
    </row>
    <row r="184" spans="14:20">
      <c r="N184" s="40"/>
      <c r="O184" s="40"/>
      <c r="P184" s="40"/>
      <c r="Q184" s="40"/>
      <c r="R184" s="40"/>
      <c r="S184" s="40"/>
      <c r="T184" s="40"/>
    </row>
    <row r="185" spans="14:20">
      <c r="N185" s="40"/>
      <c r="O185" s="40"/>
      <c r="P185" s="40"/>
      <c r="Q185" s="40"/>
      <c r="R185" s="40"/>
      <c r="S185" s="40"/>
      <c r="T185" s="40"/>
    </row>
    <row r="186" spans="14:20">
      <c r="N186" s="40"/>
      <c r="O186" s="40"/>
      <c r="P186" s="40"/>
      <c r="Q186" s="40"/>
      <c r="R186" s="40"/>
      <c r="S186" s="40"/>
      <c r="T186" s="40"/>
    </row>
    <row r="187" spans="14:20">
      <c r="N187" s="40"/>
      <c r="O187" s="40"/>
      <c r="P187" s="40"/>
      <c r="Q187" s="40"/>
      <c r="R187" s="40"/>
      <c r="S187" s="40"/>
      <c r="T187" s="40"/>
    </row>
    <row r="188" spans="14:20">
      <c r="N188" s="40"/>
      <c r="O188" s="40"/>
      <c r="P188" s="40"/>
      <c r="Q188" s="40"/>
      <c r="R188" s="40"/>
      <c r="S188" s="40"/>
      <c r="T188" s="40"/>
    </row>
    <row r="189" spans="14:20">
      <c r="N189" s="40"/>
      <c r="O189" s="40"/>
      <c r="P189" s="40"/>
      <c r="Q189" s="40"/>
      <c r="R189" s="40"/>
      <c r="S189" s="40"/>
      <c r="T189" s="40"/>
    </row>
    <row r="190" spans="14:20">
      <c r="N190" s="40"/>
      <c r="O190" s="40"/>
      <c r="P190" s="40"/>
      <c r="Q190" s="40"/>
      <c r="R190" s="40"/>
      <c r="S190" s="40"/>
      <c r="T190" s="40"/>
    </row>
    <row r="191" spans="14:20">
      <c r="N191" s="40"/>
      <c r="O191" s="40"/>
      <c r="P191" s="40"/>
      <c r="Q191" s="40"/>
      <c r="R191" s="40"/>
      <c r="S191" s="40"/>
      <c r="T191" s="40"/>
    </row>
    <row r="192" spans="14:20">
      <c r="N192" s="40"/>
      <c r="O192" s="40"/>
      <c r="P192" s="40"/>
      <c r="Q192" s="40"/>
      <c r="R192" s="40"/>
      <c r="S192" s="40"/>
      <c r="T192" s="40"/>
    </row>
    <row r="193" spans="14:20">
      <c r="N193" s="40"/>
      <c r="O193" s="40"/>
      <c r="P193" s="40"/>
      <c r="Q193" s="40"/>
      <c r="R193" s="40"/>
      <c r="S193" s="40"/>
      <c r="T193" s="40"/>
    </row>
    <row r="194" spans="14:20">
      <c r="N194" s="40"/>
      <c r="O194" s="40"/>
      <c r="P194" s="40"/>
      <c r="Q194" s="40"/>
      <c r="R194" s="40"/>
      <c r="S194" s="40"/>
      <c r="T194" s="40"/>
    </row>
    <row r="195" spans="14:20">
      <c r="N195" s="40"/>
      <c r="O195" s="40"/>
      <c r="P195" s="40"/>
      <c r="Q195" s="40"/>
      <c r="R195" s="40"/>
      <c r="S195" s="40"/>
      <c r="T195" s="40"/>
    </row>
    <row r="196" spans="14:20">
      <c r="N196" s="40"/>
      <c r="O196" s="40"/>
      <c r="P196" s="40"/>
      <c r="Q196" s="40"/>
      <c r="R196" s="40"/>
      <c r="S196" s="40"/>
      <c r="T196" s="40"/>
    </row>
    <row r="197" spans="14:20">
      <c r="N197" s="40"/>
      <c r="O197" s="40"/>
      <c r="P197" s="40"/>
      <c r="Q197" s="40"/>
      <c r="R197" s="40"/>
      <c r="S197" s="40"/>
      <c r="T197" s="40"/>
    </row>
    <row r="198" spans="14:20">
      <c r="N198" s="40"/>
      <c r="O198" s="40"/>
      <c r="P198" s="40"/>
      <c r="Q198" s="40"/>
      <c r="R198" s="40"/>
      <c r="S198" s="40"/>
      <c r="T198" s="40"/>
    </row>
    <row r="199" spans="14:20">
      <c r="N199" s="40"/>
      <c r="O199" s="40"/>
      <c r="P199" s="40"/>
      <c r="Q199" s="40"/>
      <c r="R199" s="40"/>
      <c r="S199" s="40"/>
      <c r="T199" s="40"/>
    </row>
    <row r="200" spans="14:20">
      <c r="N200" s="40"/>
      <c r="O200" s="40"/>
      <c r="P200" s="40"/>
      <c r="Q200" s="40"/>
      <c r="R200" s="40"/>
      <c r="S200" s="40"/>
      <c r="T200" s="40"/>
    </row>
    <row r="201" spans="14:20">
      <c r="N201" s="40"/>
      <c r="O201" s="40"/>
      <c r="P201" s="40"/>
      <c r="Q201" s="40"/>
      <c r="R201" s="40"/>
      <c r="S201" s="40"/>
      <c r="T201" s="40"/>
    </row>
    <row r="202" spans="14:20">
      <c r="N202" s="40"/>
      <c r="O202" s="40"/>
      <c r="P202" s="40"/>
      <c r="Q202" s="40"/>
      <c r="R202" s="40"/>
      <c r="S202" s="40"/>
      <c r="T202" s="40"/>
    </row>
    <row r="203" spans="14:20">
      <c r="N203" s="40"/>
      <c r="O203" s="40"/>
      <c r="P203" s="40"/>
      <c r="Q203" s="40"/>
      <c r="R203" s="40"/>
      <c r="S203" s="40"/>
      <c r="T203" s="40"/>
    </row>
    <row r="204" spans="14:20">
      <c r="N204" s="40"/>
      <c r="O204" s="40"/>
      <c r="P204" s="40"/>
      <c r="Q204" s="40"/>
      <c r="R204" s="40"/>
      <c r="S204" s="40"/>
      <c r="T204" s="40"/>
    </row>
    <row r="205" spans="14:20">
      <c r="N205" s="40"/>
      <c r="O205" s="40"/>
      <c r="P205" s="40"/>
      <c r="Q205" s="40"/>
      <c r="R205" s="40"/>
      <c r="S205" s="40"/>
      <c r="T205" s="40"/>
    </row>
    <row r="206" spans="14:20">
      <c r="N206" s="40"/>
      <c r="O206" s="40"/>
      <c r="P206" s="40"/>
      <c r="Q206" s="40"/>
      <c r="R206" s="40"/>
      <c r="S206" s="40"/>
      <c r="T206" s="40"/>
    </row>
    <row r="207" spans="14:20">
      <c r="N207" s="40"/>
      <c r="O207" s="40"/>
      <c r="P207" s="40"/>
      <c r="Q207" s="40"/>
      <c r="R207" s="40"/>
      <c r="S207" s="40"/>
      <c r="T207" s="40"/>
    </row>
    <row r="208" spans="14:20">
      <c r="N208" s="40"/>
      <c r="O208" s="40"/>
      <c r="P208" s="40"/>
      <c r="Q208" s="40"/>
      <c r="R208" s="40"/>
      <c r="S208" s="40"/>
      <c r="T208" s="40"/>
    </row>
    <row r="209" spans="14:20">
      <c r="N209" s="40"/>
      <c r="O209" s="40"/>
      <c r="P209" s="40"/>
      <c r="Q209" s="40"/>
      <c r="R209" s="40"/>
      <c r="S209" s="40"/>
      <c r="T209" s="40"/>
    </row>
    <row r="210" spans="14:20">
      <c r="N210" s="40"/>
      <c r="O210" s="40"/>
      <c r="P210" s="40"/>
      <c r="Q210" s="40"/>
      <c r="R210" s="40"/>
      <c r="S210" s="40"/>
      <c r="T210" s="40"/>
    </row>
    <row r="211" spans="14:20">
      <c r="N211" s="40"/>
      <c r="O211" s="40"/>
      <c r="P211" s="40"/>
      <c r="Q211" s="40"/>
      <c r="R211" s="40"/>
      <c r="S211" s="40"/>
      <c r="T211" s="40"/>
    </row>
    <row r="212" spans="14:20">
      <c r="N212" s="40"/>
      <c r="O212" s="40"/>
      <c r="P212" s="40"/>
      <c r="Q212" s="40"/>
      <c r="R212" s="40"/>
      <c r="S212" s="40"/>
      <c r="T212" s="40"/>
    </row>
    <row r="213" spans="14:20">
      <c r="N213" s="40"/>
      <c r="O213" s="40"/>
      <c r="P213" s="40"/>
      <c r="Q213" s="40"/>
      <c r="R213" s="40"/>
      <c r="S213" s="40"/>
      <c r="T213" s="40"/>
    </row>
    <row r="214" spans="14:20">
      <c r="N214" s="40"/>
      <c r="O214" s="40"/>
      <c r="P214" s="40"/>
      <c r="Q214" s="40"/>
      <c r="R214" s="40"/>
      <c r="S214" s="40"/>
      <c r="T214" s="40"/>
    </row>
    <row r="215" spans="14:20">
      <c r="N215" s="40"/>
      <c r="O215" s="40"/>
      <c r="P215" s="40"/>
      <c r="Q215" s="40"/>
      <c r="R215" s="40"/>
      <c r="S215" s="40"/>
      <c r="T215" s="40"/>
    </row>
    <row r="216" spans="14:20">
      <c r="N216" s="40"/>
      <c r="O216" s="40"/>
      <c r="P216" s="40"/>
      <c r="Q216" s="40"/>
      <c r="R216" s="40"/>
      <c r="S216" s="40"/>
      <c r="T216" s="40"/>
    </row>
    <row r="217" spans="14:20">
      <c r="N217" s="40"/>
      <c r="O217" s="40"/>
      <c r="P217" s="40"/>
      <c r="Q217" s="40"/>
      <c r="R217" s="40"/>
      <c r="S217" s="40"/>
      <c r="T217" s="40"/>
    </row>
    <row r="218" spans="14:20">
      <c r="N218" s="40"/>
      <c r="O218" s="40"/>
      <c r="P218" s="40"/>
      <c r="Q218" s="40"/>
      <c r="R218" s="40"/>
      <c r="S218" s="40"/>
      <c r="T218" s="40"/>
    </row>
    <row r="219" spans="14:20">
      <c r="N219" s="40"/>
      <c r="O219" s="40"/>
      <c r="P219" s="40"/>
      <c r="Q219" s="40"/>
      <c r="R219" s="40"/>
      <c r="S219" s="40"/>
      <c r="T219" s="40"/>
    </row>
    <row r="220" spans="14:20">
      <c r="N220" s="40"/>
      <c r="O220" s="40"/>
      <c r="P220" s="40"/>
      <c r="Q220" s="40"/>
      <c r="R220" s="40"/>
      <c r="S220" s="40"/>
      <c r="T220" s="40"/>
    </row>
    <row r="221" spans="14:20">
      <c r="N221" s="40"/>
      <c r="O221" s="40"/>
      <c r="P221" s="40"/>
      <c r="Q221" s="40"/>
      <c r="R221" s="40"/>
      <c r="S221" s="40"/>
      <c r="T221" s="40"/>
    </row>
    <row r="222" spans="14:20">
      <c r="N222" s="40"/>
      <c r="O222" s="40"/>
      <c r="P222" s="40"/>
      <c r="Q222" s="40"/>
      <c r="R222" s="40"/>
      <c r="S222" s="40"/>
      <c r="T222" s="40"/>
    </row>
    <row r="223" spans="14:20">
      <c r="N223" s="40"/>
      <c r="O223" s="40"/>
      <c r="P223" s="40"/>
      <c r="Q223" s="40"/>
      <c r="R223" s="40"/>
      <c r="S223" s="40"/>
      <c r="T223" s="40"/>
    </row>
    <row r="224" spans="14:20">
      <c r="N224" s="40"/>
      <c r="O224" s="40"/>
      <c r="P224" s="40"/>
      <c r="Q224" s="40"/>
      <c r="R224" s="40"/>
      <c r="S224" s="40"/>
      <c r="T224" s="40"/>
    </row>
    <row r="225" spans="14:20">
      <c r="N225" s="40"/>
      <c r="O225" s="40"/>
      <c r="P225" s="40"/>
      <c r="Q225" s="40"/>
      <c r="R225" s="40"/>
      <c r="S225" s="40"/>
      <c r="T225" s="40"/>
    </row>
    <row r="226" spans="14:20">
      <c r="N226" s="40"/>
      <c r="O226" s="40"/>
      <c r="P226" s="40"/>
      <c r="Q226" s="40"/>
      <c r="R226" s="40"/>
      <c r="S226" s="40"/>
      <c r="T226" s="40"/>
    </row>
    <row r="227" spans="14:20">
      <c r="N227" s="40"/>
      <c r="O227" s="40"/>
      <c r="P227" s="40"/>
      <c r="Q227" s="40"/>
      <c r="R227" s="40"/>
      <c r="S227" s="40"/>
      <c r="T227" s="40"/>
    </row>
    <row r="228" spans="14:20">
      <c r="N228" s="40"/>
      <c r="O228" s="40"/>
      <c r="P228" s="40"/>
      <c r="Q228" s="40"/>
      <c r="R228" s="40"/>
      <c r="S228" s="40"/>
      <c r="T228" s="40"/>
    </row>
    <row r="229" spans="14:20">
      <c r="N229" s="40"/>
      <c r="O229" s="40"/>
      <c r="P229" s="40"/>
      <c r="Q229" s="40"/>
      <c r="R229" s="40"/>
      <c r="S229" s="40"/>
      <c r="T229" s="40"/>
    </row>
    <row r="230" spans="14:20">
      <c r="N230" s="40"/>
      <c r="O230" s="40"/>
      <c r="P230" s="40"/>
      <c r="Q230" s="40"/>
      <c r="R230" s="40"/>
      <c r="S230" s="40"/>
      <c r="T230" s="40"/>
    </row>
    <row r="231" spans="14:20">
      <c r="N231" s="40"/>
      <c r="O231" s="40"/>
      <c r="P231" s="40"/>
      <c r="Q231" s="40"/>
      <c r="R231" s="40"/>
      <c r="S231" s="40"/>
      <c r="T231" s="40"/>
    </row>
    <row r="232" spans="14:20">
      <c r="N232" s="40"/>
      <c r="O232" s="40"/>
      <c r="P232" s="40"/>
      <c r="Q232" s="40"/>
      <c r="R232" s="40"/>
      <c r="S232" s="40"/>
      <c r="T232" s="40"/>
    </row>
    <row r="233" spans="14:20">
      <c r="N233" s="40"/>
      <c r="O233" s="40"/>
      <c r="P233" s="40"/>
      <c r="Q233" s="40"/>
      <c r="R233" s="40"/>
      <c r="S233" s="40"/>
      <c r="T233" s="40"/>
    </row>
    <row r="234" spans="14:20">
      <c r="N234" s="40"/>
      <c r="O234" s="40"/>
      <c r="P234" s="40"/>
      <c r="Q234" s="40"/>
      <c r="R234" s="40"/>
      <c r="S234" s="40"/>
      <c r="T234" s="40"/>
    </row>
    <row r="235" spans="14:20">
      <c r="N235" s="40"/>
      <c r="O235" s="40"/>
      <c r="P235" s="40"/>
      <c r="Q235" s="40"/>
      <c r="R235" s="40"/>
      <c r="S235" s="40"/>
      <c r="T235" s="40"/>
    </row>
    <row r="236" spans="14:20">
      <c r="N236" s="40"/>
      <c r="O236" s="40"/>
      <c r="P236" s="40"/>
      <c r="Q236" s="40"/>
      <c r="R236" s="40"/>
      <c r="S236" s="40"/>
      <c r="T236" s="40"/>
    </row>
    <row r="237" spans="14:20">
      <c r="N237" s="40"/>
      <c r="O237" s="40"/>
      <c r="P237" s="40"/>
      <c r="Q237" s="40"/>
      <c r="R237" s="40"/>
      <c r="S237" s="40"/>
      <c r="T237" s="40"/>
    </row>
    <row r="238" spans="14:20">
      <c r="N238" s="40"/>
      <c r="O238" s="40"/>
      <c r="P238" s="40"/>
      <c r="Q238" s="40"/>
      <c r="R238" s="40"/>
      <c r="S238" s="40"/>
      <c r="T238" s="40"/>
    </row>
    <row r="239" spans="14:20">
      <c r="N239" s="40"/>
      <c r="O239" s="40"/>
      <c r="P239" s="40"/>
      <c r="Q239" s="40"/>
      <c r="R239" s="40"/>
      <c r="S239" s="40"/>
      <c r="T239" s="40"/>
    </row>
    <row r="240" spans="14:20">
      <c r="N240" s="40"/>
      <c r="O240" s="40"/>
      <c r="P240" s="40"/>
      <c r="Q240" s="40"/>
      <c r="R240" s="40"/>
      <c r="S240" s="40"/>
      <c r="T240" s="40"/>
    </row>
    <row r="241" spans="14:20">
      <c r="N241" s="40"/>
      <c r="O241" s="40"/>
      <c r="P241" s="40"/>
      <c r="Q241" s="40"/>
      <c r="R241" s="40"/>
      <c r="S241" s="40"/>
      <c r="T241" s="40"/>
    </row>
    <row r="242" spans="14:20">
      <c r="N242" s="40"/>
      <c r="O242" s="40"/>
      <c r="P242" s="40"/>
      <c r="Q242" s="40"/>
      <c r="R242" s="40"/>
      <c r="S242" s="40"/>
      <c r="T242" s="40"/>
    </row>
    <row r="243" spans="14:20">
      <c r="N243" s="40"/>
      <c r="O243" s="40"/>
      <c r="P243" s="40"/>
      <c r="Q243" s="40"/>
      <c r="R243" s="40"/>
      <c r="S243" s="40"/>
      <c r="T243" s="40"/>
    </row>
    <row r="244" spans="14:20">
      <c r="N244" s="40"/>
      <c r="O244" s="40"/>
      <c r="P244" s="40"/>
      <c r="Q244" s="40"/>
      <c r="R244" s="40"/>
      <c r="S244" s="40"/>
      <c r="T244" s="40"/>
    </row>
    <row r="245" spans="14:20">
      <c r="N245" s="40"/>
      <c r="O245" s="40"/>
      <c r="P245" s="40"/>
      <c r="Q245" s="40"/>
      <c r="R245" s="40"/>
      <c r="S245" s="40"/>
      <c r="T245" s="40"/>
    </row>
    <row r="246" spans="14:20">
      <c r="N246" s="40"/>
      <c r="O246" s="40"/>
      <c r="P246" s="40"/>
      <c r="Q246" s="40"/>
      <c r="R246" s="40"/>
      <c r="S246" s="40"/>
      <c r="T246" s="40"/>
    </row>
    <row r="247" spans="14:20">
      <c r="N247" s="40"/>
      <c r="O247" s="40"/>
      <c r="P247" s="40"/>
      <c r="Q247" s="40"/>
      <c r="R247" s="40"/>
      <c r="S247" s="40"/>
      <c r="T247" s="40"/>
    </row>
    <row r="248" spans="14:20">
      <c r="N248" s="40"/>
      <c r="O248" s="40"/>
      <c r="P248" s="40"/>
      <c r="Q248" s="40"/>
      <c r="R248" s="40"/>
      <c r="S248" s="40"/>
      <c r="T248" s="40"/>
    </row>
    <row r="249" spans="14:20">
      <c r="N249" s="40"/>
      <c r="O249" s="40"/>
      <c r="P249" s="40"/>
      <c r="Q249" s="40"/>
      <c r="R249" s="40"/>
      <c r="S249" s="40"/>
      <c r="T249" s="40"/>
    </row>
    <row r="250" spans="14:20">
      <c r="N250" s="40"/>
      <c r="O250" s="40"/>
      <c r="P250" s="40"/>
      <c r="Q250" s="40"/>
      <c r="R250" s="40"/>
      <c r="S250" s="40"/>
      <c r="T250" s="40"/>
    </row>
    <row r="251" spans="14:20">
      <c r="N251" s="40"/>
      <c r="O251" s="40"/>
      <c r="P251" s="40"/>
      <c r="Q251" s="40"/>
      <c r="R251" s="40"/>
      <c r="S251" s="40"/>
      <c r="T251" s="40"/>
    </row>
    <row r="252" spans="14:20">
      <c r="N252" s="40"/>
      <c r="O252" s="40"/>
      <c r="P252" s="40"/>
      <c r="Q252" s="40"/>
      <c r="R252" s="40"/>
      <c r="S252" s="40"/>
      <c r="T252" s="40"/>
    </row>
    <row r="253" spans="14:20">
      <c r="N253" s="40"/>
      <c r="O253" s="40"/>
      <c r="P253" s="40"/>
      <c r="Q253" s="40"/>
      <c r="R253" s="40"/>
      <c r="S253" s="40"/>
      <c r="T253" s="40"/>
    </row>
    <row r="254" spans="14:20">
      <c r="N254" s="40"/>
      <c r="O254" s="40"/>
      <c r="P254" s="40"/>
      <c r="Q254" s="40"/>
      <c r="R254" s="40"/>
      <c r="S254" s="40"/>
      <c r="T254" s="40"/>
    </row>
    <row r="255" spans="14:20">
      <c r="N255" s="40"/>
      <c r="O255" s="40"/>
      <c r="P255" s="40"/>
      <c r="Q255" s="40"/>
      <c r="R255" s="40"/>
      <c r="S255" s="40"/>
      <c r="T255" s="40"/>
    </row>
    <row r="256" spans="14:20">
      <c r="N256" s="40"/>
      <c r="O256" s="40"/>
      <c r="P256" s="40"/>
      <c r="Q256" s="40"/>
      <c r="R256" s="40"/>
      <c r="S256" s="40"/>
      <c r="T256" s="40"/>
    </row>
    <row r="257" spans="14:20">
      <c r="N257" s="40"/>
      <c r="O257" s="40"/>
      <c r="P257" s="40"/>
      <c r="Q257" s="40"/>
      <c r="R257" s="40"/>
      <c r="S257" s="40"/>
      <c r="T257" s="40"/>
    </row>
    <row r="258" spans="14:20">
      <c r="N258" s="40"/>
      <c r="O258" s="40"/>
      <c r="P258" s="40"/>
      <c r="Q258" s="40"/>
      <c r="R258" s="40"/>
      <c r="S258" s="40"/>
      <c r="T258" s="40"/>
    </row>
    <row r="259" spans="14:20">
      <c r="N259" s="40"/>
      <c r="O259" s="40"/>
      <c r="P259" s="40"/>
      <c r="Q259" s="40"/>
      <c r="R259" s="40"/>
      <c r="S259" s="40"/>
      <c r="T259" s="40"/>
    </row>
    <row r="260" spans="14:20">
      <c r="N260" s="40"/>
      <c r="O260" s="40"/>
      <c r="P260" s="40"/>
      <c r="Q260" s="40"/>
      <c r="R260" s="40"/>
      <c r="S260" s="40"/>
      <c r="T260" s="40"/>
    </row>
    <row r="261" spans="14:20">
      <c r="N261" s="40"/>
      <c r="O261" s="40"/>
      <c r="P261" s="40"/>
      <c r="Q261" s="40"/>
      <c r="R261" s="40"/>
      <c r="S261" s="40"/>
      <c r="T261" s="40"/>
    </row>
    <row r="262" spans="14:20">
      <c r="N262" s="40"/>
      <c r="O262" s="40"/>
      <c r="P262" s="40"/>
      <c r="Q262" s="40"/>
      <c r="R262" s="40"/>
      <c r="S262" s="40"/>
      <c r="T262" s="40"/>
    </row>
    <row r="263" spans="14:20">
      <c r="N263" s="40"/>
      <c r="O263" s="40"/>
      <c r="P263" s="40"/>
      <c r="Q263" s="40"/>
      <c r="R263" s="40"/>
      <c r="S263" s="40"/>
      <c r="T263" s="40"/>
    </row>
    <row r="264" spans="14:20">
      <c r="N264" s="40"/>
      <c r="O264" s="40"/>
      <c r="P264" s="40"/>
      <c r="Q264" s="40"/>
      <c r="R264" s="40"/>
      <c r="S264" s="40"/>
      <c r="T264" s="40"/>
    </row>
    <row r="265" spans="14:20">
      <c r="N265" s="40"/>
      <c r="O265" s="40"/>
      <c r="P265" s="40"/>
      <c r="Q265" s="40"/>
      <c r="R265" s="40"/>
      <c r="S265" s="40"/>
      <c r="T265" s="40"/>
    </row>
    <row r="266" spans="14:20">
      <c r="N266" s="40"/>
      <c r="O266" s="40"/>
      <c r="P266" s="40"/>
      <c r="Q266" s="40"/>
      <c r="R266" s="40"/>
      <c r="S266" s="40"/>
      <c r="T266" s="40"/>
    </row>
    <row r="267" spans="14:20">
      <c r="N267" s="40"/>
      <c r="O267" s="40"/>
      <c r="P267" s="40"/>
      <c r="Q267" s="40"/>
      <c r="R267" s="40"/>
      <c r="S267" s="40"/>
      <c r="T267" s="40"/>
    </row>
    <row r="268" spans="14:20">
      <c r="N268" s="40"/>
      <c r="O268" s="40"/>
      <c r="P268" s="40"/>
      <c r="Q268" s="40"/>
      <c r="R268" s="40"/>
      <c r="S268" s="40"/>
      <c r="T268" s="40"/>
    </row>
    <row r="269" spans="14:20">
      <c r="N269" s="40"/>
      <c r="O269" s="40"/>
      <c r="P269" s="40"/>
      <c r="Q269" s="40"/>
      <c r="R269" s="40"/>
      <c r="S269" s="40"/>
      <c r="T269" s="40"/>
    </row>
    <row r="270" spans="14:20">
      <c r="N270" s="40"/>
      <c r="O270" s="40"/>
      <c r="P270" s="40"/>
      <c r="Q270" s="40"/>
      <c r="R270" s="40"/>
      <c r="S270" s="40"/>
      <c r="T270" s="40"/>
    </row>
    <row r="271" spans="14:20">
      <c r="N271" s="40"/>
      <c r="O271" s="40"/>
      <c r="P271" s="40"/>
      <c r="Q271" s="40"/>
      <c r="R271" s="40"/>
      <c r="S271" s="40"/>
      <c r="T271" s="40"/>
    </row>
    <row r="272" spans="14:20">
      <c r="N272" s="40"/>
      <c r="O272" s="40"/>
      <c r="P272" s="40"/>
      <c r="Q272" s="40"/>
      <c r="R272" s="40"/>
      <c r="S272" s="40"/>
      <c r="T272" s="40"/>
    </row>
    <row r="273" spans="14:20">
      <c r="N273" s="40"/>
      <c r="O273" s="40"/>
      <c r="P273" s="40"/>
      <c r="Q273" s="40"/>
      <c r="R273" s="40"/>
      <c r="S273" s="40"/>
      <c r="T273" s="40"/>
    </row>
    <row r="274" spans="14:20">
      <c r="N274" s="40"/>
      <c r="O274" s="40"/>
      <c r="P274" s="40"/>
      <c r="Q274" s="40"/>
      <c r="R274" s="40"/>
      <c r="S274" s="40"/>
      <c r="T274" s="40"/>
    </row>
    <row r="275" spans="14:20">
      <c r="N275" s="40"/>
      <c r="O275" s="40"/>
      <c r="P275" s="40"/>
      <c r="Q275" s="40"/>
      <c r="R275" s="40"/>
      <c r="S275" s="40"/>
      <c r="T275" s="40"/>
    </row>
    <row r="276" spans="14:20">
      <c r="N276" s="40"/>
      <c r="O276" s="40"/>
      <c r="P276" s="40"/>
      <c r="Q276" s="40"/>
      <c r="R276" s="40"/>
      <c r="S276" s="40"/>
      <c r="T276" s="40"/>
    </row>
    <row r="277" spans="14:20">
      <c r="N277" s="40"/>
      <c r="O277" s="40"/>
      <c r="P277" s="40"/>
      <c r="Q277" s="40"/>
      <c r="R277" s="40"/>
      <c r="S277" s="40"/>
      <c r="T277" s="40"/>
    </row>
    <row r="278" spans="14:20">
      <c r="N278" s="40"/>
      <c r="O278" s="40"/>
      <c r="P278" s="40"/>
      <c r="Q278" s="40"/>
      <c r="R278" s="40"/>
      <c r="S278" s="40"/>
      <c r="T278" s="40"/>
    </row>
    <row r="279" spans="14:20">
      <c r="N279" s="40"/>
      <c r="O279" s="40"/>
      <c r="P279" s="40"/>
      <c r="Q279" s="40"/>
      <c r="R279" s="40"/>
      <c r="S279" s="40"/>
      <c r="T279" s="40"/>
    </row>
    <row r="280" spans="14:20">
      <c r="N280" s="40"/>
      <c r="O280" s="40"/>
      <c r="P280" s="40"/>
      <c r="Q280" s="40"/>
      <c r="R280" s="40"/>
      <c r="S280" s="40"/>
      <c r="T280" s="40"/>
    </row>
    <row r="281" spans="14:20">
      <c r="N281" s="40"/>
      <c r="O281" s="40"/>
      <c r="P281" s="40"/>
      <c r="Q281" s="40"/>
      <c r="R281" s="40"/>
      <c r="S281" s="40"/>
      <c r="T281" s="40"/>
    </row>
    <row r="282" spans="14:20">
      <c r="N282" s="40"/>
      <c r="O282" s="40"/>
      <c r="P282" s="40"/>
      <c r="Q282" s="40"/>
      <c r="R282" s="40"/>
      <c r="S282" s="40"/>
      <c r="T282" s="40"/>
    </row>
    <row r="283" spans="14:20">
      <c r="N283" s="40"/>
      <c r="O283" s="40"/>
      <c r="P283" s="40"/>
      <c r="Q283" s="40"/>
      <c r="R283" s="40"/>
      <c r="S283" s="40"/>
      <c r="T283" s="40"/>
    </row>
    <row r="284" spans="14:20">
      <c r="N284" s="40"/>
      <c r="O284" s="40"/>
      <c r="P284" s="40"/>
      <c r="Q284" s="40"/>
      <c r="R284" s="40"/>
      <c r="S284" s="40"/>
      <c r="T284" s="40"/>
    </row>
    <row r="285" spans="14:20">
      <c r="N285" s="40"/>
      <c r="O285" s="40"/>
      <c r="P285" s="40"/>
      <c r="Q285" s="40"/>
      <c r="R285" s="40"/>
      <c r="S285" s="40"/>
      <c r="T285" s="40"/>
    </row>
    <row r="286" spans="14:20">
      <c r="N286" s="40"/>
      <c r="O286" s="40"/>
      <c r="P286" s="40"/>
      <c r="Q286" s="40"/>
      <c r="R286" s="40"/>
      <c r="S286" s="40"/>
      <c r="T286" s="40"/>
    </row>
    <row r="287" spans="14:20">
      <c r="N287" s="40"/>
      <c r="O287" s="40"/>
      <c r="P287" s="40"/>
      <c r="Q287" s="40"/>
      <c r="R287" s="40"/>
      <c r="S287" s="40"/>
      <c r="T287" s="40"/>
    </row>
    <row r="288" spans="14:20">
      <c r="N288" s="40"/>
      <c r="O288" s="40"/>
      <c r="P288" s="40"/>
      <c r="Q288" s="40"/>
      <c r="R288" s="40"/>
      <c r="S288" s="40"/>
      <c r="T288" s="40"/>
    </row>
    <row r="289" spans="14:20">
      <c r="N289" s="40"/>
      <c r="O289" s="40"/>
      <c r="P289" s="40"/>
      <c r="Q289" s="40"/>
      <c r="R289" s="40"/>
      <c r="S289" s="40"/>
      <c r="T289" s="40"/>
    </row>
    <row r="290" spans="14:20">
      <c r="N290" s="40"/>
      <c r="O290" s="40"/>
      <c r="P290" s="40"/>
      <c r="Q290" s="40"/>
      <c r="R290" s="40"/>
      <c r="S290" s="40"/>
      <c r="T290" s="40"/>
    </row>
    <row r="291" spans="14:20">
      <c r="N291" s="40"/>
      <c r="O291" s="40"/>
      <c r="P291" s="40"/>
      <c r="Q291" s="40"/>
      <c r="R291" s="40"/>
      <c r="S291" s="40"/>
      <c r="T291" s="40"/>
    </row>
    <row r="292" spans="14:20">
      <c r="N292" s="40"/>
      <c r="O292" s="40"/>
      <c r="P292" s="40"/>
      <c r="Q292" s="40"/>
      <c r="R292" s="40"/>
      <c r="S292" s="40"/>
      <c r="T292" s="40"/>
    </row>
    <row r="293" spans="14:20">
      <c r="N293" s="40"/>
      <c r="O293" s="40"/>
      <c r="P293" s="40"/>
      <c r="Q293" s="40"/>
      <c r="R293" s="40"/>
      <c r="S293" s="40"/>
      <c r="T293" s="40"/>
    </row>
    <row r="294" spans="14:20">
      <c r="N294" s="40"/>
      <c r="O294" s="40"/>
      <c r="P294" s="40"/>
      <c r="Q294" s="40"/>
      <c r="R294" s="40"/>
      <c r="S294" s="40"/>
      <c r="T294" s="40"/>
    </row>
    <row r="295" spans="14:20">
      <c r="N295" s="40"/>
      <c r="O295" s="40"/>
      <c r="P295" s="40"/>
      <c r="Q295" s="40"/>
      <c r="R295" s="40"/>
      <c r="S295" s="40"/>
      <c r="T295" s="40"/>
    </row>
    <row r="296" spans="14:20">
      <c r="N296" s="40"/>
      <c r="O296" s="40"/>
      <c r="P296" s="40"/>
      <c r="Q296" s="40"/>
      <c r="R296" s="40"/>
      <c r="S296" s="40"/>
      <c r="T296" s="40"/>
    </row>
    <row r="297" spans="14:20">
      <c r="N297" s="40"/>
      <c r="O297" s="40"/>
      <c r="P297" s="40"/>
      <c r="Q297" s="40"/>
      <c r="R297" s="40"/>
      <c r="S297" s="40"/>
      <c r="T297" s="40"/>
    </row>
    <row r="298" spans="14:20">
      <c r="N298" s="40"/>
      <c r="O298" s="40"/>
      <c r="P298" s="40"/>
      <c r="Q298" s="40"/>
      <c r="R298" s="40"/>
      <c r="S298" s="40"/>
      <c r="T298" s="40"/>
    </row>
    <row r="299" spans="14:20">
      <c r="N299" s="40"/>
      <c r="O299" s="40"/>
      <c r="P299" s="40"/>
      <c r="Q299" s="40"/>
      <c r="R299" s="40"/>
      <c r="S299" s="40"/>
      <c r="T299" s="40"/>
    </row>
    <row r="300" spans="14:20">
      <c r="N300" s="40"/>
      <c r="O300" s="40"/>
      <c r="P300" s="40"/>
      <c r="Q300" s="40"/>
      <c r="R300" s="40"/>
      <c r="S300" s="40"/>
      <c r="T300" s="40"/>
    </row>
    <row r="301" spans="14:20">
      <c r="N301" s="40"/>
      <c r="O301" s="40"/>
      <c r="P301" s="40"/>
      <c r="Q301" s="40"/>
      <c r="R301" s="40"/>
      <c r="S301" s="40"/>
      <c r="T301" s="40"/>
    </row>
    <row r="302" spans="14:20">
      <c r="N302" s="40"/>
      <c r="O302" s="40"/>
      <c r="P302" s="40"/>
      <c r="Q302" s="40"/>
      <c r="R302" s="40"/>
      <c r="S302" s="40"/>
      <c r="T302" s="40"/>
    </row>
    <row r="303" spans="14:20">
      <c r="N303" s="40"/>
      <c r="O303" s="40"/>
      <c r="P303" s="40"/>
      <c r="Q303" s="40"/>
      <c r="R303" s="40"/>
      <c r="S303" s="40"/>
      <c r="T303" s="40"/>
    </row>
    <row r="304" spans="14:20">
      <c r="N304" s="40"/>
      <c r="O304" s="40"/>
      <c r="P304" s="40"/>
      <c r="Q304" s="40"/>
      <c r="R304" s="40"/>
      <c r="S304" s="40"/>
      <c r="T304" s="40"/>
    </row>
    <row r="305" spans="14:20">
      <c r="N305" s="40"/>
      <c r="O305" s="40"/>
      <c r="P305" s="40"/>
      <c r="Q305" s="40"/>
      <c r="R305" s="40"/>
      <c r="S305" s="40"/>
      <c r="T305" s="40"/>
    </row>
    <row r="306" spans="14:20">
      <c r="N306" s="40"/>
      <c r="O306" s="40"/>
      <c r="P306" s="40"/>
      <c r="Q306" s="40"/>
      <c r="R306" s="40"/>
      <c r="S306" s="40"/>
      <c r="T306" s="40"/>
    </row>
    <row r="307" spans="14:20">
      <c r="N307" s="40"/>
      <c r="O307" s="40"/>
      <c r="P307" s="40"/>
      <c r="Q307" s="40"/>
      <c r="R307" s="40"/>
      <c r="S307" s="40"/>
      <c r="T307" s="40"/>
    </row>
    <row r="308" spans="14:20">
      <c r="N308" s="40"/>
      <c r="O308" s="40"/>
      <c r="P308" s="40"/>
      <c r="Q308" s="40"/>
      <c r="R308" s="40"/>
      <c r="S308" s="40"/>
      <c r="T308" s="40"/>
    </row>
    <row r="309" spans="14:20">
      <c r="N309" s="40"/>
      <c r="O309" s="40"/>
      <c r="P309" s="40"/>
      <c r="Q309" s="40"/>
      <c r="R309" s="40"/>
      <c r="S309" s="40"/>
      <c r="T309" s="40"/>
    </row>
    <row r="310" spans="14:20">
      <c r="N310" s="40"/>
      <c r="O310" s="40"/>
      <c r="P310" s="40"/>
      <c r="Q310" s="40"/>
      <c r="R310" s="40"/>
      <c r="S310" s="40"/>
      <c r="T310" s="40"/>
    </row>
    <row r="311" spans="14:20">
      <c r="N311" s="40"/>
      <c r="O311" s="40"/>
      <c r="P311" s="40"/>
      <c r="Q311" s="40"/>
      <c r="R311" s="40"/>
      <c r="S311" s="40"/>
      <c r="T311" s="40"/>
    </row>
    <row r="312" spans="14:20">
      <c r="N312" s="40"/>
      <c r="O312" s="40"/>
      <c r="P312" s="40"/>
      <c r="Q312" s="40"/>
      <c r="R312" s="40"/>
      <c r="S312" s="40"/>
      <c r="T312" s="40"/>
    </row>
    <row r="313" spans="14:20">
      <c r="N313" s="40"/>
      <c r="O313" s="40"/>
      <c r="P313" s="40"/>
      <c r="Q313" s="40"/>
      <c r="R313" s="40"/>
      <c r="S313" s="40"/>
      <c r="T313" s="40"/>
    </row>
    <row r="314" spans="14:20">
      <c r="N314" s="40"/>
      <c r="O314" s="40"/>
      <c r="P314" s="40"/>
      <c r="Q314" s="40"/>
      <c r="R314" s="40"/>
      <c r="S314" s="40"/>
      <c r="T314" s="40"/>
    </row>
    <row r="315" spans="14:20">
      <c r="N315" s="40"/>
      <c r="O315" s="40"/>
      <c r="P315" s="40"/>
      <c r="Q315" s="40"/>
      <c r="R315" s="40"/>
      <c r="S315" s="40"/>
      <c r="T315" s="40"/>
    </row>
    <row r="316" spans="14:20">
      <c r="N316" s="40"/>
      <c r="O316" s="40"/>
      <c r="P316" s="40"/>
      <c r="Q316" s="40"/>
      <c r="R316" s="40"/>
      <c r="S316" s="40"/>
      <c r="T316" s="40"/>
    </row>
    <row r="317" spans="14:20">
      <c r="N317" s="40"/>
      <c r="O317" s="40"/>
      <c r="P317" s="40"/>
      <c r="Q317" s="40"/>
      <c r="R317" s="40"/>
      <c r="S317" s="40"/>
      <c r="T317" s="40"/>
    </row>
    <row r="318" spans="14:20">
      <c r="N318" s="40"/>
      <c r="O318" s="40"/>
      <c r="P318" s="40"/>
      <c r="Q318" s="40"/>
      <c r="R318" s="40"/>
      <c r="S318" s="40"/>
      <c r="T318" s="40"/>
    </row>
    <row r="319" spans="14:20">
      <c r="N319" s="40"/>
      <c r="O319" s="40"/>
      <c r="P319" s="40"/>
      <c r="Q319" s="40"/>
      <c r="R319" s="40"/>
      <c r="S319" s="40"/>
      <c r="T319" s="40"/>
    </row>
    <row r="320" spans="14:20">
      <c r="N320" s="40"/>
      <c r="O320" s="40"/>
      <c r="P320" s="40"/>
      <c r="Q320" s="40"/>
      <c r="R320" s="40"/>
      <c r="S320" s="40"/>
      <c r="T320" s="40"/>
    </row>
    <row r="321" spans="14:20">
      <c r="N321" s="40"/>
      <c r="O321" s="40"/>
      <c r="P321" s="40"/>
      <c r="Q321" s="40"/>
      <c r="R321" s="40"/>
      <c r="S321" s="40"/>
      <c r="T321" s="40"/>
    </row>
    <row r="322" spans="14:20">
      <c r="N322" s="40"/>
      <c r="O322" s="40"/>
      <c r="P322" s="40"/>
      <c r="Q322" s="40"/>
      <c r="R322" s="40"/>
      <c r="S322" s="40"/>
      <c r="T322" s="40"/>
    </row>
    <row r="323" spans="14:20">
      <c r="N323" s="40"/>
      <c r="O323" s="40"/>
      <c r="P323" s="40"/>
      <c r="Q323" s="40"/>
      <c r="R323" s="40"/>
      <c r="S323" s="40"/>
      <c r="T323" s="40"/>
    </row>
    <row r="324" spans="14:20">
      <c r="N324" s="40"/>
      <c r="O324" s="40"/>
      <c r="P324" s="40"/>
      <c r="Q324" s="40"/>
      <c r="R324" s="40"/>
      <c r="S324" s="40"/>
      <c r="T324" s="40"/>
    </row>
    <row r="325" spans="14:20">
      <c r="N325" s="40"/>
      <c r="O325" s="40"/>
      <c r="P325" s="40"/>
      <c r="Q325" s="40"/>
      <c r="R325" s="40"/>
      <c r="S325" s="40"/>
      <c r="T325" s="40"/>
    </row>
    <row r="326" spans="14:20">
      <c r="N326" s="40"/>
      <c r="O326" s="40"/>
      <c r="P326" s="40"/>
      <c r="Q326" s="40"/>
      <c r="R326" s="40"/>
      <c r="S326" s="40"/>
      <c r="T326" s="40"/>
    </row>
    <row r="327" spans="14:20">
      <c r="N327" s="40"/>
      <c r="O327" s="40"/>
      <c r="P327" s="40"/>
      <c r="Q327" s="40"/>
      <c r="R327" s="40"/>
      <c r="S327" s="40"/>
      <c r="T327" s="40"/>
    </row>
    <row r="328" spans="14:20">
      <c r="N328" s="40"/>
      <c r="O328" s="40"/>
      <c r="P328" s="40"/>
      <c r="Q328" s="40"/>
      <c r="R328" s="40"/>
      <c r="S328" s="40"/>
      <c r="T328" s="40"/>
    </row>
    <row r="329" spans="14:20">
      <c r="N329" s="40"/>
      <c r="O329" s="40"/>
      <c r="P329" s="40"/>
      <c r="Q329" s="40"/>
      <c r="R329" s="40"/>
      <c r="S329" s="40"/>
      <c r="T329" s="40"/>
    </row>
    <row r="330" spans="14:20">
      <c r="N330" s="40"/>
      <c r="O330" s="40"/>
      <c r="P330" s="40"/>
      <c r="Q330" s="40"/>
      <c r="R330" s="40"/>
      <c r="S330" s="40"/>
      <c r="T330" s="40"/>
    </row>
    <row r="331" spans="14:20">
      <c r="N331" s="40"/>
      <c r="O331" s="40"/>
      <c r="P331" s="40"/>
      <c r="Q331" s="40"/>
      <c r="R331" s="40"/>
      <c r="S331" s="40"/>
      <c r="T331" s="40"/>
    </row>
    <row r="332" spans="14:20">
      <c r="N332" s="40"/>
      <c r="O332" s="40"/>
      <c r="P332" s="40"/>
      <c r="Q332" s="40"/>
      <c r="R332" s="40"/>
      <c r="S332" s="40"/>
      <c r="T332" s="40"/>
    </row>
    <row r="333" spans="14:20">
      <c r="N333" s="40"/>
      <c r="O333" s="40"/>
      <c r="P333" s="40"/>
      <c r="Q333" s="40"/>
      <c r="R333" s="40"/>
      <c r="S333" s="40"/>
      <c r="T333" s="40"/>
    </row>
    <row r="334" spans="14:20">
      <c r="N334" s="40"/>
      <c r="O334" s="40"/>
      <c r="P334" s="40"/>
      <c r="Q334" s="40"/>
      <c r="R334" s="40"/>
      <c r="S334" s="40"/>
      <c r="T334" s="40"/>
    </row>
    <row r="335" spans="14:20">
      <c r="N335" s="40"/>
      <c r="O335" s="40"/>
      <c r="P335" s="40"/>
      <c r="Q335" s="40"/>
      <c r="R335" s="40"/>
      <c r="S335" s="40"/>
      <c r="T335" s="40"/>
    </row>
    <row r="336" spans="14:20">
      <c r="N336" s="40"/>
      <c r="O336" s="40"/>
      <c r="P336" s="40"/>
      <c r="Q336" s="40"/>
      <c r="R336" s="40"/>
      <c r="S336" s="40"/>
      <c r="T336" s="40"/>
    </row>
    <row r="337" spans="14:20">
      <c r="N337" s="40"/>
      <c r="O337" s="40"/>
      <c r="P337" s="40"/>
      <c r="Q337" s="40"/>
      <c r="R337" s="40"/>
      <c r="S337" s="40"/>
      <c r="T337" s="40"/>
    </row>
    <row r="338" spans="14:20">
      <c r="N338" s="40"/>
      <c r="O338" s="40"/>
      <c r="P338" s="40"/>
      <c r="Q338" s="40"/>
      <c r="R338" s="40"/>
      <c r="S338" s="40"/>
      <c r="T338" s="40"/>
    </row>
    <row r="339" spans="14:20">
      <c r="N339" s="40"/>
      <c r="O339" s="40"/>
      <c r="P339" s="40"/>
      <c r="Q339" s="40"/>
      <c r="R339" s="40"/>
      <c r="S339" s="40"/>
      <c r="T339" s="40"/>
    </row>
    <row r="340" spans="14:20">
      <c r="N340" s="40"/>
      <c r="O340" s="40"/>
      <c r="P340" s="40"/>
      <c r="Q340" s="40"/>
      <c r="R340" s="40"/>
      <c r="S340" s="40"/>
      <c r="T340" s="40"/>
    </row>
    <row r="341" spans="14:20">
      <c r="N341" s="40"/>
      <c r="O341" s="40"/>
      <c r="P341" s="40"/>
      <c r="Q341" s="40"/>
      <c r="R341" s="40"/>
      <c r="S341" s="40"/>
      <c r="T341" s="40"/>
    </row>
    <row r="342" spans="14:20">
      <c r="N342" s="40"/>
      <c r="O342" s="40"/>
      <c r="P342" s="40"/>
      <c r="Q342" s="40"/>
      <c r="R342" s="40"/>
      <c r="S342" s="40"/>
      <c r="T342" s="40"/>
    </row>
    <row r="343" spans="14:20">
      <c r="N343" s="40"/>
      <c r="O343" s="40"/>
      <c r="P343" s="40"/>
      <c r="Q343" s="40"/>
      <c r="R343" s="40"/>
      <c r="S343" s="40"/>
      <c r="T343" s="40"/>
    </row>
    <row r="344" spans="14:20">
      <c r="N344" s="40"/>
      <c r="O344" s="40"/>
      <c r="P344" s="40"/>
      <c r="Q344" s="40"/>
      <c r="R344" s="40"/>
      <c r="S344" s="40"/>
      <c r="T344" s="40"/>
    </row>
    <row r="345" spans="14:20">
      <c r="N345" s="40"/>
      <c r="O345" s="40"/>
      <c r="P345" s="40"/>
      <c r="Q345" s="40"/>
      <c r="R345" s="40"/>
      <c r="S345" s="40"/>
      <c r="T345" s="40"/>
    </row>
    <row r="346" spans="14:20">
      <c r="N346" s="40"/>
      <c r="O346" s="40"/>
      <c r="P346" s="40"/>
      <c r="Q346" s="40"/>
      <c r="R346" s="40"/>
      <c r="S346" s="40"/>
      <c r="T346" s="40"/>
    </row>
    <row r="347" spans="14:20">
      <c r="N347" s="40"/>
      <c r="O347" s="40"/>
      <c r="P347" s="40"/>
      <c r="Q347" s="40"/>
      <c r="R347" s="40"/>
      <c r="S347" s="40"/>
      <c r="T347" s="40"/>
    </row>
    <row r="348" spans="14:20">
      <c r="N348" s="40"/>
      <c r="O348" s="40"/>
      <c r="P348" s="40"/>
      <c r="Q348" s="40"/>
      <c r="R348" s="40"/>
      <c r="S348" s="40"/>
      <c r="T348" s="40"/>
    </row>
    <row r="349" spans="14:20">
      <c r="N349" s="40"/>
      <c r="O349" s="40"/>
      <c r="P349" s="40"/>
      <c r="Q349" s="40"/>
      <c r="R349" s="40"/>
      <c r="S349" s="40"/>
      <c r="T349" s="40"/>
    </row>
    <row r="350" spans="14:20">
      <c r="N350" s="40"/>
      <c r="O350" s="40"/>
      <c r="P350" s="40"/>
      <c r="Q350" s="40"/>
      <c r="R350" s="40"/>
      <c r="S350" s="40"/>
      <c r="T350" s="40"/>
    </row>
    <row r="351" spans="14:20">
      <c r="N351" s="40"/>
      <c r="O351" s="40"/>
      <c r="P351" s="40"/>
      <c r="Q351" s="40"/>
      <c r="R351" s="40"/>
      <c r="S351" s="40"/>
      <c r="T351" s="40"/>
    </row>
    <row r="352" spans="14:20">
      <c r="N352" s="40"/>
      <c r="O352" s="40"/>
      <c r="P352" s="40"/>
      <c r="Q352" s="40"/>
      <c r="R352" s="40"/>
      <c r="S352" s="40"/>
      <c r="T352" s="40"/>
    </row>
    <row r="353" spans="14:20">
      <c r="N353" s="40"/>
      <c r="O353" s="40"/>
      <c r="P353" s="40"/>
      <c r="Q353" s="40"/>
      <c r="R353" s="40"/>
      <c r="S353" s="40"/>
      <c r="T353" s="40"/>
    </row>
    <row r="354" spans="14:20">
      <c r="N354" s="40"/>
      <c r="O354" s="40"/>
      <c r="P354" s="40"/>
      <c r="Q354" s="40"/>
      <c r="R354" s="40"/>
      <c r="S354" s="40"/>
      <c r="T354" s="40"/>
    </row>
    <row r="355" spans="14:20">
      <c r="N355" s="40"/>
      <c r="O355" s="40"/>
      <c r="P355" s="40"/>
      <c r="Q355" s="40"/>
      <c r="R355" s="40"/>
      <c r="S355" s="40"/>
      <c r="T355" s="40"/>
    </row>
  </sheetData>
  <mergeCells count="2">
    <mergeCell ref="A1:K1"/>
    <mergeCell ref="A17:K18"/>
  </mergeCells>
  <printOptions horizontalCentered="1" verticalCentered="1"/>
  <pageMargins left="0.4" right="0.4" top="0.25" bottom="0.25" header="0.31496062992126" footer="0.31496062992126"/>
  <pageSetup scale="57" orientation="landscape" r:id="rId1"/>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6">
    <tabColor rgb="FF00B0F0"/>
    <pageSetUpPr fitToPage="1"/>
  </sheetPr>
  <dimension ref="A1:M68"/>
  <sheetViews>
    <sheetView showGridLines="0" view="pageBreakPreview" zoomScale="85" zoomScaleNormal="100" zoomScaleSheetLayoutView="85" workbookViewId="0">
      <pane ySplit="1" topLeftCell="A2" activePane="bottomLeft" state="frozen"/>
      <selection activeCell="M22" sqref="M22"/>
      <selection pane="bottomLeft" activeCell="A3" sqref="A3"/>
    </sheetView>
  </sheetViews>
  <sheetFormatPr baseColWidth="10" defaultColWidth="11.5703125" defaultRowHeight="15"/>
  <cols>
    <col min="1" max="1" width="5.28515625" style="151" customWidth="1"/>
    <col min="2" max="2" width="27.140625" style="45" customWidth="1"/>
    <col min="3" max="3" width="20.85546875" style="77" customWidth="1"/>
    <col min="4" max="4" width="21.42578125" style="77" customWidth="1"/>
    <col min="5" max="5" width="19.7109375" style="77" customWidth="1"/>
    <col min="6" max="11" width="17.42578125" style="77" bestFit="1" customWidth="1"/>
    <col min="12" max="12" width="17.140625" style="77" customWidth="1"/>
    <col min="13" max="13" width="11.5703125" style="77"/>
    <col min="14" max="14" width="22.140625" style="77" bestFit="1" customWidth="1"/>
    <col min="15" max="15" width="11.5703125" style="77"/>
    <col min="16" max="16" width="22.140625" style="77" bestFit="1" customWidth="1"/>
    <col min="17" max="16384" width="11.5703125" style="77"/>
  </cols>
  <sheetData>
    <row r="1" spans="1:13" ht="81.75" customHeight="1">
      <c r="B1" s="2131"/>
      <c r="C1" s="2131"/>
      <c r="D1" s="2131"/>
      <c r="E1" s="2131"/>
      <c r="F1" s="2131"/>
      <c r="G1" s="2131"/>
      <c r="H1" s="2131"/>
      <c r="I1" s="2131"/>
      <c r="J1" s="2131"/>
      <c r="K1" s="2131"/>
      <c r="L1" s="2131"/>
    </row>
    <row r="2" spans="1:13" ht="9.75" customHeight="1">
      <c r="B2" s="220"/>
      <c r="C2" s="1383"/>
      <c r="D2" s="1383"/>
      <c r="E2" s="1383"/>
      <c r="F2" s="1383"/>
      <c r="G2" s="1383"/>
      <c r="H2" s="1383"/>
      <c r="I2" s="1383"/>
      <c r="J2" s="1383"/>
      <c r="K2" s="1383"/>
      <c r="L2" s="1383"/>
    </row>
    <row r="3" spans="1:13" ht="26.25" customHeight="1">
      <c r="A3" s="954" t="s">
        <v>765</v>
      </c>
      <c r="B3" s="954" t="s">
        <v>106</v>
      </c>
      <c r="C3" s="955" t="s">
        <v>1009</v>
      </c>
      <c r="D3" s="956" t="s">
        <v>1010</v>
      </c>
      <c r="E3" s="956" t="s">
        <v>569</v>
      </c>
      <c r="F3" s="957" t="s">
        <v>561</v>
      </c>
      <c r="G3" s="957" t="s">
        <v>489</v>
      </c>
      <c r="H3" s="958">
        <v>2011</v>
      </c>
      <c r="I3" s="958" t="s">
        <v>148</v>
      </c>
      <c r="J3" s="958" t="s">
        <v>10</v>
      </c>
      <c r="K3" s="958" t="s">
        <v>9</v>
      </c>
      <c r="L3" s="959" t="s">
        <v>173</v>
      </c>
      <c r="M3" s="94"/>
    </row>
    <row r="4" spans="1:13">
      <c r="A4" s="1855">
        <v>1</v>
      </c>
      <c r="B4" s="960" t="s">
        <v>108</v>
      </c>
      <c r="C4" s="1251">
        <f>SUM(D4:L4)</f>
        <v>61201802118.369995</v>
      </c>
      <c r="D4" s="1776">
        <v>11058645522.190001</v>
      </c>
      <c r="E4" s="1252">
        <v>10983547966.809999</v>
      </c>
      <c r="F4" s="1252">
        <v>9607837034.2199993</v>
      </c>
      <c r="G4" s="1252">
        <v>8353917156.0299997</v>
      </c>
      <c r="H4" s="1252">
        <v>7058982563.4399996</v>
      </c>
      <c r="I4" s="1252">
        <v>5993827607.7299995</v>
      </c>
      <c r="J4" s="1252">
        <v>4255864090.8899999</v>
      </c>
      <c r="K4" s="1252">
        <v>3171956840.4299998</v>
      </c>
      <c r="L4" s="1253">
        <v>717223336.63</v>
      </c>
      <c r="M4" s="94"/>
    </row>
    <row r="5" spans="1:13">
      <c r="A5" s="1855">
        <v>2</v>
      </c>
      <c r="B5" s="960" t="s">
        <v>431</v>
      </c>
      <c r="C5" s="1251">
        <f t="shared" ref="C5:C32" si="0">SUM(D5:L5)</f>
        <v>26402798762.219994</v>
      </c>
      <c r="D5" s="1776">
        <v>4977660294.2299995</v>
      </c>
      <c r="E5" s="1252">
        <v>4893712873.4899998</v>
      </c>
      <c r="F5" s="1252">
        <v>4219650063.0100002</v>
      </c>
      <c r="G5" s="1252">
        <v>3583267317.25</v>
      </c>
      <c r="H5" s="1252">
        <v>2917251369.6199999</v>
      </c>
      <c r="I5" s="1252">
        <v>2453330107.3899999</v>
      </c>
      <c r="J5" s="1252">
        <v>1730845321.46</v>
      </c>
      <c r="K5" s="1252">
        <v>1321741372.6700001</v>
      </c>
      <c r="L5" s="1253">
        <v>305340043.10000002</v>
      </c>
      <c r="M5" s="94"/>
    </row>
    <row r="6" spans="1:13">
      <c r="A6" s="1855">
        <v>3</v>
      </c>
      <c r="B6" s="960" t="s">
        <v>111</v>
      </c>
      <c r="C6" s="1251">
        <f t="shared" si="0"/>
        <v>24983294049.329998</v>
      </c>
      <c r="D6" s="1776">
        <v>4605610575.4899998</v>
      </c>
      <c r="E6" s="1252">
        <v>4732632296.4300003</v>
      </c>
      <c r="F6" s="1252">
        <v>4513278180.0799999</v>
      </c>
      <c r="G6" s="1252">
        <v>4227970510.3499999</v>
      </c>
      <c r="H6" s="1252">
        <v>1418521323.0899999</v>
      </c>
      <c r="I6" s="1252">
        <v>2673949903.4499998</v>
      </c>
      <c r="J6" s="1252">
        <v>1522359931.3</v>
      </c>
      <c r="K6" s="1252">
        <v>837169120.65999997</v>
      </c>
      <c r="L6" s="1253">
        <v>451802208.48000002</v>
      </c>
      <c r="M6" s="94"/>
    </row>
    <row r="7" spans="1:13">
      <c r="A7" s="1855">
        <v>4</v>
      </c>
      <c r="B7" s="960" t="s">
        <v>110</v>
      </c>
      <c r="C7" s="1251">
        <f t="shared" si="0"/>
        <v>22436497328.240002</v>
      </c>
      <c r="D7" s="1776">
        <v>3801281549.25</v>
      </c>
      <c r="E7" s="1254">
        <v>4114822500.02</v>
      </c>
      <c r="F7" s="1254">
        <v>3882133121.6999998</v>
      </c>
      <c r="G7" s="1254">
        <v>2827902358.5799999</v>
      </c>
      <c r="H7" s="1252">
        <v>2348696304.6199999</v>
      </c>
      <c r="I7" s="1252">
        <v>2159111716.5100002</v>
      </c>
      <c r="J7" s="1252">
        <v>1693827132.6099999</v>
      </c>
      <c r="K7" s="1252">
        <v>1308068082.8399999</v>
      </c>
      <c r="L7" s="1253">
        <v>300654562.11000001</v>
      </c>
      <c r="M7" s="94"/>
    </row>
    <row r="8" spans="1:13">
      <c r="A8" s="1855">
        <v>5</v>
      </c>
      <c r="B8" s="960" t="s">
        <v>109</v>
      </c>
      <c r="C8" s="1251">
        <f t="shared" si="0"/>
        <v>13521549153.519999</v>
      </c>
      <c r="D8" s="1776">
        <v>741786477.62</v>
      </c>
      <c r="E8" s="1254">
        <v>978092827.33000004</v>
      </c>
      <c r="F8" s="1254">
        <v>1082661823.8499999</v>
      </c>
      <c r="G8" s="1254">
        <v>1207272450.53</v>
      </c>
      <c r="H8" s="1252">
        <v>3576534755.3000002</v>
      </c>
      <c r="I8" s="1252">
        <v>1854716686.5899999</v>
      </c>
      <c r="J8" s="1252">
        <v>1853101176.1400001</v>
      </c>
      <c r="K8" s="1252">
        <v>2032990871.3399999</v>
      </c>
      <c r="L8" s="1253">
        <v>194392084.81999999</v>
      </c>
      <c r="M8" s="94"/>
    </row>
    <row r="9" spans="1:13">
      <c r="A9" s="1855">
        <v>6</v>
      </c>
      <c r="B9" s="960" t="s">
        <v>112</v>
      </c>
      <c r="C9" s="1251">
        <f t="shared" si="0"/>
        <v>9574587332.1799984</v>
      </c>
      <c r="D9" s="1774">
        <v>1214653406.52</v>
      </c>
      <c r="E9" s="1254">
        <v>1141651799.97</v>
      </c>
      <c r="F9" s="1254">
        <v>1100171649.97</v>
      </c>
      <c r="G9" s="1254">
        <v>1108857163.1099999</v>
      </c>
      <c r="H9" s="1252">
        <v>1156590386.46</v>
      </c>
      <c r="I9" s="1252">
        <v>1325824546.05</v>
      </c>
      <c r="J9" s="1252">
        <v>1179591255.9300001</v>
      </c>
      <c r="K9" s="1252">
        <v>1086385507.04</v>
      </c>
      <c r="L9" s="1253">
        <v>260861617.13</v>
      </c>
      <c r="M9" s="94"/>
    </row>
    <row r="10" spans="1:13">
      <c r="A10" s="1855">
        <v>7</v>
      </c>
      <c r="B10" s="960" t="s">
        <v>200</v>
      </c>
      <c r="C10" s="1251">
        <f t="shared" si="0"/>
        <v>3119370268.7700009</v>
      </c>
      <c r="D10" s="1775"/>
      <c r="E10" s="1256">
        <v>0</v>
      </c>
      <c r="F10" s="1256">
        <v>0</v>
      </c>
      <c r="G10" s="1254">
        <v>543095997.98000002</v>
      </c>
      <c r="H10" s="1252">
        <v>713723197.57000005</v>
      </c>
      <c r="I10" s="1252">
        <v>664368054.84000003</v>
      </c>
      <c r="J10" s="1252">
        <v>532130158.67000002</v>
      </c>
      <c r="K10" s="1252">
        <v>540021886.18000007</v>
      </c>
      <c r="L10" s="1253">
        <v>126030973.53</v>
      </c>
      <c r="M10" s="94"/>
    </row>
    <row r="11" spans="1:13">
      <c r="A11" s="1855">
        <v>8</v>
      </c>
      <c r="B11" s="960" t="s">
        <v>116</v>
      </c>
      <c r="C11" s="1251">
        <f t="shared" si="0"/>
        <v>4103925814.9899998</v>
      </c>
      <c r="D11" s="1774">
        <v>1317432477.1400001</v>
      </c>
      <c r="E11" s="1254">
        <v>970844788.00999999</v>
      </c>
      <c r="F11" s="1254">
        <v>639742830.92999995</v>
      </c>
      <c r="G11" s="1254">
        <v>531091333.37</v>
      </c>
      <c r="H11" s="1252">
        <v>164597786.84</v>
      </c>
      <c r="I11" s="1252">
        <v>212070337.19999999</v>
      </c>
      <c r="J11" s="1252">
        <v>143613388.97999999</v>
      </c>
      <c r="K11" s="1252">
        <v>101815700.27</v>
      </c>
      <c r="L11" s="1253">
        <v>22717172.25</v>
      </c>
      <c r="M11" s="94"/>
    </row>
    <row r="12" spans="1:13">
      <c r="A12" s="1855">
        <v>9</v>
      </c>
      <c r="B12" s="960" t="s">
        <v>734</v>
      </c>
      <c r="C12" s="1251">
        <f t="shared" si="0"/>
        <v>2979068532.6400003</v>
      </c>
      <c r="D12" s="1774">
        <v>504380511.13</v>
      </c>
      <c r="E12" s="1254">
        <v>517246744.63</v>
      </c>
      <c r="F12" s="1254">
        <v>473446266.83999997</v>
      </c>
      <c r="G12" s="1254">
        <v>435689492.37</v>
      </c>
      <c r="H12" s="1252">
        <v>277244404.79000002</v>
      </c>
      <c r="I12" s="1252">
        <v>324858266.55000001</v>
      </c>
      <c r="J12" s="1252">
        <v>237105863.31999999</v>
      </c>
      <c r="K12" s="1252">
        <v>188778365.44</v>
      </c>
      <c r="L12" s="1253">
        <v>20318617.57</v>
      </c>
      <c r="M12" s="94"/>
    </row>
    <row r="13" spans="1:13">
      <c r="A13" s="1855">
        <v>10</v>
      </c>
      <c r="B13" s="960" t="s">
        <v>113</v>
      </c>
      <c r="C13" s="1251">
        <f t="shared" si="0"/>
        <v>2163231786.7200003</v>
      </c>
      <c r="D13" s="1775"/>
      <c r="E13" s="1256">
        <v>0</v>
      </c>
      <c r="F13" s="1256">
        <v>0</v>
      </c>
      <c r="G13" s="1254">
        <v>421484991.5</v>
      </c>
      <c r="H13" s="1252">
        <v>442351015.86000001</v>
      </c>
      <c r="I13" s="1252">
        <v>453220008.48000002</v>
      </c>
      <c r="J13" s="1252">
        <v>392090764.45999998</v>
      </c>
      <c r="K13" s="1252">
        <v>388215503.41000003</v>
      </c>
      <c r="L13" s="1253">
        <v>65869503.009999998</v>
      </c>
      <c r="M13" s="94"/>
    </row>
    <row r="14" spans="1:13">
      <c r="A14" s="1855">
        <v>11</v>
      </c>
      <c r="B14" s="960" t="s">
        <v>115</v>
      </c>
      <c r="C14" s="1251">
        <f t="shared" si="0"/>
        <v>2558450896.2399998</v>
      </c>
      <c r="D14" s="1774">
        <v>544428248.14999998</v>
      </c>
      <c r="E14" s="1254">
        <v>516044438.89999998</v>
      </c>
      <c r="F14" s="1254">
        <v>440612182.11000001</v>
      </c>
      <c r="G14" s="1254">
        <v>362032677.48000002</v>
      </c>
      <c r="H14" s="1252">
        <v>164358672.62</v>
      </c>
      <c r="I14" s="1252">
        <v>212481656.75</v>
      </c>
      <c r="J14" s="1252">
        <v>144258968.12</v>
      </c>
      <c r="K14" s="1252">
        <v>142744043.59999999</v>
      </c>
      <c r="L14" s="1253">
        <v>31490008.510000002</v>
      </c>
      <c r="M14" s="94"/>
    </row>
    <row r="15" spans="1:13">
      <c r="A15" s="1855">
        <v>12</v>
      </c>
      <c r="B15" s="960" t="s">
        <v>211</v>
      </c>
      <c r="C15" s="1251">
        <f t="shared" si="0"/>
        <v>2067621660.21</v>
      </c>
      <c r="D15" s="1774">
        <v>279148872.51999998</v>
      </c>
      <c r="E15" s="1254">
        <v>258311833.18000001</v>
      </c>
      <c r="F15" s="1254">
        <v>215448057.84</v>
      </c>
      <c r="G15" s="1254">
        <v>180182244.78999999</v>
      </c>
      <c r="H15" s="1252">
        <v>376763650.83999997</v>
      </c>
      <c r="I15" s="1252">
        <v>230757864.44</v>
      </c>
      <c r="J15" s="1252">
        <v>179223706.03999999</v>
      </c>
      <c r="K15" s="1252">
        <v>279898886.94999999</v>
      </c>
      <c r="L15" s="1253">
        <v>67886543.609999999</v>
      </c>
      <c r="M15" s="94"/>
    </row>
    <row r="16" spans="1:13">
      <c r="A16" s="1855">
        <v>13</v>
      </c>
      <c r="B16" s="960" t="s">
        <v>118</v>
      </c>
      <c r="C16" s="1251">
        <f t="shared" si="0"/>
        <v>2112326456.4300001</v>
      </c>
      <c r="D16" s="1774">
        <v>452068137.38999999</v>
      </c>
      <c r="E16" s="1254">
        <v>443167668.97000003</v>
      </c>
      <c r="F16" s="1254">
        <v>372436306.32999998</v>
      </c>
      <c r="G16" s="1254">
        <v>320437811.80000001</v>
      </c>
      <c r="H16" s="1252">
        <v>168441449.5</v>
      </c>
      <c r="I16" s="1252">
        <v>177045106.05000001</v>
      </c>
      <c r="J16" s="1252">
        <v>99785424.680000007</v>
      </c>
      <c r="K16" s="1252">
        <v>59317583.659999996</v>
      </c>
      <c r="L16" s="1253">
        <v>19626968.050000001</v>
      </c>
      <c r="M16" s="94"/>
    </row>
    <row r="17" spans="1:13">
      <c r="A17" s="1855">
        <v>14</v>
      </c>
      <c r="B17" s="960" t="s">
        <v>100</v>
      </c>
      <c r="C17" s="1251">
        <f t="shared" si="0"/>
        <v>1783787520.1000001</v>
      </c>
      <c r="D17" s="1774">
        <v>244198801.09999999</v>
      </c>
      <c r="E17" s="1254">
        <v>247529123.78999999</v>
      </c>
      <c r="F17" s="1254">
        <v>228289268.22</v>
      </c>
      <c r="G17" s="1254">
        <v>219725858.91</v>
      </c>
      <c r="H17" s="1252">
        <v>328109846.66000003</v>
      </c>
      <c r="I17" s="1252">
        <v>185320118.5</v>
      </c>
      <c r="J17" s="1252">
        <v>156843229.44999999</v>
      </c>
      <c r="K17" s="1252">
        <v>142842652.22999999</v>
      </c>
      <c r="L17" s="1253">
        <v>30928621.239999998</v>
      </c>
      <c r="M17" s="94"/>
    </row>
    <row r="18" spans="1:13">
      <c r="A18" s="1855">
        <v>15</v>
      </c>
      <c r="B18" s="960" t="s">
        <v>197</v>
      </c>
      <c r="C18" s="1251">
        <f t="shared" si="0"/>
        <v>1839172337.0599999</v>
      </c>
      <c r="D18" s="1776">
        <v>485702149.52999997</v>
      </c>
      <c r="E18" s="1254">
        <v>359504426.99000001</v>
      </c>
      <c r="F18" s="1254">
        <v>217473814.38999999</v>
      </c>
      <c r="G18" s="1254">
        <v>162704809.56</v>
      </c>
      <c r="H18" s="1252">
        <v>242443956.69</v>
      </c>
      <c r="I18" s="1252">
        <v>147377060.99000001</v>
      </c>
      <c r="J18" s="1252">
        <v>112268471.84999999</v>
      </c>
      <c r="K18" s="1252">
        <v>101180101.09999999</v>
      </c>
      <c r="L18" s="1253">
        <v>10517545.960000001</v>
      </c>
      <c r="M18" s="94"/>
    </row>
    <row r="19" spans="1:13">
      <c r="A19" s="1855"/>
      <c r="B19" s="960" t="s">
        <v>114</v>
      </c>
      <c r="C19" s="1251">
        <f t="shared" si="0"/>
        <v>1433557292.1099999</v>
      </c>
      <c r="D19" s="1776">
        <v>198914998.94999999</v>
      </c>
      <c r="E19" s="1254">
        <v>157228072.71000001</v>
      </c>
      <c r="F19" s="1254">
        <v>158346055.74000001</v>
      </c>
      <c r="G19" s="1254">
        <v>165405764.31</v>
      </c>
      <c r="H19" s="1252">
        <v>207747862.83000001</v>
      </c>
      <c r="I19" s="1252">
        <v>183095103.16999999</v>
      </c>
      <c r="J19" s="1252">
        <v>173289666.88999999</v>
      </c>
      <c r="K19" s="1252">
        <v>152381750.58000001</v>
      </c>
      <c r="L19" s="1253">
        <v>37148016.93</v>
      </c>
      <c r="M19" s="94"/>
    </row>
    <row r="20" spans="1:13">
      <c r="A20" s="1855">
        <v>17</v>
      </c>
      <c r="B20" s="960" t="s">
        <v>117</v>
      </c>
      <c r="C20" s="1251">
        <f t="shared" si="0"/>
        <v>1420793865.1600001</v>
      </c>
      <c r="D20" s="1776">
        <v>218962384.63</v>
      </c>
      <c r="E20" s="1254">
        <v>188260257.72</v>
      </c>
      <c r="F20" s="1254">
        <v>176997737.69999999</v>
      </c>
      <c r="G20" s="1254">
        <v>165030447.47999999</v>
      </c>
      <c r="H20" s="1252">
        <v>200254647.37</v>
      </c>
      <c r="I20" s="1252">
        <v>162351674.63</v>
      </c>
      <c r="J20" s="1252">
        <v>133956323.18000001</v>
      </c>
      <c r="K20" s="1252">
        <v>144575101.05000001</v>
      </c>
      <c r="L20" s="1253">
        <v>30405291.399999999</v>
      </c>
      <c r="M20" s="94"/>
    </row>
    <row r="21" spans="1:13">
      <c r="A21" s="1855">
        <v>18</v>
      </c>
      <c r="B21" s="960" t="s">
        <v>430</v>
      </c>
      <c r="C21" s="1251">
        <f t="shared" si="0"/>
        <v>1394237283.5300002</v>
      </c>
      <c r="D21" s="1776">
        <v>336946454.19999999</v>
      </c>
      <c r="E21" s="1254">
        <v>289565045.02999997</v>
      </c>
      <c r="F21" s="1254">
        <v>198348265.86000001</v>
      </c>
      <c r="G21" s="1254">
        <v>192373833.68000001</v>
      </c>
      <c r="H21" s="1252">
        <v>84838162.140000001</v>
      </c>
      <c r="I21" s="1252">
        <v>146415631.84</v>
      </c>
      <c r="J21" s="1252">
        <v>82340505.900000006</v>
      </c>
      <c r="K21" s="1252">
        <v>51990419.979999997</v>
      </c>
      <c r="L21" s="1253">
        <v>11418964.9</v>
      </c>
      <c r="M21" s="94"/>
    </row>
    <row r="22" spans="1:13">
      <c r="A22" s="1855">
        <v>19</v>
      </c>
      <c r="B22" s="960" t="s">
        <v>119</v>
      </c>
      <c r="C22" s="1251">
        <f t="shared" si="0"/>
        <v>1142561373.0200002</v>
      </c>
      <c r="D22" s="1776">
        <v>213781255.74000001</v>
      </c>
      <c r="E22" s="1254">
        <v>198373489.30000001</v>
      </c>
      <c r="F22" s="1254">
        <v>152949848.16</v>
      </c>
      <c r="G22" s="1254">
        <v>126354636.18000001</v>
      </c>
      <c r="H22" s="1252">
        <v>157728696.47</v>
      </c>
      <c r="I22" s="1252">
        <v>100744058.06999999</v>
      </c>
      <c r="J22" s="1252">
        <v>98244497.489999995</v>
      </c>
      <c r="K22" s="1252">
        <v>84894705.409999996</v>
      </c>
      <c r="L22" s="1253">
        <v>9490186.1999999993</v>
      </c>
      <c r="M22" s="94"/>
    </row>
    <row r="23" spans="1:13">
      <c r="A23" s="1855">
        <v>20</v>
      </c>
      <c r="B23" s="960" t="s">
        <v>199</v>
      </c>
      <c r="C23" s="1251">
        <f t="shared" si="0"/>
        <v>973720896.85999942</v>
      </c>
      <c r="D23" s="1776">
        <v>245133204.78</v>
      </c>
      <c r="E23" s="1254">
        <v>254472361.72999999</v>
      </c>
      <c r="F23" s="1254">
        <v>206719754.03999999</v>
      </c>
      <c r="G23" s="1254">
        <v>167609040.38999999</v>
      </c>
      <c r="H23" s="1255">
        <v>0</v>
      </c>
      <c r="I23" s="1252">
        <v>97694135.319999993</v>
      </c>
      <c r="J23" s="1255">
        <v>0</v>
      </c>
      <c r="K23" s="1255">
        <v>0</v>
      </c>
      <c r="L23" s="1253">
        <v>2092400.5999994278</v>
      </c>
      <c r="M23" s="94"/>
    </row>
    <row r="24" spans="1:13">
      <c r="A24" s="1855">
        <v>21</v>
      </c>
      <c r="B24" s="960" t="s">
        <v>120</v>
      </c>
      <c r="C24" s="1251">
        <f t="shared" si="0"/>
        <v>538371562.81000006</v>
      </c>
      <c r="D24" s="1776">
        <v>35987219.219999999</v>
      </c>
      <c r="E24" s="1254">
        <v>40249307.670000002</v>
      </c>
      <c r="F24" s="1254">
        <v>42257397.75</v>
      </c>
      <c r="G24" s="1254">
        <v>47552830.670000002</v>
      </c>
      <c r="H24" s="1252">
        <v>148201570.16</v>
      </c>
      <c r="I24" s="1252">
        <v>72128067.510000005</v>
      </c>
      <c r="J24" s="1252">
        <v>72945917.959999993</v>
      </c>
      <c r="K24" s="1252">
        <v>66282696.030000001</v>
      </c>
      <c r="L24" s="1253">
        <v>12766555.84</v>
      </c>
      <c r="M24" s="94"/>
    </row>
    <row r="25" spans="1:13">
      <c r="A25" s="1855">
        <v>22</v>
      </c>
      <c r="B25" s="960" t="s">
        <v>198</v>
      </c>
      <c r="C25" s="1251">
        <f t="shared" si="0"/>
        <v>554747250.25</v>
      </c>
      <c r="D25" s="1776">
        <v>76996189.950000003</v>
      </c>
      <c r="E25" s="1254">
        <v>83222214.719999999</v>
      </c>
      <c r="F25" s="1254">
        <v>79446217.159999996</v>
      </c>
      <c r="G25" s="1254">
        <v>78944015.969999999</v>
      </c>
      <c r="H25" s="1252">
        <v>50919574.450000003</v>
      </c>
      <c r="I25" s="1252">
        <v>67501380.629999995</v>
      </c>
      <c r="J25" s="1252">
        <v>58003635.020000003</v>
      </c>
      <c r="K25" s="1252">
        <v>53886807.359999999</v>
      </c>
      <c r="L25" s="1253">
        <v>5827214.9900000002</v>
      </c>
      <c r="M25" s="94"/>
    </row>
    <row r="26" spans="1:13">
      <c r="A26" s="1855">
        <v>23</v>
      </c>
      <c r="B26" s="960" t="s">
        <v>781</v>
      </c>
      <c r="C26" s="1251">
        <f t="shared" si="0"/>
        <v>387469499.48000002</v>
      </c>
      <c r="D26" s="1776">
        <v>23446830.300000001</v>
      </c>
      <c r="E26" s="1254">
        <v>36451324.079999998</v>
      </c>
      <c r="F26" s="1254">
        <v>41174860.159999996</v>
      </c>
      <c r="G26" s="1254">
        <v>45850977.93</v>
      </c>
      <c r="H26" s="1252">
        <v>53812757.039999999</v>
      </c>
      <c r="I26" s="1252">
        <v>63399690.530000001</v>
      </c>
      <c r="J26" s="1252">
        <v>57287198.299999997</v>
      </c>
      <c r="K26" s="1252">
        <v>54700745.920000002</v>
      </c>
      <c r="L26" s="1253">
        <v>11345115.220000001</v>
      </c>
      <c r="M26" s="94"/>
    </row>
    <row r="27" spans="1:13">
      <c r="A27" s="1855">
        <v>24</v>
      </c>
      <c r="B27" s="960" t="s">
        <v>157</v>
      </c>
      <c r="C27" s="1251">
        <f t="shared" si="0"/>
        <v>260644027.96000001</v>
      </c>
      <c r="D27" s="1775"/>
      <c r="E27" s="1256">
        <v>0</v>
      </c>
      <c r="F27" s="1256">
        <v>0</v>
      </c>
      <c r="G27" s="1256">
        <v>0</v>
      </c>
      <c r="H27" s="1252">
        <v>75662331.959999993</v>
      </c>
      <c r="I27" s="1255">
        <v>0</v>
      </c>
      <c r="J27" s="1252">
        <v>84626497.980000004</v>
      </c>
      <c r="K27" s="1252">
        <v>86908288.420000002</v>
      </c>
      <c r="L27" s="1253">
        <v>13446909.6</v>
      </c>
      <c r="M27" s="94"/>
    </row>
    <row r="28" spans="1:13">
      <c r="A28" s="1855">
        <v>25</v>
      </c>
      <c r="B28" s="960" t="s">
        <v>121</v>
      </c>
      <c r="C28" s="1251">
        <f t="shared" si="0"/>
        <v>182597732.30999997</v>
      </c>
      <c r="D28" s="1776">
        <v>22444102.109999999</v>
      </c>
      <c r="E28" s="1254">
        <v>23089101.420000002</v>
      </c>
      <c r="F28" s="1254">
        <v>21341806.690000001</v>
      </c>
      <c r="G28" s="1254">
        <v>20222094.07</v>
      </c>
      <c r="H28" s="1255">
        <v>0</v>
      </c>
      <c r="I28" s="1252">
        <v>23975542.640000001</v>
      </c>
      <c r="J28" s="1252">
        <v>32578583.809999999</v>
      </c>
      <c r="K28" s="1252">
        <v>38946501.57</v>
      </c>
      <c r="L28" s="1257">
        <v>0</v>
      </c>
      <c r="M28" s="94"/>
    </row>
    <row r="29" spans="1:13">
      <c r="A29" s="1855">
        <v>26</v>
      </c>
      <c r="B29" s="960" t="s">
        <v>122</v>
      </c>
      <c r="C29" s="1251">
        <f t="shared" si="0"/>
        <v>114002984.84</v>
      </c>
      <c r="D29" s="1775"/>
      <c r="E29" s="1256">
        <v>0</v>
      </c>
      <c r="F29" s="1256">
        <v>0</v>
      </c>
      <c r="G29" s="1256">
        <v>0</v>
      </c>
      <c r="H29" s="1252">
        <v>19428109.170000002</v>
      </c>
      <c r="I29" s="1252">
        <v>26456723.530000001</v>
      </c>
      <c r="J29" s="1252">
        <v>29143437.670000002</v>
      </c>
      <c r="K29" s="1252">
        <v>29052164.510000002</v>
      </c>
      <c r="L29" s="1253">
        <v>9922549.9600000009</v>
      </c>
      <c r="M29" s="94"/>
    </row>
    <row r="30" spans="1:13">
      <c r="A30" s="1855">
        <v>27</v>
      </c>
      <c r="B30" s="960" t="s">
        <v>156</v>
      </c>
      <c r="C30" s="1251">
        <f t="shared" si="0"/>
        <v>75538660.520000011</v>
      </c>
      <c r="D30" s="1775"/>
      <c r="E30" s="1256">
        <v>0</v>
      </c>
      <c r="F30" s="1254">
        <v>9039886.4199999999</v>
      </c>
      <c r="G30" s="1254">
        <v>11648475.24</v>
      </c>
      <c r="H30" s="1252">
        <v>11616199</v>
      </c>
      <c r="I30" s="1252">
        <v>13123437.08</v>
      </c>
      <c r="J30" s="1252">
        <v>12290501.890000001</v>
      </c>
      <c r="K30" s="1252">
        <v>10178195.6</v>
      </c>
      <c r="L30" s="1253">
        <v>7641965.29</v>
      </c>
      <c r="M30" s="94"/>
    </row>
    <row r="31" spans="1:13">
      <c r="A31" s="1855">
        <v>28</v>
      </c>
      <c r="B31" s="960" t="s">
        <v>155</v>
      </c>
      <c r="C31" s="1251">
        <f t="shared" si="0"/>
        <v>65746073.510000005</v>
      </c>
      <c r="D31" s="1775"/>
      <c r="E31" s="1256">
        <v>0</v>
      </c>
      <c r="F31" s="1256">
        <v>0</v>
      </c>
      <c r="G31" s="1256">
        <v>0</v>
      </c>
      <c r="H31" s="1256">
        <v>0</v>
      </c>
      <c r="I31" s="1256">
        <v>0</v>
      </c>
      <c r="J31" s="1256">
        <v>0</v>
      </c>
      <c r="K31" s="1252">
        <v>18445870.670000002</v>
      </c>
      <c r="L31" s="1253">
        <v>47300202.840000004</v>
      </c>
      <c r="M31" s="94"/>
    </row>
    <row r="32" spans="1:13">
      <c r="A32" s="1855">
        <v>29</v>
      </c>
      <c r="B32" s="960" t="s">
        <v>123</v>
      </c>
      <c r="C32" s="1251">
        <f t="shared" si="0"/>
        <v>40803540.200000003</v>
      </c>
      <c r="D32" s="1775"/>
      <c r="E32" s="1256">
        <v>0</v>
      </c>
      <c r="F32" s="1255">
        <v>0</v>
      </c>
      <c r="G32" s="1255">
        <v>0</v>
      </c>
      <c r="H32" s="1255">
        <v>0</v>
      </c>
      <c r="I32" s="1252">
        <v>12853568.029999999</v>
      </c>
      <c r="J32" s="1252">
        <v>13003979.24</v>
      </c>
      <c r="K32" s="1252">
        <v>12185832.32</v>
      </c>
      <c r="L32" s="1253">
        <v>2760160.61</v>
      </c>
      <c r="M32" s="94"/>
    </row>
    <row r="33" spans="1:13" s="996" customFormat="1" ht="18" customHeight="1">
      <c r="A33" s="954" t="s">
        <v>23</v>
      </c>
      <c r="B33" s="954" t="s">
        <v>23</v>
      </c>
      <c r="C33" s="961">
        <f>SUM(C4:C32)</f>
        <v>189432276059.57993</v>
      </c>
      <c r="D33" s="962">
        <f>SUM(D4:D32)</f>
        <v>31599609662.140003</v>
      </c>
      <c r="E33" s="963">
        <f t="shared" ref="E33:L33" si="1">SUM(E4:E32)</f>
        <v>31428020462.900005</v>
      </c>
      <c r="F33" s="963">
        <f t="shared" si="1"/>
        <v>28079802429.170002</v>
      </c>
      <c r="G33" s="963">
        <f t="shared" si="1"/>
        <v>25506624289.529999</v>
      </c>
      <c r="H33" s="963">
        <f t="shared" si="1"/>
        <v>22364820594.489998</v>
      </c>
      <c r="I33" s="963">
        <f t="shared" si="1"/>
        <v>20037998054.499992</v>
      </c>
      <c r="J33" s="963">
        <f t="shared" si="1"/>
        <v>15080619629.229998</v>
      </c>
      <c r="K33" s="963">
        <f t="shared" si="1"/>
        <v>12507555597.240002</v>
      </c>
      <c r="L33" s="964">
        <f t="shared" si="1"/>
        <v>2827225340.3800001</v>
      </c>
      <c r="M33" s="163"/>
    </row>
    <row r="34" spans="1:13" ht="5.25" customHeight="1">
      <c r="B34" s="221"/>
      <c r="C34" s="106"/>
      <c r="D34" s="106"/>
      <c r="E34" s="106"/>
      <c r="F34" s="106"/>
      <c r="G34" s="106" t="s">
        <v>209</v>
      </c>
      <c r="H34" s="106"/>
      <c r="I34" s="106"/>
      <c r="J34" s="106"/>
      <c r="K34" s="106"/>
      <c r="L34" s="94"/>
    </row>
    <row r="35" spans="1:13" ht="15.75">
      <c r="B35" s="169"/>
      <c r="C35" s="94"/>
      <c r="D35" s="1769"/>
      <c r="E35" s="94"/>
      <c r="F35" s="94"/>
      <c r="G35" s="118" t="s">
        <v>209</v>
      </c>
      <c r="H35" s="94"/>
      <c r="I35" s="94"/>
      <c r="J35" s="94"/>
      <c r="K35" s="94"/>
      <c r="L35" s="94"/>
    </row>
    <row r="36" spans="1:13" ht="15.75">
      <c r="B36" s="169"/>
      <c r="C36" s="94"/>
      <c r="D36" s="94"/>
      <c r="E36" s="94"/>
      <c r="F36" s="94"/>
      <c r="G36" s="118" t="s">
        <v>209</v>
      </c>
      <c r="H36" s="94"/>
      <c r="I36" s="94"/>
      <c r="J36" s="94"/>
      <c r="K36" s="94"/>
      <c r="L36" s="94"/>
    </row>
    <row r="37" spans="1:13" ht="15.75">
      <c r="B37" s="169"/>
      <c r="C37" s="94"/>
      <c r="D37" s="94"/>
      <c r="E37" s="94"/>
      <c r="F37" s="94"/>
      <c r="G37" s="118" t="s">
        <v>209</v>
      </c>
      <c r="H37" s="94"/>
      <c r="I37" s="94"/>
      <c r="J37" s="94"/>
      <c r="K37" s="94"/>
      <c r="L37" s="94"/>
    </row>
    <row r="38" spans="1:13" ht="15.75">
      <c r="B38" s="169"/>
      <c r="C38" s="94"/>
      <c r="D38" s="94"/>
      <c r="E38" s="94"/>
      <c r="F38" s="94"/>
      <c r="G38" s="118" t="s">
        <v>209</v>
      </c>
      <c r="H38" s="94"/>
      <c r="I38" s="94"/>
      <c r="J38" s="94"/>
      <c r="K38" s="94"/>
      <c r="L38" s="94"/>
    </row>
    <row r="39" spans="1:13" ht="15.75">
      <c r="B39" s="169"/>
      <c r="C39" s="94"/>
      <c r="D39" s="94"/>
      <c r="E39" s="94"/>
      <c r="F39" s="94"/>
      <c r="G39" s="118" t="s">
        <v>209</v>
      </c>
      <c r="H39" s="94"/>
      <c r="I39" s="94"/>
      <c r="J39" s="94"/>
      <c r="K39" s="94"/>
      <c r="L39" s="94"/>
    </row>
    <row r="40" spans="1:13" ht="15.75">
      <c r="B40" s="169"/>
      <c r="C40" s="94"/>
      <c r="D40" s="94"/>
      <c r="E40" s="94"/>
      <c r="F40" s="94"/>
      <c r="G40" s="118" t="s">
        <v>209</v>
      </c>
      <c r="H40" s="94"/>
      <c r="I40" s="94"/>
      <c r="J40" s="94"/>
      <c r="K40" s="94"/>
      <c r="L40" s="94"/>
    </row>
    <row r="41" spans="1:13" ht="15.75">
      <c r="B41" s="169"/>
      <c r="C41" s="94"/>
      <c r="D41" s="94"/>
      <c r="E41" s="94"/>
      <c r="F41" s="94"/>
      <c r="G41" s="118" t="s">
        <v>209</v>
      </c>
      <c r="H41" s="94"/>
      <c r="I41" s="94"/>
      <c r="J41" s="94"/>
      <c r="K41" s="94"/>
      <c r="L41" s="94"/>
    </row>
    <row r="42" spans="1:13" ht="15.75">
      <c r="B42" s="169"/>
      <c r="C42" s="94"/>
      <c r="D42" s="94"/>
      <c r="E42" s="94"/>
      <c r="F42" s="94"/>
      <c r="G42" s="118" t="s">
        <v>209</v>
      </c>
      <c r="H42" s="94"/>
      <c r="I42" s="94"/>
      <c r="J42" s="94"/>
      <c r="K42" s="94"/>
      <c r="L42" s="94"/>
    </row>
    <row r="43" spans="1:13" ht="15.75">
      <c r="B43" s="169"/>
      <c r="C43" s="94"/>
      <c r="D43" s="94"/>
      <c r="E43" s="94"/>
      <c r="F43" s="94"/>
      <c r="G43" s="118" t="s">
        <v>209</v>
      </c>
      <c r="H43" s="94"/>
      <c r="I43" s="94"/>
      <c r="J43" s="94"/>
      <c r="K43" s="94"/>
      <c r="L43" s="94"/>
    </row>
    <row r="44" spans="1:13" ht="15.75">
      <c r="B44" s="169"/>
      <c r="C44" s="94"/>
      <c r="D44" s="94"/>
      <c r="E44" s="94"/>
      <c r="F44" s="94"/>
      <c r="G44" s="118" t="s">
        <v>209</v>
      </c>
      <c r="H44" s="94"/>
      <c r="I44" s="94"/>
      <c r="J44" s="94"/>
      <c r="K44" s="94"/>
      <c r="L44" s="94"/>
    </row>
    <row r="45" spans="1:13" ht="15.75">
      <c r="B45" s="169"/>
      <c r="C45" s="94"/>
      <c r="D45" s="94"/>
      <c r="E45" s="94"/>
      <c r="F45" s="94"/>
      <c r="G45" s="118" t="s">
        <v>209</v>
      </c>
      <c r="H45" s="94"/>
      <c r="I45" s="94"/>
      <c r="J45" s="94"/>
      <c r="K45" s="94"/>
      <c r="L45" s="94"/>
    </row>
    <row r="46" spans="1:13" ht="15.75">
      <c r="B46" s="169"/>
      <c r="C46" s="94"/>
      <c r="D46" s="94"/>
      <c r="E46" s="94"/>
      <c r="F46" s="94"/>
      <c r="G46" s="118" t="s">
        <v>209</v>
      </c>
      <c r="H46" s="94"/>
      <c r="I46" s="94"/>
      <c r="J46" s="94"/>
      <c r="K46" s="94"/>
      <c r="L46" s="94"/>
    </row>
    <row r="47" spans="1:13" ht="15.75">
      <c r="B47" s="169"/>
      <c r="C47" s="94"/>
      <c r="D47" s="94"/>
      <c r="E47" s="94"/>
      <c r="F47" s="94"/>
      <c r="G47" s="118" t="s">
        <v>209</v>
      </c>
      <c r="H47" s="94"/>
      <c r="I47" s="94"/>
      <c r="J47" s="94"/>
      <c r="K47" s="94"/>
      <c r="L47" s="94"/>
    </row>
    <row r="48" spans="1:13" ht="15.75">
      <c r="B48" s="169"/>
      <c r="C48" s="94"/>
      <c r="D48" s="94"/>
      <c r="E48" s="94"/>
      <c r="F48" s="94"/>
      <c r="G48" s="118" t="s">
        <v>209</v>
      </c>
      <c r="H48" s="94"/>
      <c r="I48" s="94"/>
      <c r="J48" s="94"/>
      <c r="K48" s="94"/>
      <c r="L48" s="94"/>
    </row>
    <row r="49" spans="2:12" ht="15.75">
      <c r="B49" s="169"/>
      <c r="C49" s="94"/>
      <c r="D49" s="94"/>
      <c r="E49" s="94"/>
      <c r="F49" s="94"/>
      <c r="G49" s="118" t="s">
        <v>209</v>
      </c>
      <c r="H49" s="94"/>
      <c r="I49" s="94"/>
      <c r="J49" s="94"/>
      <c r="K49" s="94"/>
      <c r="L49" s="94"/>
    </row>
    <row r="50" spans="2:12" ht="15.75">
      <c r="B50" s="169"/>
      <c r="C50" s="94"/>
      <c r="D50" s="94"/>
      <c r="E50" s="94"/>
      <c r="F50" s="94"/>
      <c r="G50" s="118" t="s">
        <v>209</v>
      </c>
      <c r="H50" s="94"/>
      <c r="I50" s="94"/>
      <c r="J50" s="94"/>
      <c r="K50" s="94"/>
      <c r="L50" s="94"/>
    </row>
    <row r="51" spans="2:12" ht="15.75">
      <c r="B51" s="169"/>
      <c r="C51" s="94"/>
      <c r="D51" s="94"/>
      <c r="E51" s="94"/>
      <c r="F51" s="94"/>
      <c r="G51" s="118" t="s">
        <v>209</v>
      </c>
      <c r="H51" s="94"/>
      <c r="I51" s="94"/>
      <c r="J51" s="94"/>
      <c r="K51" s="94"/>
      <c r="L51" s="94"/>
    </row>
    <row r="52" spans="2:12" ht="15.75">
      <c r="B52" s="169"/>
      <c r="C52" s="94"/>
      <c r="D52" s="94"/>
      <c r="E52" s="94"/>
      <c r="F52" s="94"/>
      <c r="G52" s="118" t="s">
        <v>209</v>
      </c>
      <c r="H52" s="94"/>
      <c r="I52" s="94"/>
      <c r="J52" s="94"/>
      <c r="K52" s="94"/>
      <c r="L52" s="94"/>
    </row>
    <row r="53" spans="2:12" ht="15.75">
      <c r="B53" s="169"/>
      <c r="C53" s="94"/>
      <c r="D53" s="94"/>
      <c r="E53" s="94"/>
      <c r="F53" s="94"/>
      <c r="G53" s="118" t="s">
        <v>209</v>
      </c>
      <c r="H53" s="94"/>
      <c r="I53" s="94"/>
      <c r="J53" s="94"/>
      <c r="K53" s="94"/>
      <c r="L53" s="94"/>
    </row>
    <row r="54" spans="2:12" ht="15.75">
      <c r="B54" s="169"/>
      <c r="C54" s="94"/>
      <c r="D54" s="94"/>
      <c r="E54" s="94"/>
      <c r="F54" s="94"/>
      <c r="G54" s="118" t="s">
        <v>209</v>
      </c>
      <c r="H54" s="94"/>
      <c r="I54" s="94"/>
      <c r="J54" s="94"/>
      <c r="K54" s="94"/>
      <c r="L54" s="94"/>
    </row>
    <row r="55" spans="2:12" ht="15.75">
      <c r="B55" s="169"/>
      <c r="C55" s="94"/>
      <c r="D55" s="94"/>
      <c r="E55" s="94"/>
      <c r="F55" s="94"/>
      <c r="G55" s="118" t="s">
        <v>209</v>
      </c>
      <c r="H55" s="94"/>
      <c r="I55" s="94"/>
      <c r="J55" s="94"/>
      <c r="K55" s="94"/>
      <c r="L55" s="94"/>
    </row>
    <row r="56" spans="2:12" ht="15.75">
      <c r="B56" s="169"/>
      <c r="C56" s="94"/>
      <c r="D56" s="94"/>
      <c r="E56" s="94"/>
      <c r="F56" s="94"/>
      <c r="G56" s="118" t="s">
        <v>209</v>
      </c>
      <c r="H56" s="94"/>
      <c r="I56" s="94"/>
      <c r="J56" s="94"/>
      <c r="K56" s="94"/>
      <c r="L56" s="94"/>
    </row>
    <row r="57" spans="2:12" ht="15.75">
      <c r="B57" s="169"/>
      <c r="C57" s="94"/>
      <c r="D57" s="94"/>
      <c r="E57" s="94"/>
      <c r="F57" s="94"/>
      <c r="G57" s="118" t="s">
        <v>209</v>
      </c>
      <c r="H57" s="94"/>
      <c r="I57" s="94"/>
      <c r="J57" s="94"/>
      <c r="K57" s="94"/>
      <c r="L57" s="94"/>
    </row>
    <row r="58" spans="2:12">
      <c r="B58" s="169"/>
      <c r="C58" s="94"/>
      <c r="D58" s="94"/>
      <c r="E58" s="94"/>
      <c r="F58" s="94"/>
      <c r="G58" s="94" t="e">
        <f>SUM(#REF!)</f>
        <v>#REF!</v>
      </c>
      <c r="H58" s="94"/>
      <c r="I58" s="94"/>
      <c r="J58" s="94"/>
      <c r="K58" s="94"/>
      <c r="L58" s="94"/>
    </row>
    <row r="67" spans="2:2" ht="15.75" customHeight="1"/>
    <row r="68" spans="2:2" ht="13.5" customHeight="1">
      <c r="B68" s="50" t="s">
        <v>31</v>
      </c>
    </row>
  </sheetData>
  <autoFilter ref="B3:L58"/>
  <mergeCells count="1">
    <mergeCell ref="B1:L1"/>
  </mergeCells>
  <printOptions horizontalCentered="1" verticalCentered="1"/>
  <pageMargins left="0.39370078740157483" right="0.39370078740157483" top="0.23622047244094491" bottom="0.23622047244094491" header="0.25" footer="0.31496062992125984"/>
  <pageSetup scale="45" orientation="landscape" r:id="rId1"/>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7">
    <tabColor rgb="FF00B0F0"/>
  </sheetPr>
  <dimension ref="A1:M60"/>
  <sheetViews>
    <sheetView showGridLines="0" view="pageBreakPreview" zoomScale="70" zoomScaleNormal="100" zoomScaleSheetLayoutView="70" workbookViewId="0">
      <pane ySplit="1" topLeftCell="A2" activePane="bottomLeft" state="frozen"/>
      <selection activeCell="M22" sqref="M22"/>
      <selection pane="bottomLeft" activeCell="L11" sqref="L11"/>
    </sheetView>
  </sheetViews>
  <sheetFormatPr baseColWidth="10" defaultColWidth="11.5703125" defaultRowHeight="15" customHeight="1"/>
  <cols>
    <col min="1" max="1" width="35.42578125" style="77" customWidth="1"/>
    <col min="2" max="2" width="21.28515625" style="77" bestFit="1" customWidth="1"/>
    <col min="3" max="3" width="12.85546875" style="77" customWidth="1"/>
    <col min="4" max="4" width="11" style="77" customWidth="1"/>
    <col min="5" max="5" width="12.28515625" style="77" customWidth="1"/>
    <col min="6" max="6" width="11.7109375" style="77" customWidth="1"/>
    <col min="7" max="7" width="16.85546875" style="77" bestFit="1" customWidth="1"/>
    <col min="8" max="8" width="16" style="77" customWidth="1"/>
    <col min="9" max="9" width="33.85546875" style="77" customWidth="1"/>
    <col min="10" max="10" width="31.5703125" style="77" customWidth="1"/>
    <col min="11" max="11" width="16.42578125" style="77" customWidth="1"/>
    <col min="12" max="12" width="20.85546875" style="77" customWidth="1"/>
    <col min="13" max="13" width="11.5703125" style="77" customWidth="1"/>
    <col min="14" max="16384" width="11.5703125" style="77"/>
  </cols>
  <sheetData>
    <row r="1" spans="1:13" ht="86.25" customHeight="1">
      <c r="A1" s="2132"/>
      <c r="B1" s="2132"/>
      <c r="C1" s="2132"/>
      <c r="D1" s="2132"/>
      <c r="E1" s="2132"/>
      <c r="F1" s="2132"/>
      <c r="G1" s="2132"/>
      <c r="H1" s="2132"/>
      <c r="I1" s="2132"/>
      <c r="J1" s="2132"/>
      <c r="K1" s="2132"/>
    </row>
    <row r="2" spans="1:13" ht="7.5" customHeight="1">
      <c r="A2" s="2133" t="s">
        <v>31</v>
      </c>
      <c r="B2" s="2133"/>
      <c r="C2" s="2133"/>
      <c r="D2" s="2133"/>
      <c r="E2" s="2133"/>
      <c r="F2" s="2133"/>
      <c r="G2" s="2133"/>
      <c r="H2" s="2133"/>
      <c r="I2" s="2133"/>
      <c r="J2" s="2133"/>
      <c r="K2" s="2133"/>
    </row>
    <row r="3" spans="1:13" ht="27" customHeight="1">
      <c r="D3" s="94"/>
      <c r="E3" s="94"/>
      <c r="F3" s="95"/>
      <c r="G3" s="95"/>
      <c r="I3" s="385" t="s">
        <v>106</v>
      </c>
      <c r="J3" s="312" t="s">
        <v>107</v>
      </c>
      <c r="K3" s="385" t="s">
        <v>42</v>
      </c>
    </row>
    <row r="4" spans="1:13" ht="15" customHeight="1">
      <c r="D4" s="94"/>
      <c r="E4" s="94"/>
      <c r="F4" s="95"/>
      <c r="G4" s="95"/>
      <c r="I4" s="1770" t="s">
        <v>108</v>
      </c>
      <c r="J4" s="1771">
        <v>1194497502.5799999</v>
      </c>
      <c r="K4" s="763">
        <f t="shared" ref="K4:K24" si="0">+J4/$J$25</f>
        <v>0.35080654874349543</v>
      </c>
    </row>
    <row r="5" spans="1:13" ht="15" customHeight="1">
      <c r="D5" s="94"/>
      <c r="E5" s="94"/>
      <c r="F5" s="95"/>
      <c r="G5" s="95"/>
      <c r="I5" s="1770" t="s">
        <v>431</v>
      </c>
      <c r="J5" s="1772">
        <v>536428861.44</v>
      </c>
      <c r="K5" s="764">
        <f t="shared" si="0"/>
        <v>0.15754135703231897</v>
      </c>
    </row>
    <row r="6" spans="1:13" ht="15" customHeight="1">
      <c r="D6" s="20"/>
      <c r="E6" s="20"/>
      <c r="I6" s="1770" t="s">
        <v>111</v>
      </c>
      <c r="J6" s="1772">
        <v>512390963.05000001</v>
      </c>
      <c r="K6" s="764">
        <f t="shared" si="0"/>
        <v>0.15048177578160141</v>
      </c>
    </row>
    <row r="7" spans="1:13" ht="15" customHeight="1">
      <c r="D7" s="94"/>
      <c r="E7" s="94"/>
      <c r="I7" s="1770" t="s">
        <v>110</v>
      </c>
      <c r="J7" s="1772">
        <v>399248270.45999998</v>
      </c>
      <c r="K7" s="764">
        <f t="shared" si="0"/>
        <v>0.11725341204093641</v>
      </c>
    </row>
    <row r="8" spans="1:13" ht="15" customHeight="1">
      <c r="D8" s="65"/>
      <c r="E8" s="20"/>
      <c r="F8" s="18"/>
      <c r="I8" s="1770" t="s">
        <v>116</v>
      </c>
      <c r="J8" s="1772">
        <v>153258007.69999999</v>
      </c>
      <c r="K8" s="764">
        <f t="shared" si="0"/>
        <v>4.5009648519495564E-2</v>
      </c>
    </row>
    <row r="9" spans="1:13" ht="15" customHeight="1">
      <c r="D9" s="94"/>
      <c r="E9" s="20"/>
      <c r="G9" s="94"/>
      <c r="I9" s="1770" t="s">
        <v>112</v>
      </c>
      <c r="J9" s="1772">
        <v>124996589.06999999</v>
      </c>
      <c r="K9" s="764">
        <f t="shared" si="0"/>
        <v>3.6709680783463046E-2</v>
      </c>
    </row>
    <row r="10" spans="1:13" ht="15" customHeight="1">
      <c r="D10" s="94"/>
      <c r="E10" s="20"/>
      <c r="F10" s="18"/>
      <c r="G10" s="148"/>
      <c r="I10" s="1770" t="s">
        <v>109</v>
      </c>
      <c r="J10" s="1772">
        <v>69815692.75</v>
      </c>
      <c r="K10" s="764">
        <f t="shared" si="0"/>
        <v>2.0503853853912492E-2</v>
      </c>
    </row>
    <row r="11" spans="1:13" ht="15" customHeight="1">
      <c r="D11" s="94"/>
      <c r="E11" s="20"/>
      <c r="G11" s="149"/>
      <c r="I11" s="1770" t="s">
        <v>115</v>
      </c>
      <c r="J11" s="1772">
        <v>60010653.359999999</v>
      </c>
      <c r="K11" s="764">
        <f t="shared" si="0"/>
        <v>1.7624256348458885E-2</v>
      </c>
    </row>
    <row r="12" spans="1:13" ht="15" customHeight="1">
      <c r="D12" s="94"/>
      <c r="E12" s="20"/>
      <c r="I12" s="1770" t="s">
        <v>197</v>
      </c>
      <c r="J12" s="1772">
        <v>47723148.390000001</v>
      </c>
      <c r="K12" s="764">
        <f t="shared" si="0"/>
        <v>1.4015594796731989E-2</v>
      </c>
    </row>
    <row r="13" spans="1:13" ht="15" customHeight="1">
      <c r="D13" s="94"/>
      <c r="E13" s="20"/>
      <c r="I13" s="1770" t="s">
        <v>158</v>
      </c>
      <c r="J13" s="1772">
        <v>58109374.439999998</v>
      </c>
      <c r="K13" s="764">
        <f t="shared" si="0"/>
        <v>1.706587837388519E-2</v>
      </c>
    </row>
    <row r="14" spans="1:13" ht="15" customHeight="1">
      <c r="D14" s="94"/>
      <c r="E14" s="20"/>
      <c r="I14" s="1770" t="s">
        <v>118</v>
      </c>
      <c r="J14" s="1772">
        <v>47003406.390000001</v>
      </c>
      <c r="K14" s="764">
        <f t="shared" si="0"/>
        <v>1.3804217036242421E-2</v>
      </c>
    </row>
    <row r="15" spans="1:13" ht="15" customHeight="1">
      <c r="D15" s="94"/>
      <c r="E15" s="20"/>
      <c r="I15" s="1770" t="s">
        <v>430</v>
      </c>
      <c r="J15" s="1772">
        <v>37388005.710000001</v>
      </c>
      <c r="K15" s="764">
        <f t="shared" si="0"/>
        <v>1.09803136626054E-2</v>
      </c>
      <c r="M15" s="156"/>
    </row>
    <row r="16" spans="1:13" ht="15" customHeight="1">
      <c r="D16" s="94"/>
      <c r="E16" s="20"/>
      <c r="F16" s="95"/>
      <c r="G16" s="95"/>
      <c r="I16" s="1770" t="s">
        <v>211</v>
      </c>
      <c r="J16" s="1772">
        <v>27371040.870000001</v>
      </c>
      <c r="K16" s="764">
        <f t="shared" si="0"/>
        <v>8.0384767338421322E-3</v>
      </c>
    </row>
    <row r="17" spans="1:12" ht="15" customHeight="1">
      <c r="D17" s="94"/>
      <c r="E17" s="20"/>
      <c r="F17" s="95"/>
      <c r="G17" s="95"/>
      <c r="I17" s="1770" t="s">
        <v>199</v>
      </c>
      <c r="J17" s="1772">
        <v>22358398.440000001</v>
      </c>
      <c r="K17" s="764">
        <f t="shared" si="0"/>
        <v>6.5663365350092442E-3</v>
      </c>
    </row>
    <row r="18" spans="1:12" ht="15" customHeight="1">
      <c r="D18" s="94"/>
      <c r="E18" s="20"/>
      <c r="F18" s="95"/>
      <c r="G18" s="95"/>
      <c r="I18" s="1770" t="s">
        <v>100</v>
      </c>
      <c r="J18" s="1772">
        <v>25957245.789999999</v>
      </c>
      <c r="K18" s="764">
        <f t="shared" si="0"/>
        <v>7.6232656751550349E-3</v>
      </c>
    </row>
    <row r="19" spans="1:12" ht="15" customHeight="1">
      <c r="D19" s="94"/>
      <c r="E19" s="20"/>
      <c r="F19" s="95"/>
      <c r="G19" s="95"/>
      <c r="I19" s="1770" t="s">
        <v>119</v>
      </c>
      <c r="J19" s="1772">
        <v>22860994.289999999</v>
      </c>
      <c r="K19" s="764">
        <f t="shared" si="0"/>
        <v>6.7139416285071224E-3</v>
      </c>
    </row>
    <row r="20" spans="1:12" ht="15" customHeight="1">
      <c r="D20" s="94"/>
      <c r="E20" s="20"/>
      <c r="F20" s="95"/>
      <c r="G20" s="95"/>
      <c r="I20" s="1770" t="s">
        <v>117</v>
      </c>
      <c r="J20" s="1772">
        <v>27973871.559999999</v>
      </c>
      <c r="K20" s="764">
        <f t="shared" si="0"/>
        <v>8.2155193424526887E-3</v>
      </c>
    </row>
    <row r="21" spans="1:12" ht="15" customHeight="1">
      <c r="D21" s="94"/>
      <c r="E21" s="20"/>
      <c r="F21" s="95"/>
      <c r="G21" s="95"/>
      <c r="I21" s="1770" t="s">
        <v>114</v>
      </c>
      <c r="J21" s="1772">
        <v>23810702.100000001</v>
      </c>
      <c r="K21" s="764">
        <f t="shared" si="0"/>
        <v>6.9928570037349844E-3</v>
      </c>
    </row>
    <row r="22" spans="1:12" ht="15" customHeight="1">
      <c r="D22" s="94"/>
      <c r="E22" s="20"/>
      <c r="F22" s="95"/>
      <c r="G22" s="95"/>
      <c r="I22" s="1770" t="s">
        <v>198</v>
      </c>
      <c r="J22" s="1772">
        <v>7850145.4500000002</v>
      </c>
      <c r="K22" s="764">
        <f t="shared" si="0"/>
        <v>2.3054735790579992E-3</v>
      </c>
    </row>
    <row r="23" spans="1:12" ht="15" customHeight="1">
      <c r="D23" s="94"/>
      <c r="E23" s="20"/>
      <c r="F23" s="95"/>
      <c r="G23" s="95"/>
      <c r="I23" s="1770" t="s">
        <v>120</v>
      </c>
      <c r="J23" s="1772">
        <v>3631422.03</v>
      </c>
      <c r="K23" s="764">
        <f t="shared" si="0"/>
        <v>1.0664958500322009E-3</v>
      </c>
    </row>
    <row r="24" spans="1:12" ht="15" customHeight="1">
      <c r="D24" s="94"/>
      <c r="E24" s="20"/>
      <c r="F24" s="95"/>
      <c r="G24" s="95"/>
      <c r="I24" s="1770" t="s">
        <v>121</v>
      </c>
      <c r="J24" s="1772">
        <v>2319136.5299999998</v>
      </c>
      <c r="K24" s="764">
        <f t="shared" si="0"/>
        <v>6.8109667906130942E-4</v>
      </c>
    </row>
    <row r="25" spans="1:12" s="996" customFormat="1" ht="20.25" customHeight="1">
      <c r="D25" s="163"/>
      <c r="E25" s="200"/>
      <c r="F25" s="1387"/>
      <c r="G25" s="1387"/>
      <c r="I25" s="385" t="s">
        <v>23</v>
      </c>
      <c r="J25" s="1388">
        <f>SUM(J4:J24)</f>
        <v>3405003432.4000001</v>
      </c>
      <c r="K25" s="1389">
        <f>SUM(K4:K24)</f>
        <v>1</v>
      </c>
      <c r="L25" s="77"/>
    </row>
    <row r="26" spans="1:12">
      <c r="D26" s="94"/>
      <c r="E26" s="20"/>
      <c r="F26" s="95"/>
      <c r="G26" s="95"/>
      <c r="I26" s="94"/>
      <c r="J26" s="94"/>
      <c r="K26" s="94"/>
    </row>
    <row r="27" spans="1:12" s="94" customFormat="1" ht="15" customHeight="1">
      <c r="A27" s="31"/>
      <c r="B27" s="77"/>
      <c r="C27" s="31"/>
      <c r="D27" s="32"/>
      <c r="E27" s="33"/>
      <c r="F27" s="95"/>
      <c r="G27" s="95"/>
      <c r="H27" s="95"/>
      <c r="I27" s="77"/>
      <c r="J27" s="77"/>
      <c r="K27" s="77"/>
      <c r="L27" s="77"/>
    </row>
    <row r="36" spans="9:11" ht="15" customHeight="1">
      <c r="I36" s="94"/>
      <c r="J36" s="94"/>
      <c r="K36" s="94"/>
    </row>
    <row r="46" spans="9:11" ht="15" customHeight="1">
      <c r="I46" s="95"/>
      <c r="J46" s="95"/>
      <c r="K46" s="95"/>
    </row>
    <row r="60" spans="1:1" ht="15" customHeight="1">
      <c r="A60" s="50" t="s">
        <v>31</v>
      </c>
    </row>
  </sheetData>
  <mergeCells count="2">
    <mergeCell ref="A1:K1"/>
    <mergeCell ref="A2:K2"/>
  </mergeCells>
  <printOptions horizontalCentered="1" verticalCentered="1"/>
  <pageMargins left="0.39370078740157499" right="0.39370078740157499" top="0.23622047244094499" bottom="0.23622047244094499" header="0.31496062992126" footer="0.31496062992126"/>
  <pageSetup scale="59" orientation="landscape" r:id="rId1"/>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6">
    <tabColor rgb="FF00B0F0"/>
    <pageSetUpPr fitToPage="1"/>
  </sheetPr>
  <dimension ref="A1:M49"/>
  <sheetViews>
    <sheetView showGridLines="0" view="pageBreakPreview" zoomScale="70" zoomScaleNormal="85" zoomScaleSheetLayoutView="70" workbookViewId="0">
      <selection activeCell="A3" sqref="A3"/>
    </sheetView>
  </sheetViews>
  <sheetFormatPr baseColWidth="10" defaultColWidth="11.42578125" defaultRowHeight="15"/>
  <cols>
    <col min="1" max="1" width="62.85546875" style="76" customWidth="1"/>
    <col min="2" max="2" width="23.5703125" style="76" customWidth="1"/>
    <col min="3" max="3" width="15.85546875" style="76" customWidth="1"/>
    <col min="4" max="5" width="12" style="76" customWidth="1"/>
    <col min="6" max="6" width="12.42578125" style="76" customWidth="1"/>
    <col min="7" max="8" width="12.28515625" style="76" customWidth="1"/>
    <col min="9" max="10" width="10.7109375" style="76" customWidth="1"/>
    <col min="11" max="16384" width="11.42578125" style="76"/>
  </cols>
  <sheetData>
    <row r="1" spans="1:13" ht="79.5" customHeight="1">
      <c r="A1" s="2134"/>
      <c r="B1" s="2134"/>
      <c r="C1" s="2134"/>
      <c r="D1" s="2134"/>
      <c r="E1" s="2134"/>
      <c r="F1" s="2134"/>
      <c r="G1" s="2134"/>
      <c r="H1" s="2134"/>
      <c r="I1" s="2134"/>
      <c r="J1" s="2134"/>
      <c r="K1" s="1777"/>
      <c r="L1" s="1777"/>
      <c r="M1" s="1778"/>
    </row>
    <row r="2" spans="1:13" ht="9.75" customHeight="1">
      <c r="K2" s="1777"/>
      <c r="L2" s="1777"/>
      <c r="M2" s="1778"/>
    </row>
    <row r="3" spans="1:13" ht="18.75">
      <c r="A3" s="517" t="s">
        <v>681</v>
      </c>
      <c r="B3" s="1011" t="s">
        <v>207</v>
      </c>
      <c r="C3" s="1012" t="s">
        <v>42</v>
      </c>
      <c r="I3" s="77"/>
      <c r="J3" s="114"/>
      <c r="K3" s="1778"/>
      <c r="L3" s="1778"/>
      <c r="M3" s="1778"/>
    </row>
    <row r="4" spans="1:13" ht="18.75">
      <c r="A4" s="762" t="s">
        <v>609</v>
      </c>
      <c r="B4" s="1773">
        <v>3330535384.7800002</v>
      </c>
      <c r="C4" s="833">
        <f>+B4/$B$7</f>
        <v>0.52288597912115475</v>
      </c>
      <c r="I4" s="77"/>
      <c r="J4" s="114"/>
      <c r="K4" s="1779"/>
      <c r="L4" s="1779"/>
      <c r="M4" s="1778"/>
    </row>
    <row r="5" spans="1:13" ht="18.75">
      <c r="A5" s="762" t="s">
        <v>610</v>
      </c>
      <c r="B5" s="1773">
        <v>2003760000</v>
      </c>
      <c r="C5" s="833">
        <f>+B5/$B$7</f>
        <v>0.31458546103782459</v>
      </c>
      <c r="D5" s="114"/>
      <c r="I5" s="77"/>
      <c r="J5" s="114"/>
      <c r="K5" s="1779"/>
      <c r="L5" s="1779"/>
      <c r="M5" s="1778"/>
    </row>
    <row r="6" spans="1:13" ht="18.75">
      <c r="A6" s="762" t="s">
        <v>611</v>
      </c>
      <c r="B6" s="1773">
        <v>1035229746.45</v>
      </c>
      <c r="C6" s="833">
        <f>+B6/$B$7</f>
        <v>0.16252855984102066</v>
      </c>
      <c r="D6" s="114"/>
      <c r="E6" s="114"/>
      <c r="I6" s="114"/>
      <c r="J6" s="114"/>
      <c r="K6" s="1773"/>
      <c r="L6" s="1773"/>
    </row>
    <row r="7" spans="1:13" ht="18.75">
      <c r="A7" s="518" t="s">
        <v>23</v>
      </c>
      <c r="B7" s="1013">
        <f>SUM(B4:B6)</f>
        <v>6369525131.2300005</v>
      </c>
      <c r="C7" s="1014">
        <f>SUM(C4:C6)</f>
        <v>1</v>
      </c>
      <c r="D7" s="114"/>
      <c r="E7" s="114"/>
      <c r="I7" s="114"/>
      <c r="J7" s="114"/>
      <c r="K7" s="1773"/>
      <c r="L7" s="1773"/>
    </row>
    <row r="8" spans="1:13" ht="15.75">
      <c r="A8" s="1442" t="s">
        <v>770</v>
      </c>
      <c r="B8" s="114"/>
      <c r="C8" s="114"/>
      <c r="D8" s="114"/>
      <c r="E8" s="114"/>
      <c r="F8" s="114"/>
      <c r="G8" s="114"/>
      <c r="H8" s="114"/>
      <c r="I8" s="114"/>
      <c r="J8" s="114"/>
    </row>
    <row r="9" spans="1:13">
      <c r="B9" s="114"/>
      <c r="C9" s="114"/>
      <c r="D9" s="114"/>
      <c r="E9" s="114"/>
      <c r="F9" s="114"/>
      <c r="G9" s="114"/>
      <c r="H9" s="114"/>
      <c r="I9" s="114"/>
      <c r="J9" s="114"/>
    </row>
    <row r="10" spans="1:13">
      <c r="B10" s="114"/>
      <c r="C10" s="114"/>
      <c r="D10" s="114"/>
      <c r="E10" s="114"/>
      <c r="F10" s="114"/>
      <c r="G10" s="114"/>
      <c r="H10" s="114"/>
      <c r="I10" s="114"/>
      <c r="J10" s="114"/>
    </row>
    <row r="11" spans="1:13">
      <c r="B11" s="114"/>
      <c r="C11" s="114"/>
      <c r="D11" s="114"/>
      <c r="E11" s="114"/>
      <c r="F11" s="114"/>
      <c r="G11" s="114"/>
      <c r="H11" s="114"/>
      <c r="I11" s="114"/>
      <c r="J11" s="114"/>
    </row>
    <row r="12" spans="1:13">
      <c r="B12" s="114"/>
      <c r="C12" s="114"/>
      <c r="D12" s="114"/>
      <c r="E12" s="114"/>
      <c r="F12" s="114"/>
      <c r="G12" s="114"/>
      <c r="H12" s="114"/>
      <c r="I12" s="114"/>
      <c r="J12" s="114"/>
    </row>
    <row r="13" spans="1:13">
      <c r="B13" s="114"/>
      <c r="C13" s="114"/>
      <c r="D13" s="114"/>
      <c r="E13" s="114"/>
      <c r="F13" s="114"/>
      <c r="G13" s="114"/>
      <c r="H13" s="114"/>
      <c r="I13" s="114"/>
      <c r="J13" s="114"/>
    </row>
    <row r="14" spans="1:13">
      <c r="B14" s="114"/>
      <c r="C14" s="114"/>
      <c r="D14" s="114"/>
      <c r="E14" s="114"/>
      <c r="F14" s="114"/>
      <c r="G14" s="114"/>
      <c r="H14" s="114"/>
      <c r="I14" s="114"/>
      <c r="J14" s="114"/>
    </row>
    <row r="15" spans="1:13">
      <c r="B15" s="114"/>
      <c r="C15" s="114"/>
      <c r="D15" s="114"/>
      <c r="E15" s="114"/>
      <c r="F15" s="114"/>
      <c r="G15" s="114"/>
      <c r="H15" s="114"/>
      <c r="I15" s="114"/>
      <c r="J15" s="114"/>
    </row>
    <row r="16" spans="1:13">
      <c r="B16" s="114"/>
      <c r="C16" s="114"/>
      <c r="D16" s="114"/>
      <c r="E16" s="114"/>
      <c r="F16" s="114"/>
      <c r="G16" s="114"/>
      <c r="H16" s="114"/>
      <c r="I16" s="114"/>
      <c r="J16" s="114"/>
    </row>
    <row r="17" spans="2:13">
      <c r="B17" s="114"/>
      <c r="C17" s="114"/>
      <c r="D17" s="114"/>
      <c r="E17" s="114"/>
      <c r="F17" s="114"/>
      <c r="G17" s="114"/>
      <c r="H17" s="114"/>
      <c r="I17" s="114"/>
      <c r="J17" s="114"/>
    </row>
    <row r="18" spans="2:13">
      <c r="B18" s="114"/>
      <c r="C18" s="114"/>
      <c r="D18" s="114"/>
      <c r="E18" s="114"/>
      <c r="F18" s="114"/>
      <c r="G18" s="114"/>
      <c r="H18" s="114"/>
      <c r="I18" s="114"/>
      <c r="J18" s="114"/>
    </row>
    <row r="19" spans="2:13">
      <c r="B19" s="114"/>
      <c r="C19" s="114"/>
      <c r="D19" s="114"/>
      <c r="E19" s="114"/>
      <c r="F19" s="114"/>
      <c r="G19" s="114"/>
      <c r="H19" s="114"/>
      <c r="I19" s="114"/>
      <c r="J19" s="114"/>
    </row>
    <row r="20" spans="2:13">
      <c r="B20" s="114"/>
      <c r="C20" s="114"/>
      <c r="D20" s="114"/>
      <c r="E20" s="114"/>
      <c r="F20" s="114"/>
      <c r="G20" s="114"/>
      <c r="H20" s="114"/>
      <c r="I20" s="114"/>
      <c r="J20" s="114"/>
    </row>
    <row r="21" spans="2:13">
      <c r="B21" s="114"/>
      <c r="C21" s="114"/>
      <c r="D21" s="114"/>
      <c r="E21" s="114"/>
      <c r="F21" s="114"/>
      <c r="G21" s="114"/>
      <c r="H21" s="114"/>
      <c r="I21" s="114"/>
      <c r="J21" s="114"/>
    </row>
    <row r="22" spans="2:13">
      <c r="E22" s="114"/>
      <c r="F22" s="114"/>
      <c r="G22" s="114"/>
      <c r="H22" s="114"/>
      <c r="I22" s="114"/>
      <c r="J22" s="114"/>
      <c r="K22" s="114"/>
      <c r="L22" s="114"/>
      <c r="M22" s="114"/>
    </row>
    <row r="23" spans="2:13">
      <c r="E23" s="114"/>
      <c r="F23" s="114"/>
      <c r="G23" s="114"/>
      <c r="H23" s="114"/>
      <c r="I23" s="114"/>
      <c r="J23" s="114"/>
      <c r="K23" s="114"/>
      <c r="L23" s="114"/>
      <c r="M23" s="114"/>
    </row>
    <row r="24" spans="2:13">
      <c r="E24" s="114"/>
      <c r="F24" s="114"/>
      <c r="G24" s="114"/>
      <c r="H24" s="114"/>
      <c r="I24" s="114"/>
      <c r="J24" s="114"/>
      <c r="K24" s="114"/>
      <c r="L24" s="114"/>
      <c r="M24" s="114"/>
    </row>
    <row r="25" spans="2:13">
      <c r="E25" s="114"/>
      <c r="F25" s="114"/>
      <c r="G25" s="114"/>
      <c r="H25" s="114"/>
      <c r="I25" s="114"/>
      <c r="J25" s="114"/>
      <c r="K25" s="114"/>
      <c r="L25" s="114"/>
      <c r="M25" s="114"/>
    </row>
    <row r="26" spans="2:13">
      <c r="E26" s="114"/>
      <c r="F26" s="114"/>
      <c r="G26" s="114"/>
      <c r="H26" s="114"/>
      <c r="I26" s="114"/>
      <c r="J26" s="114"/>
      <c r="K26" s="114"/>
      <c r="L26" s="114"/>
      <c r="M26" s="114"/>
    </row>
    <row r="27" spans="2:13">
      <c r="E27" s="114"/>
      <c r="F27" s="114"/>
      <c r="G27" s="114"/>
      <c r="H27" s="114"/>
      <c r="I27" s="114"/>
      <c r="J27" s="114"/>
      <c r="K27" s="114"/>
      <c r="L27" s="114"/>
      <c r="M27" s="114"/>
    </row>
    <row r="28" spans="2:13">
      <c r="B28" s="114"/>
      <c r="C28" s="114"/>
      <c r="D28" s="114"/>
      <c r="E28" s="114"/>
      <c r="F28" s="114"/>
      <c r="G28" s="114"/>
      <c r="H28" s="114"/>
      <c r="I28" s="114"/>
      <c r="J28" s="114"/>
    </row>
    <row r="29" spans="2:13" ht="28.5">
      <c r="B29" s="114"/>
      <c r="C29" s="114"/>
      <c r="D29" s="115"/>
      <c r="E29" s="114"/>
      <c r="F29" s="114"/>
      <c r="G29" s="114"/>
      <c r="H29" s="114"/>
      <c r="I29" s="114"/>
      <c r="J29" s="114"/>
    </row>
    <row r="30" spans="2:13">
      <c r="B30" s="114"/>
      <c r="C30" s="114"/>
      <c r="D30" s="114"/>
      <c r="E30" s="114"/>
      <c r="F30" s="114"/>
      <c r="G30" s="114"/>
      <c r="H30" s="114"/>
      <c r="I30" s="114"/>
      <c r="J30" s="114"/>
    </row>
    <row r="31" spans="2:13">
      <c r="B31" s="114"/>
      <c r="F31" s="114"/>
      <c r="G31" s="114"/>
      <c r="H31" s="114"/>
      <c r="I31" s="114"/>
      <c r="J31" s="114"/>
    </row>
    <row r="32" spans="2:13">
      <c r="B32" s="114"/>
      <c r="F32" s="114"/>
      <c r="G32" s="114"/>
      <c r="H32" s="114"/>
      <c r="I32" s="114"/>
      <c r="J32" s="114"/>
    </row>
    <row r="33" spans="2:10">
      <c r="B33" s="114"/>
      <c r="F33" s="114"/>
      <c r="G33" s="114"/>
      <c r="H33" s="114"/>
      <c r="I33" s="114"/>
      <c r="J33" s="114"/>
    </row>
    <row r="34" spans="2:10">
      <c r="B34" s="114"/>
      <c r="F34" s="114"/>
      <c r="G34" s="114"/>
      <c r="H34" s="114"/>
      <c r="I34" s="114"/>
      <c r="J34" s="114"/>
    </row>
    <row r="35" spans="2:10">
      <c r="B35" s="114"/>
      <c r="F35" s="114"/>
      <c r="G35" s="114"/>
      <c r="H35" s="114"/>
      <c r="I35" s="114"/>
      <c r="J35" s="114"/>
    </row>
    <row r="36" spans="2:10">
      <c r="B36" s="114"/>
      <c r="F36" s="114"/>
      <c r="G36" s="114"/>
      <c r="H36" s="114"/>
      <c r="I36" s="114"/>
      <c r="J36" s="114"/>
    </row>
    <row r="37" spans="2:10">
      <c r="B37" s="114"/>
      <c r="F37" s="114"/>
      <c r="G37" s="114"/>
      <c r="H37" s="114"/>
      <c r="I37" s="114"/>
      <c r="J37" s="114"/>
    </row>
    <row r="38" spans="2:10">
      <c r="B38" s="114"/>
      <c r="C38" s="114"/>
      <c r="D38" s="114"/>
      <c r="E38" s="114"/>
    </row>
    <row r="39" spans="2:10">
      <c r="B39" s="114"/>
      <c r="C39" s="114"/>
      <c r="D39" s="114"/>
      <c r="E39" s="114"/>
    </row>
    <row r="40" spans="2:10">
      <c r="B40" s="114"/>
      <c r="C40" s="114"/>
      <c r="D40" s="114"/>
      <c r="E40" s="114"/>
    </row>
    <row r="41" spans="2:10">
      <c r="B41" s="114"/>
      <c r="C41" s="114"/>
      <c r="D41" s="114"/>
      <c r="E41" s="114"/>
    </row>
    <row r="42" spans="2:10">
      <c r="B42" s="114"/>
      <c r="C42" s="114"/>
      <c r="D42" s="114"/>
      <c r="E42" s="114"/>
    </row>
    <row r="43" spans="2:10">
      <c r="B43" s="114"/>
      <c r="C43" s="114"/>
      <c r="D43" s="114"/>
      <c r="E43" s="114"/>
    </row>
    <row r="44" spans="2:10">
      <c r="B44" s="114"/>
      <c r="C44" s="114"/>
      <c r="D44" s="114"/>
      <c r="E44" s="114"/>
    </row>
    <row r="45" spans="2:10">
      <c r="B45" s="114"/>
      <c r="C45" s="114"/>
      <c r="D45" s="114"/>
      <c r="E45" s="114"/>
    </row>
    <row r="46" spans="2:10">
      <c r="B46" s="114"/>
      <c r="C46" s="114"/>
      <c r="D46" s="114"/>
      <c r="E46" s="114"/>
    </row>
    <row r="47" spans="2:10">
      <c r="B47" s="114"/>
      <c r="C47" s="114"/>
      <c r="D47" s="114"/>
      <c r="E47" s="114"/>
    </row>
    <row r="48" spans="2:10">
      <c r="B48" s="114"/>
      <c r="C48" s="114"/>
      <c r="D48" s="114"/>
      <c r="E48" s="114"/>
    </row>
    <row r="49" spans="2:5">
      <c r="B49" s="114"/>
      <c r="C49" s="114"/>
      <c r="D49" s="114"/>
      <c r="E49" s="114"/>
    </row>
  </sheetData>
  <mergeCells count="1">
    <mergeCell ref="A1:J1"/>
  </mergeCells>
  <pageMargins left="0.70866141732283472" right="0.70866141732283472" top="0.74803149606299213" bottom="0.74803149606299213" header="0.31496062992125984" footer="0.31496062992125984"/>
  <pageSetup scale="63"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tabColor theme="9" tint="-0.499984740745262"/>
    <pageSetUpPr fitToPage="1"/>
  </sheetPr>
  <dimension ref="A5:A9"/>
  <sheetViews>
    <sheetView showGridLines="0" view="pageBreakPreview" zoomScale="85" zoomScaleNormal="100" zoomScaleSheetLayoutView="85" workbookViewId="0">
      <selection activeCell="P14" sqref="P14"/>
    </sheetView>
  </sheetViews>
  <sheetFormatPr baseColWidth="10" defaultColWidth="11.42578125" defaultRowHeight="15"/>
  <cols>
    <col min="1" max="6" width="11.42578125" style="77"/>
    <col min="7" max="7" width="13.42578125" style="77" customWidth="1"/>
    <col min="8" max="10" width="11.42578125" style="77"/>
    <col min="11" max="12" width="15.5703125" style="77" customWidth="1"/>
    <col min="13" max="13" width="13.140625" style="77" customWidth="1"/>
    <col min="14" max="16384" width="11.42578125" style="77"/>
  </cols>
  <sheetData>
    <row r="5" ht="20.25" customHeight="1"/>
    <row r="7" ht="24.75" customHeight="1"/>
    <row r="8" ht="12" customHeight="1"/>
    <row r="9" ht="16.5" customHeight="1"/>
  </sheetData>
  <pageMargins left="0.70866141732283472" right="0.70866141732283472" top="0.74803149606299213" bottom="0.74803149606299213" header="0.31496062992125984" footer="0.31496062992125984"/>
  <pageSetup scale="71" orientation="landscape"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5">
    <tabColor rgb="FF00B0F0"/>
    <pageSetUpPr fitToPage="1"/>
  </sheetPr>
  <dimension ref="A1:Q70"/>
  <sheetViews>
    <sheetView showGridLines="0" view="pageBreakPreview" zoomScale="70" zoomScaleNormal="85" zoomScaleSheetLayoutView="70" workbookViewId="0">
      <selection activeCell="A2" sqref="A2"/>
    </sheetView>
  </sheetViews>
  <sheetFormatPr baseColWidth="10" defaultColWidth="11.42578125" defaultRowHeight="15"/>
  <cols>
    <col min="1" max="1" width="29.5703125" style="76" customWidth="1"/>
    <col min="2" max="2" width="25.42578125" style="76" customWidth="1"/>
    <col min="3" max="3" width="18.85546875" style="76" customWidth="1"/>
    <col min="4" max="5" width="12" style="76" customWidth="1"/>
    <col min="6" max="6" width="14" style="76" customWidth="1"/>
    <col min="7" max="7" width="11.7109375" style="76" customWidth="1"/>
    <col min="8" max="8" width="16.5703125" style="76" customWidth="1"/>
    <col min="9" max="9" width="14.7109375" style="76" customWidth="1"/>
    <col min="10" max="10" width="19.28515625" style="76" customWidth="1"/>
    <col min="11" max="11" width="9.85546875" style="76" customWidth="1"/>
    <col min="12" max="12" width="18.7109375" style="76" customWidth="1"/>
    <col min="13" max="13" width="15.140625" style="76" bestFit="1" customWidth="1"/>
    <col min="14" max="16384" width="11.42578125" style="76"/>
  </cols>
  <sheetData>
    <row r="1" spans="1:16" ht="78" customHeight="1">
      <c r="A1" s="2135"/>
      <c r="B1" s="2135"/>
      <c r="C1" s="2135"/>
      <c r="D1" s="2135"/>
      <c r="E1" s="2135"/>
      <c r="F1" s="2135"/>
      <c r="G1" s="2135"/>
      <c r="H1" s="2135"/>
      <c r="I1" s="2135"/>
      <c r="J1" s="2135"/>
      <c r="K1" s="2135"/>
      <c r="L1"/>
      <c r="M1"/>
      <c r="N1"/>
      <c r="O1"/>
      <c r="P1"/>
    </row>
    <row r="2" spans="1:16" ht="18.75">
      <c r="A2" s="517" t="s">
        <v>177</v>
      </c>
      <c r="B2" s="932" t="s">
        <v>207</v>
      </c>
      <c r="C2" s="517" t="s">
        <v>42</v>
      </c>
      <c r="F2"/>
      <c r="G2"/>
      <c r="H2"/>
      <c r="I2"/>
      <c r="J2" s="114"/>
      <c r="K2" s="114"/>
    </row>
    <row r="3" spans="1:16" ht="18.75">
      <c r="A3" s="519" t="s">
        <v>43</v>
      </c>
      <c r="B3" s="1792">
        <f>+'IV.2.6.INV_SFS x Entidad'!B7</f>
        <v>6369525131.2300005</v>
      </c>
      <c r="C3" s="1443">
        <f>+B3/$B$6</f>
        <v>0.86407069100421585</v>
      </c>
      <c r="F3" s="77"/>
      <c r="G3"/>
      <c r="H3"/>
      <c r="I3"/>
      <c r="J3" s="114"/>
      <c r="K3" s="114"/>
    </row>
    <row r="4" spans="1:16" ht="18.75">
      <c r="A4" s="519" t="s">
        <v>105</v>
      </c>
      <c r="B4" s="1792">
        <v>868577228.13</v>
      </c>
      <c r="C4" s="1443">
        <f>+B4/$B$6</f>
        <v>0.11782858380148761</v>
      </c>
      <c r="F4"/>
      <c r="G4"/>
      <c r="H4"/>
      <c r="I4"/>
      <c r="J4" s="114"/>
      <c r="K4" s="114"/>
    </row>
    <row r="5" spans="1:16" ht="18" customHeight="1">
      <c r="A5" s="519" t="s">
        <v>460</v>
      </c>
      <c r="B5" s="1792">
        <v>133430083</v>
      </c>
      <c r="C5" s="1443">
        <f>+B5/$B$6</f>
        <v>1.8100725194296546E-2</v>
      </c>
      <c r="F5" s="77"/>
      <c r="G5" s="77"/>
      <c r="H5" s="77"/>
      <c r="I5" s="77"/>
      <c r="J5" s="114"/>
      <c r="K5" s="114"/>
    </row>
    <row r="6" spans="1:16" ht="18.75">
      <c r="A6" s="518" t="s">
        <v>23</v>
      </c>
      <c r="B6" s="933">
        <f>+B4+B3+B5</f>
        <v>7371532442.3600006</v>
      </c>
      <c r="C6" s="934">
        <f>SUM(C3:C5)</f>
        <v>1</v>
      </c>
      <c r="F6"/>
      <c r="G6"/>
      <c r="H6"/>
      <c r="I6"/>
      <c r="J6" s="114"/>
      <c r="K6" s="116"/>
      <c r="M6" s="117"/>
    </row>
    <row r="7" spans="1:16">
      <c r="A7" s="114"/>
      <c r="B7" s="114"/>
      <c r="C7" s="114"/>
      <c r="D7" s="114"/>
      <c r="F7"/>
      <c r="G7"/>
      <c r="H7"/>
      <c r="I7"/>
      <c r="J7" s="114"/>
      <c r="K7" s="114"/>
    </row>
    <row r="8" spans="1:16">
      <c r="A8" s="114"/>
      <c r="B8" s="114"/>
      <c r="C8" s="114"/>
      <c r="D8" s="114"/>
      <c r="E8" s="114"/>
      <c r="F8"/>
      <c r="G8"/>
      <c r="H8"/>
      <c r="I8"/>
      <c r="J8" s="114"/>
      <c r="K8" s="114"/>
    </row>
    <row r="9" spans="1:16">
      <c r="B9" s="114"/>
      <c r="C9" s="114"/>
      <c r="D9" s="114"/>
      <c r="E9" s="114"/>
      <c r="F9"/>
      <c r="G9"/>
      <c r="H9"/>
      <c r="I9"/>
      <c r="J9" s="114"/>
      <c r="K9" s="114"/>
    </row>
    <row r="10" spans="1:16">
      <c r="B10" s="114"/>
      <c r="C10" s="114"/>
      <c r="D10" s="114"/>
      <c r="E10" s="114"/>
      <c r="F10"/>
      <c r="G10"/>
      <c r="H10"/>
      <c r="I10"/>
      <c r="J10" s="114"/>
      <c r="K10" s="114"/>
    </row>
    <row r="11" spans="1:16">
      <c r="B11" s="114"/>
      <c r="C11" s="114"/>
      <c r="D11" s="114"/>
      <c r="E11" s="114"/>
      <c r="F11"/>
      <c r="G11"/>
      <c r="H11"/>
      <c r="I11"/>
      <c r="J11" s="114"/>
      <c r="K11" s="114"/>
    </row>
    <row r="12" spans="1:16">
      <c r="B12" s="114"/>
      <c r="C12" s="114"/>
      <c r="D12" s="114"/>
      <c r="E12" s="114"/>
      <c r="F12"/>
      <c r="G12"/>
      <c r="H12"/>
      <c r="I12"/>
      <c r="J12" s="114"/>
      <c r="K12" s="114"/>
    </row>
    <row r="13" spans="1:16">
      <c r="B13" s="114"/>
      <c r="C13" s="114"/>
      <c r="D13" s="114"/>
      <c r="E13" s="114"/>
      <c r="F13"/>
      <c r="G13"/>
      <c r="H13"/>
      <c r="I13"/>
      <c r="J13" s="114"/>
      <c r="K13" s="114"/>
    </row>
    <row r="14" spans="1:16">
      <c r="B14" s="114"/>
      <c r="C14" s="114"/>
      <c r="D14" s="114"/>
      <c r="E14" s="114"/>
      <c r="F14" s="114"/>
      <c r="G14" s="114"/>
      <c r="H14" s="114"/>
      <c r="I14" s="114"/>
      <c r="J14" s="114"/>
      <c r="K14" s="114"/>
    </row>
    <row r="15" spans="1:16">
      <c r="B15" s="114"/>
      <c r="C15" s="114"/>
      <c r="D15" s="114"/>
      <c r="E15" s="114"/>
      <c r="F15" s="114"/>
      <c r="G15" s="114"/>
      <c r="H15" s="114"/>
      <c r="I15" s="114"/>
      <c r="J15" s="114"/>
      <c r="K15" s="114"/>
    </row>
    <row r="16" spans="1:16">
      <c r="B16" s="114"/>
      <c r="C16" s="114"/>
      <c r="D16" s="114"/>
      <c r="E16" s="114"/>
      <c r="F16" s="114"/>
      <c r="G16" s="114"/>
      <c r="H16" s="114"/>
      <c r="I16" s="114"/>
      <c r="J16" s="114"/>
      <c r="K16" s="114"/>
    </row>
    <row r="17" spans="2:17">
      <c r="B17" s="114"/>
      <c r="C17" s="114"/>
      <c r="D17" s="114"/>
      <c r="E17" s="114"/>
      <c r="F17" s="114"/>
      <c r="G17" s="114"/>
      <c r="H17" s="114"/>
      <c r="I17" s="114"/>
      <c r="J17" s="114"/>
      <c r="K17" s="114"/>
    </row>
    <row r="18" spans="2:17">
      <c r="B18" s="114"/>
      <c r="C18" s="114"/>
      <c r="D18" s="114"/>
      <c r="E18" s="114"/>
      <c r="F18" s="114"/>
      <c r="G18" s="114"/>
      <c r="H18" s="114"/>
      <c r="I18" s="114"/>
      <c r="J18" s="114"/>
      <c r="K18" s="114"/>
    </row>
    <row r="19" spans="2:17">
      <c r="B19" s="114"/>
      <c r="C19" s="114"/>
      <c r="D19" s="114"/>
      <c r="E19" s="114"/>
      <c r="F19" s="114"/>
      <c r="G19" s="114"/>
      <c r="H19" s="114"/>
      <c r="I19" s="114"/>
      <c r="J19" s="114"/>
      <c r="K19" s="114"/>
    </row>
    <row r="20" spans="2:17">
      <c r="B20" s="114"/>
      <c r="C20" s="114"/>
      <c r="D20" s="114"/>
      <c r="E20" s="114"/>
      <c r="F20" s="114"/>
      <c r="G20" s="114"/>
      <c r="H20" s="114"/>
      <c r="I20" s="114"/>
      <c r="J20" s="114"/>
      <c r="K20" s="114"/>
    </row>
    <row r="21" spans="2:17">
      <c r="B21" s="114"/>
      <c r="C21" s="114"/>
      <c r="D21" s="114"/>
      <c r="E21" s="114"/>
      <c r="F21" s="114"/>
      <c r="G21" s="114"/>
      <c r="H21" s="114"/>
      <c r="I21" s="114"/>
      <c r="J21" s="114"/>
      <c r="K21" s="114"/>
    </row>
    <row r="22" spans="2:17">
      <c r="B22" s="114"/>
      <c r="C22" s="114"/>
      <c r="D22" s="114"/>
      <c r="E22" s="114"/>
      <c r="F22" s="114"/>
      <c r="G22" s="114"/>
      <c r="H22" s="114"/>
      <c r="I22" s="114"/>
      <c r="J22" s="114"/>
      <c r="K22" s="114"/>
    </row>
    <row r="23" spans="2:17">
      <c r="B23" s="114"/>
      <c r="C23" s="114"/>
      <c r="D23" s="114"/>
      <c r="E23" s="114"/>
      <c r="F23" s="114"/>
      <c r="G23" s="114"/>
      <c r="H23" s="114"/>
      <c r="I23" s="114"/>
      <c r="J23" s="114"/>
      <c r="K23" s="114"/>
    </row>
    <row r="24" spans="2:17">
      <c r="B24" s="114"/>
      <c r="C24" s="114"/>
      <c r="D24" s="114"/>
      <c r="E24" s="114"/>
      <c r="F24" s="114"/>
      <c r="G24" s="114"/>
      <c r="H24" s="114"/>
      <c r="I24" s="114"/>
      <c r="J24" s="114"/>
      <c r="K24" s="114"/>
    </row>
    <row r="25" spans="2:17">
      <c r="B25" s="114"/>
      <c r="C25" s="114"/>
      <c r="D25" s="114"/>
      <c r="E25" s="114"/>
      <c r="F25" s="114"/>
      <c r="G25" s="114"/>
      <c r="H25" s="114"/>
      <c r="I25" s="114"/>
      <c r="J25" s="114"/>
      <c r="K25" s="114"/>
    </row>
    <row r="26" spans="2:17">
      <c r="E26" s="114"/>
      <c r="F26" s="114"/>
      <c r="G26" s="114"/>
      <c r="H26" s="114"/>
      <c r="I26" s="114"/>
      <c r="J26" s="114"/>
      <c r="K26" s="114"/>
      <c r="N26" s="114"/>
      <c r="O26" s="114"/>
      <c r="P26" s="114"/>
      <c r="Q26" s="114"/>
    </row>
    <row r="27" spans="2:17">
      <c r="E27" s="114"/>
      <c r="F27" s="114"/>
      <c r="G27" s="114"/>
      <c r="H27" s="114"/>
      <c r="I27" s="114"/>
      <c r="J27" s="114"/>
      <c r="K27" s="114"/>
      <c r="N27" s="114"/>
      <c r="O27" s="114"/>
      <c r="P27" s="114"/>
      <c r="Q27" s="114"/>
    </row>
    <row r="28" spans="2:17">
      <c r="E28" s="114"/>
      <c r="F28" s="114"/>
      <c r="G28" s="114"/>
      <c r="H28" s="114"/>
      <c r="I28" s="114"/>
      <c r="J28" s="114"/>
      <c r="K28" s="114"/>
      <c r="N28" s="114"/>
      <c r="O28" s="114"/>
      <c r="P28" s="114"/>
      <c r="Q28" s="114"/>
    </row>
    <row r="29" spans="2:17">
      <c r="E29" s="114"/>
      <c r="F29" s="114"/>
      <c r="G29" s="114"/>
      <c r="H29" s="114"/>
      <c r="I29" s="114"/>
      <c r="J29" s="114"/>
      <c r="K29" s="114"/>
      <c r="N29" s="114"/>
      <c r="O29" s="114"/>
      <c r="P29" s="114"/>
      <c r="Q29" s="114"/>
    </row>
    <row r="30" spans="2:17">
      <c r="E30" s="114"/>
      <c r="F30" s="114"/>
      <c r="G30" s="114"/>
      <c r="H30" s="114"/>
      <c r="I30" s="114"/>
      <c r="J30" s="114"/>
      <c r="K30" s="114"/>
      <c r="N30" s="114"/>
      <c r="O30" s="114"/>
      <c r="P30" s="114"/>
      <c r="Q30" s="114"/>
    </row>
    <row r="31" spans="2:17">
      <c r="E31" s="114"/>
      <c r="F31" s="114"/>
      <c r="G31" s="114"/>
      <c r="H31" s="114"/>
      <c r="I31" s="114"/>
      <c r="J31" s="114"/>
      <c r="K31" s="114"/>
      <c r="N31" s="114"/>
      <c r="O31" s="114"/>
      <c r="P31" s="114"/>
      <c r="Q31" s="114"/>
    </row>
    <row r="32" spans="2:17">
      <c r="B32" s="114"/>
      <c r="C32" s="114"/>
      <c r="D32" s="114"/>
      <c r="E32" s="114"/>
      <c r="F32" s="114"/>
      <c r="G32" s="114"/>
      <c r="H32" s="114"/>
      <c r="I32" s="114"/>
      <c r="J32" s="114"/>
      <c r="K32" s="114"/>
      <c r="N32" s="114"/>
    </row>
    <row r="33" spans="2:14" ht="28.5">
      <c r="B33" s="114"/>
      <c r="C33" s="114"/>
      <c r="D33" s="115"/>
      <c r="E33" s="114"/>
      <c r="F33" s="114"/>
      <c r="G33" s="114"/>
      <c r="H33" s="114"/>
      <c r="I33" s="114"/>
      <c r="J33" s="114"/>
      <c r="K33" s="114"/>
      <c r="N33" s="114"/>
    </row>
    <row r="34" spans="2:14">
      <c r="B34" s="114"/>
      <c r="C34" s="114"/>
      <c r="D34" s="114"/>
      <c r="E34" s="114"/>
      <c r="F34" s="114"/>
      <c r="G34" s="114"/>
      <c r="H34" s="114"/>
      <c r="I34" s="114"/>
      <c r="J34" s="114"/>
      <c r="K34" s="114"/>
      <c r="N34" s="114"/>
    </row>
    <row r="35" spans="2:14">
      <c r="B35" s="114"/>
      <c r="F35" s="114"/>
      <c r="G35" s="114"/>
      <c r="H35" s="114"/>
      <c r="I35" s="114"/>
      <c r="J35" s="114"/>
      <c r="K35" s="114"/>
      <c r="N35" s="114"/>
    </row>
    <row r="36" spans="2:14">
      <c r="B36" s="114"/>
      <c r="F36" s="114"/>
      <c r="G36" s="114"/>
      <c r="H36" s="114"/>
      <c r="I36" s="114"/>
      <c r="J36" s="114"/>
      <c r="K36" s="114"/>
      <c r="N36" s="114"/>
    </row>
    <row r="37" spans="2:14">
      <c r="B37" s="114"/>
      <c r="F37" s="114"/>
      <c r="G37" s="114"/>
      <c r="H37" s="114"/>
      <c r="I37" s="114"/>
      <c r="J37" s="114"/>
      <c r="K37" s="114"/>
    </row>
    <row r="38" spans="2:14">
      <c r="B38" s="114"/>
      <c r="F38" s="114"/>
      <c r="G38" s="114"/>
      <c r="H38" s="114"/>
      <c r="I38" s="114"/>
      <c r="J38" s="114"/>
      <c r="K38" s="114"/>
    </row>
    <row r="39" spans="2:14">
      <c r="B39" s="114"/>
      <c r="F39" s="114"/>
      <c r="G39" s="114"/>
      <c r="H39" s="114"/>
      <c r="I39" s="114"/>
      <c r="J39" s="114"/>
      <c r="K39" s="114"/>
    </row>
    <row r="40" spans="2:14">
      <c r="B40" s="114"/>
      <c r="C40" s="114"/>
      <c r="D40" s="114"/>
      <c r="E40" s="114"/>
    </row>
    <row r="41" spans="2:14">
      <c r="B41" s="114"/>
      <c r="C41" s="114"/>
      <c r="D41" s="114"/>
      <c r="E41" s="114"/>
    </row>
    <row r="42" spans="2:14">
      <c r="B42" s="114"/>
      <c r="C42" s="114"/>
      <c r="D42" s="114"/>
      <c r="E42" s="114"/>
    </row>
    <row r="43" spans="2:14">
      <c r="B43" s="114"/>
      <c r="C43" s="114"/>
      <c r="D43" s="114"/>
      <c r="E43" s="114"/>
    </row>
    <row r="44" spans="2:14">
      <c r="B44" s="114"/>
      <c r="C44" s="114"/>
      <c r="D44" s="114"/>
      <c r="E44" s="114"/>
    </row>
    <row r="45" spans="2:14">
      <c r="B45" s="114"/>
      <c r="C45" s="114"/>
      <c r="D45" s="114"/>
      <c r="E45" s="114"/>
    </row>
    <row r="46" spans="2:14">
      <c r="B46" s="114"/>
      <c r="C46" s="114"/>
      <c r="D46" s="114"/>
      <c r="E46" s="114"/>
    </row>
    <row r="47" spans="2:14">
      <c r="B47" s="114"/>
      <c r="C47" s="114"/>
      <c r="D47" s="114"/>
      <c r="E47" s="114"/>
    </row>
    <row r="48" spans="2:14">
      <c r="B48" s="114"/>
      <c r="C48" s="114"/>
      <c r="D48" s="114"/>
      <c r="E48" s="114"/>
    </row>
    <row r="49" spans="2:5">
      <c r="B49" s="114"/>
      <c r="C49" s="114"/>
      <c r="D49" s="114"/>
      <c r="E49" s="114"/>
    </row>
    <row r="50" spans="2:5">
      <c r="B50" s="114"/>
      <c r="C50" s="114"/>
      <c r="D50" s="114"/>
      <c r="E50" s="114"/>
    </row>
    <row r="51" spans="2:5">
      <c r="B51" s="114"/>
      <c r="C51" s="114"/>
      <c r="D51" s="114"/>
      <c r="E51" s="114"/>
    </row>
    <row r="52" spans="2:5">
      <c r="B52" s="114"/>
      <c r="C52" s="114"/>
      <c r="D52" s="114"/>
      <c r="E52" s="114"/>
    </row>
    <row r="53" spans="2:5">
      <c r="B53" s="114"/>
      <c r="C53" s="114"/>
      <c r="D53" s="114"/>
      <c r="E53" s="114"/>
    </row>
    <row r="54" spans="2:5">
      <c r="B54" s="114"/>
      <c r="C54" s="114"/>
      <c r="D54" s="114"/>
      <c r="E54" s="114"/>
    </row>
    <row r="55" spans="2:5">
      <c r="B55" s="114"/>
      <c r="C55" s="114"/>
      <c r="D55" s="114"/>
      <c r="E55" s="114"/>
    </row>
    <row r="56" spans="2:5">
      <c r="B56" s="114"/>
      <c r="C56" s="114"/>
      <c r="D56" s="114"/>
      <c r="E56" s="114"/>
    </row>
    <row r="57" spans="2:5">
      <c r="B57" s="114"/>
      <c r="C57" s="114"/>
      <c r="D57" s="114"/>
      <c r="E57" s="114"/>
    </row>
    <row r="58" spans="2:5">
      <c r="B58" s="114"/>
      <c r="C58" s="114"/>
      <c r="D58" s="114"/>
      <c r="E58" s="114"/>
    </row>
    <row r="59" spans="2:5">
      <c r="B59" s="114"/>
      <c r="C59" s="114"/>
      <c r="D59" s="114"/>
      <c r="E59" s="114"/>
    </row>
    <row r="60" spans="2:5">
      <c r="B60" s="114"/>
      <c r="C60" s="114"/>
      <c r="D60" s="114"/>
      <c r="E60" s="114"/>
    </row>
    <row r="61" spans="2:5">
      <c r="B61" s="114"/>
      <c r="C61" s="114"/>
      <c r="D61" s="114"/>
      <c r="E61" s="114"/>
    </row>
    <row r="62" spans="2:5">
      <c r="B62" s="114"/>
      <c r="C62" s="114"/>
      <c r="D62" s="114"/>
      <c r="E62" s="114"/>
    </row>
    <row r="63" spans="2:5">
      <c r="B63" s="114"/>
      <c r="C63" s="114"/>
      <c r="D63" s="114"/>
      <c r="E63" s="114"/>
    </row>
    <row r="64" spans="2:5">
      <c r="B64" s="114"/>
      <c r="C64" s="114"/>
      <c r="D64" s="114"/>
      <c r="E64" s="114"/>
    </row>
    <row r="65" spans="2:5">
      <c r="B65" s="114"/>
      <c r="C65" s="114"/>
      <c r="D65" s="114"/>
      <c r="E65" s="114"/>
    </row>
    <row r="66" spans="2:5">
      <c r="B66" s="114"/>
      <c r="C66" s="114"/>
      <c r="D66" s="114"/>
      <c r="E66" s="114"/>
    </row>
    <row r="67" spans="2:5">
      <c r="B67" s="114"/>
      <c r="C67" s="114"/>
      <c r="D67" s="114"/>
      <c r="E67" s="114"/>
    </row>
    <row r="68" spans="2:5">
      <c r="B68" s="114"/>
      <c r="C68" s="114"/>
      <c r="D68" s="114"/>
      <c r="E68" s="114"/>
    </row>
    <row r="69" spans="2:5">
      <c r="B69" s="114"/>
      <c r="C69" s="114"/>
      <c r="D69" s="114"/>
      <c r="E69" s="114"/>
    </row>
    <row r="70" spans="2:5">
      <c r="B70" s="114"/>
      <c r="C70" s="114"/>
      <c r="D70" s="114"/>
      <c r="E70" s="114"/>
    </row>
  </sheetData>
  <mergeCells count="1">
    <mergeCell ref="A1:K1"/>
  </mergeCells>
  <pageMargins left="0.70866141732283472" right="0.70866141732283472" top="0.74803149606299213" bottom="0.74803149606299213" header="0.31496062992125984" footer="0.31496062992125984"/>
  <pageSetup scale="66" orientation="landscape" r:id="rId1"/>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6">
    <tabColor rgb="FF00B0F0"/>
    <pageSetUpPr fitToPage="1"/>
  </sheetPr>
  <dimension ref="A1:N48"/>
  <sheetViews>
    <sheetView showGridLines="0" view="pageBreakPreview" zoomScale="55" zoomScaleNormal="70" zoomScaleSheetLayoutView="55" workbookViewId="0">
      <selection activeCell="N25" sqref="N25"/>
    </sheetView>
  </sheetViews>
  <sheetFormatPr baseColWidth="10" defaultColWidth="11.42578125" defaultRowHeight="15"/>
  <cols>
    <col min="1" max="1" width="25.5703125" style="57" customWidth="1"/>
    <col min="2" max="2" width="38.5703125" style="57" customWidth="1"/>
    <col min="3" max="3" width="36" style="57" customWidth="1"/>
    <col min="4" max="4" width="32.28515625" style="57" customWidth="1"/>
    <col min="5" max="5" width="24.140625" style="57" bestFit="1" customWidth="1"/>
    <col min="6" max="6" width="23.140625" style="57" customWidth="1"/>
    <col min="7" max="7" width="16.85546875" style="57" bestFit="1" customWidth="1"/>
    <col min="8" max="11" width="19.28515625" style="57" customWidth="1"/>
    <col min="12" max="12" width="16.5703125" style="57" customWidth="1"/>
    <col min="13" max="13" width="19.7109375" style="57" customWidth="1"/>
    <col min="14" max="14" width="18.28515625" style="57" bestFit="1" customWidth="1"/>
    <col min="15" max="16384" width="11.42578125" style="57"/>
  </cols>
  <sheetData>
    <row r="1" spans="1:14" customFormat="1" ht="97.5" customHeight="1">
      <c r="A1" s="2131"/>
      <c r="B1" s="2131"/>
      <c r="C1" s="2131"/>
      <c r="D1" s="2131"/>
      <c r="E1" s="2131"/>
      <c r="F1" s="2131"/>
      <c r="G1" s="2131"/>
      <c r="H1" s="2131"/>
      <c r="I1" s="2131"/>
      <c r="J1" s="2131"/>
      <c r="K1" s="2131"/>
      <c r="L1" s="2131"/>
    </row>
    <row r="2" spans="1:14" customFormat="1" ht="8.25" customHeight="1">
      <c r="A2" s="2136"/>
      <c r="B2" s="2136"/>
      <c r="C2" s="2136"/>
      <c r="D2" s="2136"/>
      <c r="E2" s="2136"/>
      <c r="F2" s="2136"/>
      <c r="G2" s="2136"/>
      <c r="H2" s="2136"/>
      <c r="I2" s="2136"/>
      <c r="J2" s="2136"/>
      <c r="K2" s="2136"/>
      <c r="L2" s="2136"/>
      <c r="M2" s="108"/>
      <c r="N2" s="108"/>
    </row>
    <row r="3" spans="1:14" customFormat="1" ht="45.75" customHeight="1">
      <c r="A3" s="1258" t="s">
        <v>0</v>
      </c>
      <c r="B3" s="1259" t="s">
        <v>756</v>
      </c>
      <c r="C3" s="1259" t="s">
        <v>682</v>
      </c>
      <c r="D3" s="1311" t="s">
        <v>159</v>
      </c>
      <c r="E3" s="22"/>
      <c r="F3" s="35"/>
      <c r="G3" s="35"/>
      <c r="H3" s="35"/>
      <c r="I3" s="35"/>
      <c r="J3" s="19"/>
      <c r="K3" s="19"/>
      <c r="L3" s="19"/>
      <c r="M3" s="113"/>
    </row>
    <row r="4" spans="1:14" s="77" customFormat="1" ht="18.75">
      <c r="A4" s="1260">
        <v>2003</v>
      </c>
      <c r="B4" s="1261">
        <f>+'IV.1.3. Ingr y egr SDSS'!C5</f>
        <v>50000000</v>
      </c>
      <c r="C4" s="1262">
        <f>+'IV.1.3. Ingr y egr SDSS'!I5</f>
        <v>50652652.469999999</v>
      </c>
      <c r="D4" s="1312">
        <f>B4-C4</f>
        <v>-652652.46999999881</v>
      </c>
      <c r="E4" s="94"/>
      <c r="F4" s="35"/>
      <c r="G4" s="35"/>
      <c r="H4" s="35"/>
      <c r="I4" s="35"/>
      <c r="J4" s="19"/>
      <c r="K4" s="19"/>
      <c r="L4" s="19"/>
      <c r="M4" s="113"/>
    </row>
    <row r="5" spans="1:14" s="77" customFormat="1" ht="18.75">
      <c r="A5" s="1260">
        <v>2004</v>
      </c>
      <c r="B5" s="1800">
        <f>+'IV.1.3. Ingr y egr SDSS'!C6</f>
        <v>100013332.31999999</v>
      </c>
      <c r="C5" s="1801">
        <f>+'IV.1.3. Ingr y egr SDSS'!I6</f>
        <v>103813912.38</v>
      </c>
      <c r="D5" s="1312">
        <f>B5-C5</f>
        <v>-3800580.0600000024</v>
      </c>
      <c r="E5" s="94"/>
      <c r="F5" s="35"/>
      <c r="G5" s="35"/>
      <c r="H5" s="35"/>
      <c r="I5" s="35"/>
      <c r="J5" s="19"/>
      <c r="K5" s="19"/>
      <c r="L5" s="19"/>
      <c r="M5" s="113"/>
    </row>
    <row r="6" spans="1:14" customFormat="1" ht="18.75">
      <c r="A6" s="1260">
        <v>2005</v>
      </c>
      <c r="B6" s="1800">
        <f>+'IV.1.3. Ingr y egr SDSS'!C7</f>
        <v>604604920.63</v>
      </c>
      <c r="C6" s="1801">
        <f>+'IV.1.3. Ingr y egr SDSS'!I7</f>
        <v>203608914.68000001</v>
      </c>
      <c r="D6" s="1312">
        <f t="shared" ref="D6:D15" si="0">B6-C6</f>
        <v>400996005.94999999</v>
      </c>
      <c r="E6" s="22"/>
      <c r="F6" s="35"/>
      <c r="G6" s="35"/>
      <c r="H6" s="35"/>
      <c r="I6" s="35"/>
      <c r="J6" s="19"/>
      <c r="K6" s="19"/>
      <c r="L6" s="19"/>
      <c r="M6" s="113"/>
    </row>
    <row r="7" spans="1:14" customFormat="1" ht="18.75">
      <c r="A7" s="1260">
        <v>2006</v>
      </c>
      <c r="B7" s="1800">
        <f>+'IV.1.3. Ingr y egr SDSS'!C8</f>
        <v>724509996.65999997</v>
      </c>
      <c r="C7" s="1801">
        <f>+'IV.1.3. Ingr y egr SDSS'!I8</f>
        <v>816768960.5</v>
      </c>
      <c r="D7" s="1312">
        <f t="shared" si="0"/>
        <v>-92258963.840000033</v>
      </c>
      <c r="E7" s="94"/>
      <c r="F7" s="35"/>
      <c r="G7" s="35"/>
      <c r="H7" s="35"/>
      <c r="I7" s="35"/>
      <c r="J7" s="19"/>
      <c r="K7" s="19"/>
      <c r="L7" s="19"/>
      <c r="M7" s="113"/>
    </row>
    <row r="8" spans="1:14" customFormat="1" ht="18.75">
      <c r="A8" s="1260">
        <v>2007</v>
      </c>
      <c r="B8" s="1800">
        <f>+'IV.1.3. Ingr y egr SDSS'!C9</f>
        <v>1566425499.9599998</v>
      </c>
      <c r="C8" s="1801">
        <f>+'IV.1.3. Ingr y egr SDSS'!I9</f>
        <v>1578880050.26</v>
      </c>
      <c r="D8" s="1312">
        <f t="shared" si="0"/>
        <v>-12454550.300000191</v>
      </c>
      <c r="E8" s="94"/>
      <c r="F8" s="35"/>
      <c r="G8" s="35"/>
      <c r="H8" s="35"/>
      <c r="I8" s="35"/>
      <c r="J8" s="19"/>
      <c r="K8" s="19"/>
      <c r="L8" s="19"/>
      <c r="M8" s="113"/>
    </row>
    <row r="9" spans="1:14" customFormat="1" ht="18.75">
      <c r="A9" s="1260">
        <v>2008</v>
      </c>
      <c r="B9" s="1800">
        <f>+'IV.1.3. Ingr y egr SDSS'!C10</f>
        <v>2203369531</v>
      </c>
      <c r="C9" s="1801">
        <f>+'IV.1.3. Ingr y egr SDSS'!I10</f>
        <v>2556770326.0999999</v>
      </c>
      <c r="D9" s="1312">
        <f t="shared" si="0"/>
        <v>-353400795.0999999</v>
      </c>
      <c r="E9" s="94"/>
      <c r="F9" s="35"/>
      <c r="G9" s="35"/>
      <c r="H9" s="35"/>
      <c r="I9" s="35"/>
      <c r="J9" s="19"/>
      <c r="K9" s="19"/>
      <c r="L9" s="19"/>
      <c r="M9" s="113"/>
    </row>
    <row r="10" spans="1:14" customFormat="1" ht="18.75">
      <c r="A10" s="1260">
        <v>2009</v>
      </c>
      <c r="B10" s="1800">
        <f>+'IV.1.3. Ingr y egr SDSS'!C11</f>
        <v>3190675855.0100002</v>
      </c>
      <c r="C10" s="1801">
        <f>+'IV.1.3. Ingr y egr SDSS'!I11</f>
        <v>2723337644.3600001</v>
      </c>
      <c r="D10" s="1312">
        <f t="shared" si="0"/>
        <v>467338210.6500001</v>
      </c>
      <c r="E10" s="94"/>
      <c r="F10" s="35"/>
      <c r="G10" s="35"/>
      <c r="H10" s="35"/>
      <c r="I10" s="35"/>
      <c r="J10" s="19"/>
      <c r="K10" s="19"/>
      <c r="L10" s="19"/>
      <c r="M10" s="113"/>
    </row>
    <row r="11" spans="1:14" customFormat="1" ht="18.75">
      <c r="A11" s="1260">
        <v>2010</v>
      </c>
      <c r="B11" s="1800">
        <f>+'IV.1.3. Ingr y egr SDSS'!C12</f>
        <v>3736675849.46</v>
      </c>
      <c r="C11" s="1801">
        <f>+'IV.1.3. Ingr y egr SDSS'!I12</f>
        <v>3444380482.9799995</v>
      </c>
      <c r="D11" s="1312">
        <f t="shared" si="0"/>
        <v>292295366.4800005</v>
      </c>
      <c r="E11" s="94"/>
      <c r="F11" s="35"/>
      <c r="G11" s="35"/>
      <c r="H11" s="35"/>
      <c r="I11" s="35"/>
      <c r="J11" s="19"/>
      <c r="K11" s="19"/>
      <c r="L11" s="19"/>
      <c r="M11" s="113"/>
    </row>
    <row r="12" spans="1:14" s="77" customFormat="1" ht="18.75">
      <c r="A12" s="1260">
        <v>2011</v>
      </c>
      <c r="B12" s="1800">
        <f>+'IV.1.3. Ingr y egr SDSS'!C13</f>
        <v>4134675852</v>
      </c>
      <c r="C12" s="1801">
        <f>+'IV.1.3. Ingr y egr SDSS'!I13</f>
        <v>4363872025.2399998</v>
      </c>
      <c r="D12" s="1312">
        <f t="shared" si="0"/>
        <v>-229196173.23999977</v>
      </c>
      <c r="E12" s="94"/>
      <c r="F12" s="35"/>
      <c r="G12" s="35"/>
      <c r="H12" s="35"/>
      <c r="I12" s="35"/>
      <c r="J12" s="19"/>
      <c r="K12" s="19"/>
      <c r="L12" s="19"/>
      <c r="M12" s="113"/>
    </row>
    <row r="13" spans="1:14" s="77" customFormat="1" ht="18.75">
      <c r="A13" s="1260">
        <v>2012</v>
      </c>
      <c r="B13" s="1800">
        <f>+'IV.1.3. Ingr y egr SDSS'!C14</f>
        <v>4599999999.96</v>
      </c>
      <c r="C13" s="1801">
        <f>+'IV.1.3. Ingr y egr SDSS'!I14</f>
        <v>4742082647.7799997</v>
      </c>
      <c r="D13" s="1312">
        <f t="shared" si="0"/>
        <v>-142082647.81999969</v>
      </c>
      <c r="E13" s="94"/>
      <c r="F13" s="35"/>
      <c r="G13" s="35"/>
      <c r="H13" s="35"/>
      <c r="I13" s="35"/>
      <c r="J13" s="19"/>
      <c r="K13" s="19"/>
      <c r="L13" s="19"/>
      <c r="M13" s="113"/>
    </row>
    <row r="14" spans="1:14" s="77" customFormat="1" ht="18.75">
      <c r="A14" s="1260">
        <v>2013</v>
      </c>
      <c r="B14" s="1800">
        <f>+'IV.1.3. Ingr y egr SDSS'!C15</f>
        <v>5302610000</v>
      </c>
      <c r="C14" s="1801">
        <f>+'IV.1.3. Ingr y egr SDSS'!I15</f>
        <v>5215203784.9399996</v>
      </c>
      <c r="D14" s="1312">
        <f t="shared" si="0"/>
        <v>87406215.06000042</v>
      </c>
      <c r="E14" s="94"/>
      <c r="F14" s="35"/>
      <c r="G14" s="35"/>
      <c r="H14" s="35"/>
      <c r="I14" s="35"/>
      <c r="J14" s="19"/>
      <c r="K14" s="19"/>
      <c r="L14" s="19"/>
      <c r="M14" s="113"/>
    </row>
    <row r="15" spans="1:14" s="77" customFormat="1" ht="18.75">
      <c r="A15" s="1260">
        <v>2014</v>
      </c>
      <c r="B15" s="1800">
        <f>+'IV.1.3. Ingr y egr SDSS'!C16</f>
        <v>6839999499</v>
      </c>
      <c r="C15" s="1801">
        <f>+'IV.1.3. Ingr y egr SDSS'!I16</f>
        <v>7378610518.96</v>
      </c>
      <c r="D15" s="1312">
        <f t="shared" si="0"/>
        <v>-538611019.96000004</v>
      </c>
      <c r="E15" s="94"/>
      <c r="F15" s="35"/>
      <c r="G15" s="35"/>
      <c r="H15" s="35"/>
      <c r="I15" s="35"/>
      <c r="J15" s="19"/>
      <c r="K15" s="19"/>
      <c r="L15" s="19"/>
      <c r="M15" s="113"/>
    </row>
    <row r="16" spans="1:14" s="77" customFormat="1" ht="18.75">
      <c r="A16" s="1799" t="s">
        <v>1006</v>
      </c>
      <c r="B16" s="1800">
        <f>+'IV.1.3. Ingr y egr SDSS'!C17</f>
        <v>6293464792.25</v>
      </c>
      <c r="C16" s="1801">
        <f>+'IV.1.3. Ingr y egr SDSS'!I17</f>
        <v>6254114959.9200001</v>
      </c>
      <c r="D16" s="1312">
        <f>B16-C16</f>
        <v>39349832.329999924</v>
      </c>
      <c r="E16" s="94"/>
      <c r="F16" s="35"/>
      <c r="G16" s="35"/>
      <c r="H16" s="35"/>
      <c r="I16" s="35"/>
      <c r="J16" s="19"/>
      <c r="K16" s="19"/>
      <c r="L16" s="19"/>
      <c r="M16" s="113"/>
    </row>
    <row r="17" spans="1:13" customFormat="1" ht="24.75" customHeight="1">
      <c r="A17" s="1296" t="s">
        <v>23</v>
      </c>
      <c r="B17" s="1263">
        <f>SUM(B4:B16)</f>
        <v>39347025128.25</v>
      </c>
      <c r="C17" s="1264">
        <f>SUM(C4:C16)</f>
        <v>39432096880.57</v>
      </c>
      <c r="D17" s="1313">
        <f>SUM(D4:D16)</f>
        <v>-85071752.319998741</v>
      </c>
      <c r="E17" s="1310"/>
      <c r="F17" s="35"/>
      <c r="G17" s="35"/>
      <c r="H17" s="35"/>
      <c r="I17" s="35"/>
      <c r="J17" s="19"/>
      <c r="K17" s="19"/>
      <c r="L17" s="19"/>
      <c r="M17" s="113"/>
    </row>
    <row r="18" spans="1:13" customFormat="1">
      <c r="A18" s="1265"/>
      <c r="B18" s="1265"/>
      <c r="C18" s="1265"/>
      <c r="D18" s="205"/>
      <c r="E18" s="36"/>
      <c r="F18" s="36"/>
      <c r="G18" s="36"/>
      <c r="H18" s="36"/>
      <c r="I18" s="36"/>
      <c r="J18" s="23"/>
      <c r="K18" s="23"/>
      <c r="L18" s="23"/>
    </row>
    <row r="19" spans="1:13" customFormat="1">
      <c r="C19" s="23"/>
      <c r="D19" s="23"/>
      <c r="E19" s="36"/>
      <c r="F19" s="36"/>
      <c r="G19" s="36"/>
      <c r="H19" s="36"/>
      <c r="I19" s="36"/>
      <c r="J19" s="23"/>
      <c r="K19" s="23"/>
      <c r="L19" s="23"/>
      <c r="M19" s="57"/>
    </row>
    <row r="20" spans="1:13" customFormat="1">
      <c r="C20" s="23"/>
      <c r="D20" s="23"/>
      <c r="E20" s="23"/>
      <c r="F20" s="23"/>
      <c r="G20" s="23"/>
      <c r="H20" s="23"/>
      <c r="I20" s="23"/>
      <c r="J20" s="23"/>
      <c r="K20" s="23"/>
      <c r="L20" s="23"/>
    </row>
    <row r="21" spans="1:13" customFormat="1">
      <c r="C21" s="23"/>
      <c r="D21" s="23"/>
      <c r="E21" s="23"/>
      <c r="F21" s="23"/>
      <c r="G21" s="23"/>
      <c r="H21" s="23"/>
      <c r="I21" s="23"/>
      <c r="J21" s="23"/>
      <c r="K21" s="23"/>
      <c r="L21" s="23"/>
    </row>
    <row r="22" spans="1:13" customFormat="1">
      <c r="C22" s="23"/>
      <c r="D22" s="23"/>
      <c r="E22" s="23"/>
      <c r="F22" s="23"/>
      <c r="G22" s="23"/>
      <c r="H22" s="23"/>
      <c r="I22" s="23"/>
      <c r="J22" s="23"/>
      <c r="K22" s="23"/>
      <c r="L22" s="23"/>
    </row>
    <row r="23" spans="1:13" customFormat="1">
      <c r="C23" s="23"/>
      <c r="D23" s="23"/>
      <c r="E23" s="23"/>
      <c r="F23" s="23"/>
      <c r="G23" s="23"/>
      <c r="H23" s="23"/>
      <c r="I23" s="23"/>
      <c r="J23" s="23"/>
      <c r="K23" s="23"/>
      <c r="L23" s="23"/>
    </row>
    <row r="24" spans="1:13" customFormat="1">
      <c r="C24" s="23"/>
      <c r="D24" s="23"/>
      <c r="E24" s="23"/>
      <c r="F24" s="23"/>
      <c r="G24" s="23"/>
      <c r="H24" s="23"/>
      <c r="I24" s="23"/>
      <c r="J24" s="23"/>
      <c r="K24" s="23"/>
      <c r="L24" s="23"/>
    </row>
    <row r="25" spans="1:13" customFormat="1">
      <c r="C25" s="23"/>
      <c r="D25" s="23"/>
      <c r="E25" s="23"/>
      <c r="F25" s="23"/>
      <c r="G25" s="23"/>
      <c r="H25" s="23"/>
      <c r="I25" s="23"/>
      <c r="J25" s="23"/>
      <c r="K25" s="23"/>
      <c r="L25" s="23"/>
    </row>
    <row r="26" spans="1:13" customFormat="1">
      <c r="C26" s="23"/>
      <c r="D26" s="23"/>
      <c r="E26" s="23"/>
      <c r="F26" s="23"/>
      <c r="G26" s="23"/>
      <c r="H26" s="23"/>
      <c r="I26" s="23"/>
      <c r="J26" s="23"/>
      <c r="K26" s="23"/>
      <c r="L26" s="23"/>
    </row>
    <row r="27" spans="1:13" customFormat="1">
      <c r="C27" s="23"/>
      <c r="D27" s="23"/>
      <c r="E27" s="23"/>
      <c r="F27" s="23"/>
      <c r="G27" s="23"/>
      <c r="H27" s="23"/>
      <c r="I27" s="23"/>
      <c r="J27" s="23"/>
      <c r="K27" s="23"/>
      <c r="L27" s="23"/>
    </row>
    <row r="28" spans="1:13" customFormat="1">
      <c r="C28" s="23"/>
      <c r="D28" s="23"/>
      <c r="E28" s="23"/>
      <c r="F28" s="23"/>
      <c r="G28" s="23"/>
      <c r="H28" s="23"/>
      <c r="I28" s="23"/>
      <c r="J28" s="23"/>
      <c r="K28" s="23"/>
      <c r="L28" s="23"/>
    </row>
    <row r="29" spans="1:13" customFormat="1">
      <c r="C29" s="23"/>
      <c r="D29" s="23"/>
      <c r="E29" s="23"/>
      <c r="F29" s="23"/>
      <c r="G29" s="23"/>
      <c r="H29" s="23"/>
      <c r="I29" s="23"/>
      <c r="J29" s="23"/>
      <c r="K29" s="23"/>
      <c r="L29" s="23"/>
    </row>
    <row r="30" spans="1:13" customFormat="1">
      <c r="C30" s="23"/>
      <c r="D30" s="23"/>
      <c r="E30" s="23"/>
      <c r="F30" s="23"/>
      <c r="G30" s="23"/>
      <c r="H30" s="23"/>
      <c r="I30" s="23"/>
      <c r="J30" s="23"/>
      <c r="K30" s="23"/>
      <c r="L30" s="23"/>
    </row>
    <row r="31" spans="1:13" customFormat="1">
      <c r="C31" s="23"/>
      <c r="D31" s="23"/>
      <c r="E31" s="23"/>
      <c r="F31" s="23"/>
      <c r="G31" s="23"/>
      <c r="H31" s="23"/>
      <c r="I31" s="23"/>
      <c r="J31" s="23"/>
      <c r="K31" s="23"/>
      <c r="L31" s="23"/>
    </row>
    <row r="32" spans="1:13" customFormat="1"/>
    <row r="33" customFormat="1"/>
    <row r="34" customFormat="1"/>
    <row r="35" customFormat="1"/>
    <row r="36" customFormat="1"/>
    <row r="37" customFormat="1"/>
    <row r="38" customFormat="1"/>
    <row r="39" customFormat="1"/>
    <row r="40" customFormat="1"/>
    <row r="41" customFormat="1"/>
    <row r="42" customFormat="1"/>
    <row r="43" customFormat="1"/>
    <row r="44" customFormat="1"/>
    <row r="45" customFormat="1"/>
    <row r="46" customFormat="1"/>
    <row r="47" customFormat="1"/>
    <row r="48" customFormat="1"/>
  </sheetData>
  <mergeCells count="2">
    <mergeCell ref="A1:L1"/>
    <mergeCell ref="A2:L2"/>
  </mergeCells>
  <printOptions horizontalCentered="1" verticalCentered="1"/>
  <pageMargins left="0.39370078740157483" right="0.39370078740157483" top="0.23622047244094491" bottom="0.23622047244094491" header="0.31496062992125984" footer="0.31496062992125984"/>
  <pageSetup scale="45" orientation="landscape" r:id="rId1"/>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7">
    <tabColor rgb="FF00B0F0"/>
    <pageSetUpPr fitToPage="1"/>
  </sheetPr>
  <dimension ref="A1:L48"/>
  <sheetViews>
    <sheetView showGridLines="0" view="pageBreakPreview" zoomScale="70" zoomScaleNormal="100" zoomScaleSheetLayoutView="70" workbookViewId="0">
      <selection activeCell="A2" sqref="A2"/>
    </sheetView>
  </sheetViews>
  <sheetFormatPr baseColWidth="10" defaultColWidth="11.42578125" defaultRowHeight="15"/>
  <cols>
    <col min="1" max="1" width="11.42578125" style="55"/>
    <col min="2" max="2" width="21.28515625" style="55" bestFit="1" customWidth="1"/>
    <col min="3" max="3" width="20.85546875" style="55" customWidth="1"/>
    <col min="4" max="4" width="22.7109375" style="55" customWidth="1"/>
    <col min="5" max="5" width="22.42578125" style="55" customWidth="1"/>
    <col min="6" max="6" width="17.85546875" style="55" bestFit="1" customWidth="1"/>
    <col min="7" max="11" width="11.42578125" style="55"/>
    <col min="12" max="12" width="22.42578125" style="55" customWidth="1"/>
    <col min="13" max="13" width="16" style="55" bestFit="1" customWidth="1"/>
    <col min="14" max="16384" width="11.42578125" style="55"/>
  </cols>
  <sheetData>
    <row r="1" spans="1:12" customFormat="1" ht="91.5" customHeight="1">
      <c r="A1" s="2128"/>
      <c r="B1" s="2128"/>
      <c r="C1" s="2128"/>
      <c r="D1" s="2128"/>
      <c r="E1" s="2128"/>
      <c r="F1" s="2128"/>
      <c r="G1" s="2128"/>
      <c r="H1" s="2128"/>
      <c r="I1" s="2128"/>
      <c r="J1" s="2128"/>
      <c r="K1" s="2128"/>
      <c r="L1" s="2128"/>
    </row>
    <row r="2" spans="1:12" customFormat="1" ht="24.75" customHeight="1">
      <c r="A2" s="482" t="s">
        <v>46</v>
      </c>
      <c r="B2" s="523" t="s">
        <v>124</v>
      </c>
      <c r="C2" s="520" t="s">
        <v>683</v>
      </c>
      <c r="D2" s="1250" t="s">
        <v>159</v>
      </c>
      <c r="E2" s="19"/>
      <c r="F2" s="19"/>
      <c r="G2" s="19"/>
      <c r="H2" s="19"/>
      <c r="I2" s="19"/>
      <c r="J2" s="19"/>
      <c r="K2" s="19"/>
      <c r="L2" s="19"/>
    </row>
    <row r="3" spans="1:12" s="77" customFormat="1" ht="15.75">
      <c r="A3" s="1856" t="s">
        <v>987</v>
      </c>
      <c r="B3" s="1857">
        <v>570000000</v>
      </c>
      <c r="C3" s="1857">
        <v>584861503.05999994</v>
      </c>
      <c r="D3" s="1858">
        <f t="shared" ref="D3:D15" si="0">+B3-C3</f>
        <v>-14861503.059999943</v>
      </c>
      <c r="E3" s="23"/>
      <c r="F3" s="23"/>
      <c r="G3" s="23"/>
      <c r="H3" s="23"/>
      <c r="I3" s="23"/>
      <c r="J3" s="23"/>
      <c r="K3" s="23"/>
      <c r="L3" s="23"/>
    </row>
    <row r="4" spans="1:12" s="77" customFormat="1" ht="15.75">
      <c r="A4" s="1783" t="s">
        <v>988</v>
      </c>
      <c r="B4" s="1782">
        <v>1139999499</v>
      </c>
      <c r="C4" s="1782">
        <v>1200757477.7</v>
      </c>
      <c r="D4" s="1798">
        <f t="shared" si="0"/>
        <v>-60757978.700000048</v>
      </c>
      <c r="E4" s="23"/>
      <c r="F4" s="23"/>
      <c r="G4" s="23"/>
      <c r="H4" s="23"/>
      <c r="I4" s="23"/>
      <c r="J4" s="23"/>
      <c r="K4" s="23"/>
      <c r="L4" s="23"/>
    </row>
    <row r="5" spans="1:12" s="77" customFormat="1" ht="15.75">
      <c r="A5" s="1783" t="s">
        <v>989</v>
      </c>
      <c r="B5" s="1782" t="s">
        <v>990</v>
      </c>
      <c r="C5" s="1782" t="s">
        <v>990</v>
      </c>
      <c r="D5" s="1798">
        <v>0</v>
      </c>
      <c r="E5" s="23"/>
      <c r="F5" s="23"/>
      <c r="G5" s="23"/>
      <c r="H5" s="23"/>
      <c r="I5" s="23"/>
      <c r="J5" s="23"/>
      <c r="K5" s="23"/>
      <c r="L5" s="23"/>
    </row>
    <row r="6" spans="1:12" s="77" customFormat="1" ht="15.75">
      <c r="A6" s="1783" t="s">
        <v>991</v>
      </c>
      <c r="B6" s="1782">
        <v>629346479</v>
      </c>
      <c r="C6" s="1782">
        <v>616221438.53999996</v>
      </c>
      <c r="D6" s="1798">
        <f t="shared" si="0"/>
        <v>13125040.460000038</v>
      </c>
      <c r="E6" s="23"/>
      <c r="F6" s="23"/>
      <c r="G6" s="23"/>
      <c r="H6" s="23"/>
      <c r="I6" s="23"/>
      <c r="J6" s="23"/>
      <c r="K6" s="23"/>
      <c r="L6" s="23"/>
    </row>
    <row r="7" spans="1:12" s="77" customFormat="1" ht="15.75">
      <c r="A7" s="1783" t="s">
        <v>992</v>
      </c>
      <c r="B7" s="1782">
        <v>629346479.75</v>
      </c>
      <c r="C7" s="1782">
        <v>616437456.22000003</v>
      </c>
      <c r="D7" s="1798">
        <f t="shared" si="0"/>
        <v>12909023.529999971</v>
      </c>
      <c r="E7" s="23"/>
      <c r="F7" s="23"/>
      <c r="G7" s="23"/>
      <c r="H7" s="23"/>
      <c r="I7" s="23"/>
      <c r="J7" s="23"/>
      <c r="K7" s="23"/>
      <c r="L7" s="23"/>
    </row>
    <row r="8" spans="1:12" s="77" customFormat="1" ht="15.75">
      <c r="A8" s="1783" t="s">
        <v>993</v>
      </c>
      <c r="B8" s="1782">
        <v>629346479.75</v>
      </c>
      <c r="C8" s="1782">
        <v>622706897.10000002</v>
      </c>
      <c r="D8" s="1798">
        <f t="shared" si="0"/>
        <v>6639582.6499999762</v>
      </c>
      <c r="E8" s="23"/>
      <c r="F8" s="23"/>
      <c r="G8" s="23"/>
      <c r="H8" s="23"/>
      <c r="I8" s="23"/>
      <c r="J8" s="23"/>
      <c r="K8" s="23"/>
      <c r="L8" s="23"/>
    </row>
    <row r="9" spans="1:12" s="77" customFormat="1" ht="15.75">
      <c r="A9" s="1783" t="s">
        <v>994</v>
      </c>
      <c r="B9" s="1782">
        <v>629346479.75</v>
      </c>
      <c r="C9" s="1782">
        <v>622927021.58000004</v>
      </c>
      <c r="D9" s="1798">
        <f t="shared" si="0"/>
        <v>6419458.1699999571</v>
      </c>
      <c r="E9" s="23"/>
      <c r="F9" s="23"/>
      <c r="G9" s="23"/>
      <c r="H9" s="23"/>
      <c r="I9" s="23"/>
      <c r="J9" s="23"/>
      <c r="K9" s="23"/>
      <c r="L9" s="23"/>
    </row>
    <row r="10" spans="1:12" s="77" customFormat="1" ht="15.75">
      <c r="A10" s="1783" t="s">
        <v>995</v>
      </c>
      <c r="B10" s="1782">
        <v>629346479.75</v>
      </c>
      <c r="C10" s="1782">
        <v>623730106.32000005</v>
      </c>
      <c r="D10" s="1798">
        <f t="shared" si="0"/>
        <v>5616373.4299999475</v>
      </c>
      <c r="E10" s="23"/>
      <c r="F10" s="23"/>
      <c r="G10" s="23"/>
      <c r="H10" s="23"/>
      <c r="I10" s="23"/>
      <c r="J10" s="23"/>
      <c r="K10" s="23"/>
      <c r="L10" s="23"/>
    </row>
    <row r="11" spans="1:12" s="77" customFormat="1" ht="15.75">
      <c r="A11" s="1783" t="s">
        <v>996</v>
      </c>
      <c r="B11" s="1782">
        <v>629346479.75</v>
      </c>
      <c r="C11" s="1782">
        <v>625066868.48000002</v>
      </c>
      <c r="D11" s="1798">
        <f t="shared" si="0"/>
        <v>4279611.2699999809</v>
      </c>
      <c r="E11" s="23"/>
      <c r="F11" s="23"/>
      <c r="G11" s="23"/>
      <c r="H11" s="23"/>
      <c r="I11" s="23"/>
      <c r="J11" s="23"/>
      <c r="K11" s="23"/>
      <c r="L11" s="23"/>
    </row>
    <row r="12" spans="1:12" s="77" customFormat="1" ht="15.75">
      <c r="A12" s="1783" t="s">
        <v>997</v>
      </c>
      <c r="B12" s="1782">
        <v>629346479.75</v>
      </c>
      <c r="C12" s="1782">
        <v>628985578.27999997</v>
      </c>
      <c r="D12" s="1798">
        <f t="shared" si="0"/>
        <v>360901.47000002861</v>
      </c>
      <c r="E12" s="23"/>
      <c r="F12" s="23"/>
      <c r="G12" s="23"/>
      <c r="H12" s="23"/>
      <c r="I12" s="23"/>
      <c r="J12" s="23"/>
      <c r="K12" s="23"/>
      <c r="L12" s="23"/>
    </row>
    <row r="13" spans="1:12" s="77" customFormat="1" ht="15.75">
      <c r="A13" s="1783" t="s">
        <v>998</v>
      </c>
      <c r="B13" s="1782">
        <v>629346479</v>
      </c>
      <c r="C13" s="1782">
        <v>632014000.86000001</v>
      </c>
      <c r="D13" s="1798">
        <f t="shared" si="0"/>
        <v>-2667521.8600000143</v>
      </c>
      <c r="E13" s="23"/>
      <c r="F13" s="23"/>
      <c r="G13" s="23"/>
      <c r="H13" s="23"/>
      <c r="I13" s="23"/>
      <c r="J13" s="23"/>
      <c r="K13" s="23"/>
      <c r="L13" s="23"/>
    </row>
    <row r="14" spans="1:12" s="1777" customFormat="1" ht="15.75">
      <c r="A14" s="1783" t="s">
        <v>999</v>
      </c>
      <c r="B14" s="1782">
        <v>629346479</v>
      </c>
      <c r="C14" s="1782">
        <v>631627688.05999994</v>
      </c>
      <c r="D14" s="1798">
        <f t="shared" si="0"/>
        <v>-2281209.0599999428</v>
      </c>
      <c r="E14" s="23"/>
      <c r="F14" s="23"/>
      <c r="G14" s="23"/>
      <c r="H14" s="23"/>
      <c r="I14" s="23"/>
      <c r="J14" s="23"/>
      <c r="K14" s="23"/>
      <c r="L14" s="23"/>
    </row>
    <row r="15" spans="1:12" s="77" customFormat="1" ht="15.75">
      <c r="A15" s="1015" t="s">
        <v>1011</v>
      </c>
      <c r="B15" s="1859">
        <v>629346479</v>
      </c>
      <c r="C15" s="1859">
        <v>634397904.48000002</v>
      </c>
      <c r="D15" s="1860">
        <f t="shared" si="0"/>
        <v>-5051425.4800000191</v>
      </c>
      <c r="E15" s="23"/>
      <c r="F15" s="23"/>
      <c r="G15" s="23"/>
      <c r="H15" s="23"/>
      <c r="I15" s="23"/>
      <c r="J15" s="23"/>
      <c r="K15" s="23"/>
      <c r="L15" s="23"/>
    </row>
    <row r="16" spans="1:12" customFormat="1">
      <c r="B16" s="23"/>
      <c r="C16" s="23"/>
      <c r="D16" s="23"/>
      <c r="E16" s="23"/>
      <c r="F16" s="23"/>
      <c r="G16" s="23"/>
      <c r="H16" s="23"/>
      <c r="I16" s="23"/>
      <c r="J16" s="23"/>
      <c r="K16" s="23"/>
      <c r="L16" s="23"/>
    </row>
    <row r="17" spans="2:12" customFormat="1">
      <c r="B17" s="23"/>
      <c r="C17" s="23"/>
      <c r="D17" s="23"/>
      <c r="E17" s="23"/>
      <c r="F17" s="23"/>
      <c r="G17" s="23"/>
      <c r="H17" s="23"/>
      <c r="I17" s="23"/>
      <c r="J17" s="23"/>
      <c r="K17" s="23"/>
      <c r="L17" s="23"/>
    </row>
    <row r="18" spans="2:12" customFormat="1">
      <c r="B18" s="23"/>
      <c r="C18" s="23"/>
      <c r="D18" s="23"/>
      <c r="E18" s="23"/>
      <c r="F18" s="23"/>
      <c r="G18" s="23"/>
      <c r="H18" s="23"/>
      <c r="I18" s="23"/>
      <c r="J18" s="23"/>
      <c r="K18" s="23"/>
      <c r="L18" s="23"/>
    </row>
    <row r="19" spans="2:12" customFormat="1">
      <c r="B19" s="23"/>
      <c r="C19" s="23"/>
      <c r="D19" s="23"/>
      <c r="E19" s="23"/>
      <c r="F19" s="23"/>
      <c r="G19" s="23"/>
      <c r="H19" s="23"/>
      <c r="I19" s="23"/>
      <c r="J19" s="23"/>
      <c r="K19" s="23"/>
      <c r="L19" s="23"/>
    </row>
    <row r="20" spans="2:12" customFormat="1">
      <c r="B20" s="23"/>
      <c r="C20" s="23"/>
      <c r="D20" s="23"/>
      <c r="E20" s="23"/>
      <c r="F20" s="23"/>
      <c r="G20" s="23"/>
      <c r="H20" s="23"/>
      <c r="I20" s="23"/>
      <c r="J20" s="23"/>
      <c r="K20" s="23"/>
      <c r="L20" s="23"/>
    </row>
    <row r="21" spans="2:12" customFormat="1">
      <c r="B21" s="23"/>
      <c r="C21" s="23"/>
      <c r="D21" s="23"/>
      <c r="E21" s="23"/>
      <c r="F21" s="23"/>
      <c r="G21" s="23"/>
      <c r="H21" s="23"/>
      <c r="I21" s="23"/>
      <c r="J21" s="23"/>
      <c r="K21" s="23"/>
      <c r="L21" s="23"/>
    </row>
    <row r="22" spans="2:12" customFormat="1">
      <c r="B22" s="23"/>
      <c r="C22" s="23"/>
      <c r="D22" s="23"/>
      <c r="E22" s="23"/>
      <c r="F22" s="23"/>
      <c r="G22" s="23"/>
      <c r="H22" s="23"/>
      <c r="I22" s="23"/>
      <c r="J22" s="23"/>
      <c r="K22" s="23"/>
      <c r="L22" s="23"/>
    </row>
    <row r="23" spans="2:12" customFormat="1">
      <c r="B23" s="23"/>
      <c r="C23" s="23"/>
      <c r="D23" s="23"/>
      <c r="E23" s="23"/>
      <c r="F23" s="23"/>
      <c r="G23" s="23"/>
      <c r="H23" s="23"/>
      <c r="I23" s="23"/>
      <c r="J23" s="23"/>
      <c r="K23" s="23"/>
      <c r="L23" s="23"/>
    </row>
    <row r="24" spans="2:12" customFormat="1">
      <c r="B24" s="23"/>
      <c r="C24" s="23"/>
      <c r="D24" s="23"/>
      <c r="E24" s="23"/>
      <c r="F24" s="23"/>
      <c r="G24" s="23"/>
      <c r="H24" s="23"/>
      <c r="I24" s="23"/>
      <c r="J24" s="23"/>
      <c r="K24" s="23"/>
      <c r="L24" s="23"/>
    </row>
    <row r="25" spans="2:12" customFormat="1">
      <c r="B25" s="23"/>
      <c r="C25" s="23"/>
      <c r="D25" s="23"/>
      <c r="E25" s="23"/>
      <c r="F25" s="23"/>
      <c r="G25" s="23"/>
      <c r="H25" s="23"/>
      <c r="I25" s="23"/>
      <c r="J25" s="23"/>
      <c r="K25" s="23"/>
      <c r="L25" s="23"/>
    </row>
    <row r="26" spans="2:12" customFormat="1">
      <c r="B26" s="23"/>
      <c r="C26" s="23"/>
      <c r="D26" s="23"/>
      <c r="E26" s="23"/>
      <c r="F26" s="23"/>
      <c r="G26" s="23"/>
      <c r="H26" s="23"/>
      <c r="I26" s="23"/>
      <c r="J26" s="23"/>
      <c r="K26" s="23"/>
      <c r="L26" s="23"/>
    </row>
    <row r="27" spans="2:12" customFormat="1">
      <c r="B27" s="23"/>
      <c r="C27" s="23"/>
      <c r="D27" s="23"/>
      <c r="E27" s="23"/>
      <c r="F27" s="23"/>
      <c r="G27" s="23"/>
      <c r="H27" s="23"/>
      <c r="I27" s="23"/>
      <c r="J27" s="23"/>
      <c r="K27" s="23"/>
      <c r="L27" s="23"/>
    </row>
    <row r="28" spans="2:12" customFormat="1">
      <c r="B28" s="23"/>
      <c r="C28" s="23"/>
      <c r="D28" s="23"/>
      <c r="E28" s="23"/>
      <c r="F28" s="23"/>
      <c r="G28" s="23"/>
      <c r="H28" s="23"/>
      <c r="I28" s="23"/>
      <c r="J28" s="23"/>
      <c r="K28" s="23"/>
      <c r="L28" s="23"/>
    </row>
    <row r="29" spans="2:12" customFormat="1"/>
    <row r="30" spans="2:12" customFormat="1"/>
    <row r="31" spans="2:12" customFormat="1"/>
    <row r="32" spans="2:12" customFormat="1"/>
    <row r="33" customFormat="1"/>
    <row r="34" customFormat="1"/>
    <row r="35" customFormat="1"/>
    <row r="36" customFormat="1"/>
    <row r="37" customFormat="1"/>
    <row r="38" customFormat="1"/>
    <row r="39" customFormat="1"/>
    <row r="40" customFormat="1"/>
    <row r="41" customFormat="1"/>
    <row r="42" customFormat="1"/>
    <row r="43" customFormat="1"/>
    <row r="44" customFormat="1"/>
    <row r="45" customFormat="1"/>
    <row r="46" customFormat="1"/>
    <row r="47" customFormat="1"/>
    <row r="48" customFormat="1"/>
  </sheetData>
  <mergeCells count="1">
    <mergeCell ref="A1:L1"/>
  </mergeCells>
  <printOptions horizontalCentered="1" verticalCentered="1"/>
  <pageMargins left="0.4" right="0.4" top="0.25" bottom="0.25" header="0.31496062992126" footer="0.31496062992126"/>
  <pageSetup scale="66" orientation="landscape" r:id="rId1"/>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8">
    <tabColor rgb="FF00B0F0"/>
    <pageSetUpPr fitToPage="1"/>
  </sheetPr>
  <dimension ref="A4:E13"/>
  <sheetViews>
    <sheetView showGridLines="0" view="pageBreakPreview" zoomScale="85" zoomScaleNormal="85" zoomScaleSheetLayoutView="85" workbookViewId="0">
      <selection activeCell="A6" sqref="A6"/>
    </sheetView>
  </sheetViews>
  <sheetFormatPr baseColWidth="10" defaultRowHeight="15"/>
  <cols>
    <col min="1" max="1" width="19.7109375" style="77" customWidth="1"/>
    <col min="2" max="2" width="21.5703125" style="77" bestFit="1" customWidth="1"/>
    <col min="3" max="3" width="19.28515625" style="77" bestFit="1" customWidth="1"/>
    <col min="4" max="5" width="14.42578125" style="77" bestFit="1" customWidth="1"/>
    <col min="6" max="6" width="13.42578125" style="77" bestFit="1" customWidth="1"/>
    <col min="7" max="7" width="14.42578125" style="77" bestFit="1" customWidth="1"/>
    <col min="8" max="8" width="18.140625" style="77" customWidth="1"/>
    <col min="9" max="9" width="19.42578125" style="77" customWidth="1"/>
    <col min="10" max="10" width="11.42578125" style="77"/>
    <col min="11" max="11" width="16.28515625" style="77" customWidth="1"/>
    <col min="12" max="16384" width="11.42578125" style="77"/>
  </cols>
  <sheetData>
    <row r="4" spans="1:5" ht="25.5" customHeight="1"/>
    <row r="5" spans="1:5" ht="7.5" customHeight="1"/>
    <row r="6" spans="1:5" ht="15.75">
      <c r="A6" s="319" t="s">
        <v>25</v>
      </c>
      <c r="B6" s="1075" t="s">
        <v>729</v>
      </c>
    </row>
    <row r="7" spans="1:5" ht="15.75">
      <c r="A7" s="506" t="s">
        <v>730</v>
      </c>
      <c r="B7" s="1076">
        <f>+'IV.1.3. Ingr y egr SDSS'!J12</f>
        <v>115952658.19999999</v>
      </c>
      <c r="C7" s="1777"/>
      <c r="D7" s="1777"/>
    </row>
    <row r="8" spans="1:5" ht="15.75">
      <c r="A8" s="506">
        <v>2011</v>
      </c>
      <c r="B8" s="1076">
        <f>+'IV.1.3. Ingr y egr SDSS'!J13</f>
        <v>291946073.39999998</v>
      </c>
      <c r="C8" s="1777"/>
      <c r="D8" s="1777"/>
    </row>
    <row r="9" spans="1:5" ht="15.75">
      <c r="A9" s="506" t="s">
        <v>482</v>
      </c>
      <c r="B9" s="1076">
        <f>+'IV.1.3. Ingr y egr SDSS'!J14</f>
        <v>331635794.92000002</v>
      </c>
      <c r="C9" s="1777"/>
      <c r="D9" s="1777"/>
    </row>
    <row r="10" spans="1:5" ht="15.75">
      <c r="A10" s="506" t="s">
        <v>561</v>
      </c>
      <c r="B10" s="1076">
        <f>+'IV.1.3. Ingr y egr SDSS'!J15</f>
        <v>333800248.55999994</v>
      </c>
      <c r="C10" s="1777"/>
      <c r="D10" s="1777"/>
      <c r="E10" s="1082"/>
    </row>
    <row r="11" spans="1:5" ht="15.75">
      <c r="A11" s="506" t="s">
        <v>569</v>
      </c>
      <c r="B11" s="1076">
        <f>+'IV.1.3. Ingr y egr SDSS'!J16</f>
        <v>329249337.19999999</v>
      </c>
      <c r="C11" s="1777"/>
      <c r="D11" s="1777"/>
    </row>
    <row r="12" spans="1:5" ht="15.75">
      <c r="A12" s="506" t="s">
        <v>1012</v>
      </c>
      <c r="B12" s="1076">
        <f>+'IV.1.3. Ingr y egr SDSS'!J17</f>
        <v>307729442.79999995</v>
      </c>
      <c r="C12" s="1777"/>
      <c r="D12" s="1777"/>
    </row>
    <row r="13" spans="1:5" ht="15.75">
      <c r="A13" s="1077" t="s">
        <v>23</v>
      </c>
      <c r="B13" s="1078">
        <f>SUM(B7:B12)</f>
        <v>1710313555.0799999</v>
      </c>
    </row>
  </sheetData>
  <pageMargins left="0.7" right="0.7" top="0.75" bottom="0.75" header="0.3" footer="0.3"/>
  <pageSetup scale="66" orientation="landscape" r:id="rId1"/>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9">
    <tabColor rgb="FF00B0F0"/>
    <pageSetUpPr fitToPage="1"/>
  </sheetPr>
  <dimension ref="A4:R19"/>
  <sheetViews>
    <sheetView showGridLines="0" view="pageBreakPreview" zoomScale="70" zoomScaleNormal="85" zoomScaleSheetLayoutView="70" workbookViewId="0">
      <selection activeCell="A6" sqref="A6"/>
    </sheetView>
  </sheetViews>
  <sheetFormatPr baseColWidth="10" defaultRowHeight="15"/>
  <cols>
    <col min="1" max="1" width="11.7109375" style="77" bestFit="1" customWidth="1"/>
    <col min="2" max="2" width="18" style="77" customWidth="1"/>
    <col min="3" max="3" width="17.140625" style="77" customWidth="1"/>
    <col min="4" max="4" width="19.140625" style="77" customWidth="1"/>
    <col min="5" max="5" width="17.42578125" style="77" customWidth="1"/>
    <col min="6" max="6" width="13.42578125" style="77" bestFit="1" customWidth="1"/>
    <col min="7" max="7" width="14.42578125" style="77" bestFit="1" customWidth="1"/>
    <col min="8" max="8" width="13.42578125" style="77" bestFit="1" customWidth="1"/>
    <col min="9" max="9" width="15.85546875" style="77" bestFit="1" customWidth="1"/>
    <col min="10" max="10" width="28.85546875" style="77" customWidth="1"/>
    <col min="11" max="11" width="11.42578125" style="77"/>
    <col min="12" max="12" width="17.140625" style="77" customWidth="1"/>
    <col min="13" max="13" width="11.42578125" style="77"/>
    <col min="14" max="14" width="24.5703125" style="77" customWidth="1"/>
    <col min="15" max="15" width="19.140625" style="77" customWidth="1"/>
    <col min="16" max="16" width="20.42578125" style="77" customWidth="1"/>
    <col min="17" max="17" width="19" style="77" customWidth="1"/>
    <col min="18" max="16384" width="11.42578125" style="77"/>
  </cols>
  <sheetData>
    <row r="4" spans="1:18" ht="32.25" customHeight="1"/>
    <row r="5" spans="1:18" ht="17.25" customHeight="1"/>
    <row r="6" spans="1:18" s="996" customFormat="1" ht="26.25" customHeight="1">
      <c r="A6" s="1258" t="s">
        <v>46</v>
      </c>
      <c r="B6" s="1444" t="s">
        <v>109</v>
      </c>
      <c r="C6" s="1444" t="s">
        <v>112</v>
      </c>
      <c r="D6" s="1444" t="s">
        <v>731</v>
      </c>
      <c r="E6" s="1445" t="s">
        <v>23</v>
      </c>
      <c r="N6" s="173"/>
    </row>
    <row r="7" spans="1:18" ht="15.75">
      <c r="A7" s="524" t="s">
        <v>987</v>
      </c>
      <c r="B7" s="1200">
        <v>10769531.960000001</v>
      </c>
      <c r="C7" s="1200">
        <v>3468875.84</v>
      </c>
      <c r="D7" s="1200">
        <v>13456842.720000001</v>
      </c>
      <c r="E7" s="1201">
        <f t="shared" ref="E7:E17" si="0">+D7+C7+B7</f>
        <v>27695250.520000003</v>
      </c>
      <c r="N7" s="173"/>
    </row>
    <row r="8" spans="1:18" ht="15.75">
      <c r="A8" s="524" t="s">
        <v>988</v>
      </c>
      <c r="B8" s="1200">
        <v>10900119.84</v>
      </c>
      <c r="C8" s="1200">
        <v>3483305.44</v>
      </c>
      <c r="D8" s="1200">
        <v>13497846.24</v>
      </c>
      <c r="E8" s="1201">
        <f t="shared" si="0"/>
        <v>27881271.52</v>
      </c>
      <c r="N8" s="173"/>
    </row>
    <row r="9" spans="1:18" ht="15.75">
      <c r="A9" s="524" t="s">
        <v>989</v>
      </c>
      <c r="B9" s="1200">
        <v>10901562.800000001</v>
      </c>
      <c r="C9" s="1200">
        <v>3489798.76</v>
      </c>
      <c r="D9" s="1200">
        <v>13502971.68</v>
      </c>
      <c r="E9" s="1201">
        <f t="shared" si="0"/>
        <v>27894333.239999998</v>
      </c>
      <c r="N9" s="173"/>
    </row>
    <row r="10" spans="1:18" ht="15.75">
      <c r="A10" s="524" t="s">
        <v>991</v>
      </c>
      <c r="B10" s="1200">
        <v>10951344.92</v>
      </c>
      <c r="C10" s="1200">
        <v>3503506.88</v>
      </c>
      <c r="D10" s="1200">
        <v>13565758.32</v>
      </c>
      <c r="E10" s="1201">
        <f t="shared" si="0"/>
        <v>28020610.119999997</v>
      </c>
      <c r="N10" s="173"/>
    </row>
    <row r="11" spans="1:18" ht="15.75">
      <c r="A11" s="524" t="s">
        <v>992</v>
      </c>
      <c r="B11" s="1200">
        <v>10977318.199999999</v>
      </c>
      <c r="C11" s="1200">
        <v>3510000.2</v>
      </c>
      <c r="D11" s="1200">
        <v>13550382</v>
      </c>
      <c r="E11" s="1201">
        <f t="shared" si="0"/>
        <v>28037700.399999999</v>
      </c>
      <c r="N11" s="1200"/>
      <c r="O11" s="1200"/>
      <c r="P11" s="1200"/>
      <c r="Q11" s="1200"/>
      <c r="R11" s="1200"/>
    </row>
    <row r="12" spans="1:18" ht="15.75">
      <c r="A12" s="524" t="s">
        <v>993</v>
      </c>
      <c r="B12" s="1200">
        <v>10954952.32</v>
      </c>
      <c r="C12" s="1200">
        <v>3526594.24</v>
      </c>
      <c r="D12" s="1200">
        <v>13477344.48</v>
      </c>
      <c r="E12" s="1201">
        <v>28037700.399999999</v>
      </c>
      <c r="N12" s="156"/>
      <c r="O12" s="156"/>
      <c r="P12" s="156"/>
      <c r="Q12" s="156"/>
    </row>
    <row r="13" spans="1:18" ht="15.75">
      <c r="A13" s="524" t="s">
        <v>994</v>
      </c>
      <c r="B13" s="1200">
        <v>10946294.560000001</v>
      </c>
      <c r="C13" s="1200">
        <v>3551846.04</v>
      </c>
      <c r="D13" s="1200">
        <v>13459405.439999999</v>
      </c>
      <c r="E13" s="1201">
        <v>27958891.039999999</v>
      </c>
    </row>
    <row r="14" spans="1:18" ht="15.75">
      <c r="A14" s="524" t="s">
        <v>995</v>
      </c>
      <c r="B14" s="1200">
        <v>10975153.76</v>
      </c>
      <c r="C14" s="1200">
        <v>3565554.16</v>
      </c>
      <c r="D14" s="1200">
        <v>13555507.439999999</v>
      </c>
      <c r="E14" s="1201">
        <v>27957546.039999999</v>
      </c>
    </row>
    <row r="15" spans="1:18" ht="15.75">
      <c r="A15" s="524" t="s">
        <v>996</v>
      </c>
      <c r="B15" s="1200">
        <v>10965053.039999999</v>
      </c>
      <c r="C15" s="1200">
        <v>3580705.24</v>
      </c>
      <c r="D15" s="1200">
        <v>13491439.439999999</v>
      </c>
      <c r="E15" s="1201">
        <v>28096215.359999999</v>
      </c>
    </row>
    <row r="16" spans="1:18" ht="15.75">
      <c r="A16" s="524" t="s">
        <v>997</v>
      </c>
      <c r="B16" s="1200">
        <v>10873425.08</v>
      </c>
      <c r="C16" s="1200">
        <v>3618943.68</v>
      </c>
      <c r="D16" s="1200">
        <v>13467093.6</v>
      </c>
      <c r="E16" s="1201">
        <v>28037197.719999999</v>
      </c>
    </row>
    <row r="17" spans="1:6" ht="15.75">
      <c r="A17" s="524" t="s">
        <v>998</v>
      </c>
      <c r="B17" s="1200">
        <v>10892183.560000001</v>
      </c>
      <c r="C17" s="1200">
        <v>3618943.68</v>
      </c>
      <c r="D17" s="1200">
        <v>13488876.720000001</v>
      </c>
      <c r="E17" s="1201">
        <f t="shared" si="0"/>
        <v>28000003.960000001</v>
      </c>
    </row>
    <row r="18" spans="1:6" ht="15.75">
      <c r="A18" s="1783" t="s">
        <v>999</v>
      </c>
      <c r="B18" s="1200">
        <v>10825085.92</v>
      </c>
      <c r="C18" s="1200">
        <v>3618222.2</v>
      </c>
      <c r="D18" s="1200">
        <v>13435059.6</v>
      </c>
      <c r="E18" s="1201">
        <v>27878367.719999999</v>
      </c>
      <c r="F18" s="1777"/>
    </row>
    <row r="19" spans="1:6" ht="15.75">
      <c r="A19" s="1015" t="s">
        <v>1011</v>
      </c>
      <c r="B19" s="1202">
        <v>10838072.560000001</v>
      </c>
      <c r="C19" s="1202">
        <v>3621108.1199999973</v>
      </c>
      <c r="D19" s="1202">
        <v>13429934.16</v>
      </c>
      <c r="E19" s="1203">
        <f t="shared" ref="E19" si="1">+D19+C19+B19</f>
        <v>27889114.839999996</v>
      </c>
    </row>
  </sheetData>
  <pageMargins left="0.7" right="0.7" top="0.75" bottom="0.75" header="0.3" footer="0.3"/>
  <pageSetup scale="58" orientation="landscape" r:id="rId1"/>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0">
    <tabColor rgb="FF00B0F0"/>
    <pageSetUpPr fitToPage="1"/>
  </sheetPr>
  <dimension ref="M5:O43"/>
  <sheetViews>
    <sheetView showGridLines="0" view="pageBreakPreview" zoomScale="85" zoomScaleNormal="100" zoomScaleSheetLayoutView="85" workbookViewId="0">
      <selection activeCell="J58" sqref="J58"/>
    </sheetView>
  </sheetViews>
  <sheetFormatPr baseColWidth="10" defaultRowHeight="15"/>
  <cols>
    <col min="8" max="8" width="23.7109375" customWidth="1"/>
    <col min="11" max="11" width="26.85546875" customWidth="1"/>
    <col min="12" max="12" width="22.28515625" customWidth="1"/>
    <col min="13" max="13" width="15" customWidth="1"/>
    <col min="14" max="14" width="19.7109375" customWidth="1"/>
    <col min="15" max="15" width="11.42578125" style="198"/>
  </cols>
  <sheetData>
    <row r="5" ht="21" customHeight="1"/>
    <row r="21" spans="13:14">
      <c r="M21" s="77"/>
      <c r="N21" s="77"/>
    </row>
    <row r="22" spans="13:14">
      <c r="M22" s="77"/>
      <c r="N22" s="77"/>
    </row>
    <row r="23" spans="13:14">
      <c r="M23" s="77"/>
      <c r="N23" s="77"/>
    </row>
    <row r="24" spans="13:14">
      <c r="M24" s="77"/>
      <c r="N24" s="77"/>
    </row>
    <row r="25" spans="13:14">
      <c r="M25" s="77"/>
      <c r="N25" s="77"/>
    </row>
    <row r="26" spans="13:14">
      <c r="M26" s="77"/>
      <c r="N26" s="77"/>
    </row>
    <row r="27" spans="13:14">
      <c r="M27" s="77"/>
      <c r="N27" s="77"/>
    </row>
    <row r="28" spans="13:14">
      <c r="M28" s="173"/>
      <c r="N28" s="77"/>
    </row>
    <row r="29" spans="13:14">
      <c r="M29" s="77"/>
      <c r="N29" s="77"/>
    </row>
    <row r="30" spans="13:14">
      <c r="M30" s="77"/>
      <c r="N30" s="77"/>
    </row>
    <row r="31" spans="13:14">
      <c r="M31" s="77"/>
      <c r="N31" s="77"/>
    </row>
    <row r="32" spans="13:14">
      <c r="M32" s="77"/>
      <c r="N32" s="77"/>
    </row>
    <row r="33" spans="13:14">
      <c r="M33" s="77"/>
      <c r="N33" s="77"/>
    </row>
    <row r="34" spans="13:14">
      <c r="M34" s="77"/>
      <c r="N34" s="77"/>
    </row>
    <row r="35" spans="13:14">
      <c r="M35" s="77"/>
      <c r="N35" s="77"/>
    </row>
    <row r="36" spans="13:14">
      <c r="M36" s="77"/>
      <c r="N36" s="77"/>
    </row>
    <row r="37" spans="13:14">
      <c r="M37" s="77"/>
      <c r="N37" s="77"/>
    </row>
    <row r="38" spans="13:14">
      <c r="M38" s="77"/>
      <c r="N38" s="77"/>
    </row>
    <row r="42" spans="13:14">
      <c r="M42" s="277"/>
      <c r="N42" s="277"/>
    </row>
    <row r="43" spans="13:14">
      <c r="N43" s="173"/>
    </row>
  </sheetData>
  <pageMargins left="0.7" right="0.7" top="0.75" bottom="0.75" header="0.3" footer="0.3"/>
  <pageSetup scale="67" orientation="landscape" r:id="rId1"/>
  <rowBreaks count="1" manualBreakCount="1">
    <brk id="44" max="11" man="1"/>
  </rowBreaks>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1">
    <tabColor rgb="FF00B0F0"/>
    <pageSetUpPr fitToPage="1"/>
  </sheetPr>
  <dimension ref="A1:L43"/>
  <sheetViews>
    <sheetView showGridLines="0" view="pageBreakPreview" zoomScale="55" zoomScaleNormal="85" zoomScaleSheetLayoutView="55" workbookViewId="0">
      <selection activeCell="M13" sqref="M13:M26"/>
    </sheetView>
  </sheetViews>
  <sheetFormatPr baseColWidth="10" defaultColWidth="11.42578125" defaultRowHeight="15"/>
  <cols>
    <col min="1" max="1" width="24.85546875" style="77" customWidth="1"/>
    <col min="2" max="2" width="35.140625" style="77" customWidth="1"/>
    <col min="3" max="3" width="34.42578125" style="77" customWidth="1"/>
    <col min="4" max="4" width="23.42578125" style="77" customWidth="1"/>
    <col min="5" max="5" width="22" style="77" bestFit="1" customWidth="1"/>
    <col min="6" max="6" width="16.7109375" style="77" customWidth="1"/>
    <col min="7" max="7" width="11.42578125" style="77"/>
    <col min="8" max="8" width="16.5703125" style="77" customWidth="1"/>
    <col min="9" max="9" width="19.42578125" style="77" customWidth="1"/>
    <col min="10" max="10" width="30.85546875" style="77" customWidth="1"/>
    <col min="11" max="11" width="15.85546875" style="77" customWidth="1"/>
    <col min="12" max="12" width="11.42578125" style="77"/>
    <col min="13" max="13" width="19.85546875" style="77" bestFit="1" customWidth="1"/>
    <col min="14" max="16384" width="11.42578125" style="77"/>
  </cols>
  <sheetData>
    <row r="1" spans="1:12" ht="91.5" customHeight="1">
      <c r="A1" s="2128"/>
      <c r="B1" s="2128"/>
      <c r="C1" s="2128"/>
      <c r="D1" s="2128"/>
      <c r="E1" s="2128"/>
      <c r="F1" s="2128"/>
      <c r="G1" s="2128"/>
      <c r="H1" s="2128"/>
      <c r="I1" s="2128"/>
      <c r="J1" s="2128"/>
      <c r="K1" s="2128"/>
      <c r="L1" s="2128"/>
    </row>
    <row r="2" spans="1:12" ht="10.5" customHeight="1"/>
    <row r="3" spans="1:12" ht="27" customHeight="1">
      <c r="A3" s="760" t="s">
        <v>25</v>
      </c>
      <c r="B3" s="758" t="s">
        <v>167</v>
      </c>
      <c r="C3" s="9"/>
      <c r="D3" s="94"/>
      <c r="E3" s="94"/>
      <c r="F3" s="94"/>
      <c r="G3" s="94"/>
      <c r="H3" s="94"/>
      <c r="I3" s="94"/>
      <c r="J3" s="94"/>
      <c r="K3" s="94"/>
    </row>
    <row r="4" spans="1:12" ht="17.25">
      <c r="A4" s="761">
        <v>2003</v>
      </c>
      <c r="B4" s="757">
        <v>1813713639.4200001</v>
      </c>
      <c r="C4" s="1423"/>
      <c r="D4" s="809"/>
      <c r="E4" s="94"/>
      <c r="F4" s="94"/>
      <c r="G4" s="94"/>
      <c r="H4" s="94"/>
      <c r="I4" s="94"/>
      <c r="J4" s="94"/>
      <c r="K4" s="94"/>
    </row>
    <row r="5" spans="1:12" ht="16.5" customHeight="1">
      <c r="A5" s="761">
        <v>2004</v>
      </c>
      <c r="B5" s="757">
        <v>6547406092.6799994</v>
      </c>
      <c r="C5" s="1423"/>
      <c r="D5" s="809"/>
      <c r="E5" s="94"/>
      <c r="F5" s="94"/>
      <c r="G5" s="94"/>
      <c r="H5" s="94"/>
      <c r="I5" s="94"/>
      <c r="J5" s="94"/>
      <c r="K5" s="94"/>
    </row>
    <row r="6" spans="1:12" ht="17.25">
      <c r="A6" s="761">
        <v>2005</v>
      </c>
      <c r="B6" s="757">
        <v>8393553851.0549603</v>
      </c>
      <c r="C6" s="1423"/>
      <c r="D6" s="809"/>
      <c r="E6" s="94"/>
      <c r="F6" s="94"/>
      <c r="G6" s="94"/>
      <c r="H6" s="94"/>
      <c r="I6" s="94"/>
      <c r="J6" s="94"/>
      <c r="K6" s="94"/>
    </row>
    <row r="7" spans="1:12" ht="17.25">
      <c r="A7" s="761">
        <v>2006</v>
      </c>
      <c r="B7" s="757">
        <v>9613650449.1000004</v>
      </c>
      <c r="C7" s="1423"/>
      <c r="D7" s="809"/>
      <c r="E7" s="94"/>
      <c r="F7" s="94"/>
      <c r="G7" s="94"/>
      <c r="H7" s="94"/>
      <c r="I7" s="94"/>
      <c r="J7" s="94"/>
      <c r="K7" s="94"/>
    </row>
    <row r="8" spans="1:12" ht="17.25">
      <c r="A8" s="761">
        <v>2007</v>
      </c>
      <c r="B8" s="757">
        <v>14892605258.139</v>
      </c>
      <c r="C8" s="1423"/>
      <c r="D8" s="809"/>
      <c r="E8" s="94"/>
      <c r="F8" s="94"/>
      <c r="G8" s="94"/>
      <c r="H8" s="94"/>
      <c r="I8" s="94"/>
      <c r="J8" s="94"/>
      <c r="K8" s="94"/>
    </row>
    <row r="9" spans="1:12" ht="17.25">
      <c r="A9" s="761">
        <v>2008</v>
      </c>
      <c r="B9" s="757">
        <v>15887938438.049997</v>
      </c>
      <c r="C9" s="1423"/>
      <c r="D9" s="809"/>
      <c r="E9" s="94"/>
      <c r="F9" s="94"/>
      <c r="G9" s="94"/>
      <c r="H9" s="94"/>
      <c r="I9" s="94"/>
      <c r="J9" s="94"/>
      <c r="K9" s="94"/>
    </row>
    <row r="10" spans="1:12" ht="17.25">
      <c r="A10" s="761">
        <v>2009</v>
      </c>
      <c r="B10" s="757">
        <v>18789773765.599998</v>
      </c>
      <c r="C10" s="1423"/>
      <c r="D10" s="809"/>
      <c r="E10" s="94"/>
      <c r="F10" s="94"/>
      <c r="G10" s="94"/>
      <c r="H10" s="94"/>
      <c r="I10" s="94"/>
      <c r="J10" s="94"/>
      <c r="K10" s="94"/>
    </row>
    <row r="11" spans="1:12" ht="17.25">
      <c r="A11" s="761">
        <v>2010</v>
      </c>
      <c r="B11" s="757">
        <v>23938490112.329998</v>
      </c>
      <c r="C11" s="1423"/>
      <c r="D11" s="809"/>
      <c r="E11" s="94"/>
      <c r="F11" s="94"/>
      <c r="G11" s="94"/>
      <c r="H11" s="94"/>
      <c r="I11" s="94"/>
      <c r="J11" s="94"/>
      <c r="K11" s="94"/>
    </row>
    <row r="12" spans="1:12" ht="17.25">
      <c r="A12" s="761">
        <v>2011</v>
      </c>
      <c r="B12" s="757">
        <v>23585106301.460003</v>
      </c>
      <c r="C12" s="277"/>
      <c r="D12" s="809"/>
      <c r="E12" s="9"/>
      <c r="F12" s="94"/>
      <c r="G12" s="9"/>
      <c r="H12" s="94"/>
      <c r="I12" s="94"/>
      <c r="J12" s="94"/>
      <c r="K12" s="94"/>
    </row>
    <row r="13" spans="1:12" ht="17.25">
      <c r="A13" s="761" t="s">
        <v>482</v>
      </c>
      <c r="B13" s="757">
        <v>26400473552.350002</v>
      </c>
      <c r="C13" s="277"/>
      <c r="D13" s="809"/>
      <c r="E13" s="1423"/>
      <c r="F13" s="809"/>
      <c r="G13" s="9"/>
      <c r="H13" s="94"/>
      <c r="I13" s="94"/>
      <c r="J13" s="94"/>
      <c r="K13" s="94"/>
    </row>
    <row r="14" spans="1:12" ht="17.25">
      <c r="A14" s="761" t="s">
        <v>561</v>
      </c>
      <c r="B14" s="757">
        <v>29506184318.750004</v>
      </c>
      <c r="C14" s="1423"/>
      <c r="D14" s="809"/>
      <c r="E14" s="94"/>
      <c r="F14" s="9"/>
      <c r="G14" s="9"/>
      <c r="H14" s="94"/>
      <c r="I14" s="94"/>
      <c r="J14" s="94"/>
      <c r="K14" s="94"/>
    </row>
    <row r="15" spans="1:12" ht="17.25">
      <c r="A15" s="761" t="s">
        <v>569</v>
      </c>
      <c r="B15" s="757">
        <v>33591892120.470001</v>
      </c>
      <c r="E15" s="94"/>
      <c r="F15" s="9"/>
      <c r="G15" s="9"/>
      <c r="H15" s="94"/>
      <c r="I15" s="94"/>
      <c r="J15" s="94"/>
      <c r="K15" s="94"/>
    </row>
    <row r="16" spans="1:12" ht="17.25">
      <c r="A16" s="1789" t="s">
        <v>1013</v>
      </c>
      <c r="B16" s="1788">
        <v>34498899413.920006</v>
      </c>
      <c r="E16" s="94"/>
      <c r="F16" s="9"/>
      <c r="G16" s="9"/>
      <c r="H16" s="94"/>
      <c r="I16" s="94"/>
      <c r="J16" s="94"/>
      <c r="K16" s="94"/>
    </row>
    <row r="17" spans="1:7" ht="17.25">
      <c r="A17" s="756" t="s">
        <v>23</v>
      </c>
      <c r="B17" s="759">
        <f>SUM(B4:B16)</f>
        <v>247459687313.32397</v>
      </c>
      <c r="E17" s="94"/>
      <c r="F17" s="1"/>
      <c r="G17" s="1"/>
    </row>
    <row r="18" spans="1:7">
      <c r="A18" s="1"/>
      <c r="B18" s="1"/>
      <c r="C18" s="1"/>
      <c r="E18" s="94"/>
      <c r="F18" s="1"/>
      <c r="G18" s="1"/>
    </row>
    <row r="19" spans="1:7">
      <c r="A19" s="1"/>
      <c r="B19" s="1"/>
      <c r="C19" s="1"/>
      <c r="E19" s="94"/>
      <c r="F19" s="1"/>
      <c r="G19" s="1"/>
    </row>
    <row r="20" spans="1:7">
      <c r="A20" s="1"/>
      <c r="B20" s="1"/>
      <c r="C20" s="1"/>
      <c r="D20" s="1"/>
      <c r="E20" s="1"/>
      <c r="F20" s="1"/>
      <c r="G20" s="1"/>
    </row>
    <row r="21" spans="1:7">
      <c r="A21" s="1"/>
      <c r="B21" s="1"/>
      <c r="C21" s="1"/>
      <c r="D21" s="1"/>
      <c r="E21" s="1"/>
      <c r="F21" s="1"/>
      <c r="G21" s="1"/>
    </row>
    <row r="22" spans="1:7">
      <c r="A22" s="1"/>
      <c r="B22" s="1"/>
      <c r="C22" s="1"/>
      <c r="D22" s="1"/>
      <c r="E22" s="1"/>
      <c r="F22" s="1"/>
      <c r="G22" s="1"/>
    </row>
    <row r="23" spans="1:7">
      <c r="A23" s="1"/>
      <c r="B23" s="1"/>
      <c r="C23" s="1"/>
      <c r="D23" s="1"/>
      <c r="E23" s="1"/>
      <c r="F23" s="1"/>
      <c r="G23" s="1"/>
    </row>
    <row r="24" spans="1:7">
      <c r="A24" s="1"/>
      <c r="B24" s="1"/>
      <c r="C24" s="1"/>
      <c r="D24" s="1"/>
      <c r="E24" s="1"/>
      <c r="F24" s="1"/>
      <c r="G24" s="1"/>
    </row>
    <row r="25" spans="1:7">
      <c r="A25" s="1"/>
      <c r="B25" s="1"/>
      <c r="C25" s="1"/>
      <c r="D25" s="1"/>
      <c r="E25" s="1"/>
      <c r="F25" s="1"/>
      <c r="G25" s="1"/>
    </row>
    <row r="26" spans="1:7">
      <c r="A26" s="1"/>
      <c r="B26" s="1"/>
      <c r="C26" s="1"/>
      <c r="D26" s="1"/>
      <c r="E26" s="1"/>
      <c r="F26" s="1"/>
      <c r="G26" s="1"/>
    </row>
    <row r="27" spans="1:7">
      <c r="A27" s="1"/>
      <c r="B27" s="1"/>
      <c r="C27" s="1"/>
      <c r="D27" s="1"/>
      <c r="E27" s="1"/>
      <c r="F27" s="1"/>
      <c r="G27" s="1"/>
    </row>
    <row r="28" spans="1:7">
      <c r="A28" s="1"/>
      <c r="B28" s="1"/>
      <c r="C28" s="1"/>
      <c r="D28" s="1"/>
      <c r="E28" s="1"/>
      <c r="F28" s="1"/>
      <c r="G28" s="1"/>
    </row>
    <row r="29" spans="1:7">
      <c r="A29" s="1"/>
      <c r="B29" s="1"/>
      <c r="C29" s="1"/>
      <c r="D29" s="1"/>
      <c r="E29" s="1"/>
      <c r="F29" s="1"/>
      <c r="G29" s="1"/>
    </row>
    <row r="30" spans="1:7">
      <c r="A30" s="1"/>
      <c r="B30" s="1"/>
      <c r="C30" s="1"/>
      <c r="D30" s="1"/>
      <c r="E30" s="1"/>
      <c r="F30" s="1"/>
      <c r="G30" s="1"/>
    </row>
    <row r="31" spans="1:7">
      <c r="A31" s="1"/>
      <c r="B31" s="1"/>
      <c r="C31" s="1"/>
      <c r="D31" s="1"/>
      <c r="E31" s="1"/>
      <c r="F31" s="1"/>
      <c r="G31" s="1"/>
    </row>
    <row r="32" spans="1:7">
      <c r="A32" s="1"/>
      <c r="B32" s="1"/>
      <c r="C32" s="1"/>
      <c r="D32" s="1"/>
      <c r="E32" s="1"/>
      <c r="F32" s="1"/>
      <c r="G32" s="1"/>
    </row>
    <row r="33" spans="1:7">
      <c r="A33" s="1"/>
      <c r="B33" s="1"/>
      <c r="C33" s="1"/>
      <c r="D33" s="1"/>
      <c r="E33" s="1"/>
      <c r="F33" s="1"/>
      <c r="G33" s="1"/>
    </row>
    <row r="34" spans="1:7">
      <c r="A34" s="1"/>
      <c r="B34" s="1"/>
      <c r="C34" s="1"/>
      <c r="D34" s="1"/>
      <c r="E34" s="1"/>
      <c r="F34" s="1"/>
      <c r="G34" s="1"/>
    </row>
    <row r="35" spans="1:7">
      <c r="A35" s="1"/>
      <c r="B35" s="1"/>
      <c r="C35" s="1"/>
      <c r="D35" s="1"/>
      <c r="E35" s="1"/>
      <c r="F35" s="1"/>
      <c r="G35" s="1"/>
    </row>
    <row r="36" spans="1:7">
      <c r="A36" s="1"/>
      <c r="B36" s="1"/>
      <c r="C36" s="1"/>
      <c r="D36" s="1"/>
      <c r="E36" s="1"/>
      <c r="F36" s="1"/>
      <c r="G36" s="1"/>
    </row>
    <row r="37" spans="1:7">
      <c r="A37" s="1"/>
      <c r="B37" s="1"/>
      <c r="C37" s="1"/>
      <c r="D37" s="1"/>
      <c r="E37" s="1"/>
      <c r="F37" s="1"/>
      <c r="G37" s="1"/>
    </row>
    <row r="38" spans="1:7">
      <c r="A38" s="1"/>
      <c r="B38" s="1"/>
      <c r="C38" s="1"/>
      <c r="D38" s="1"/>
      <c r="E38" s="1"/>
      <c r="F38" s="1"/>
      <c r="G38" s="1"/>
    </row>
    <row r="39" spans="1:7">
      <c r="A39" s="1"/>
      <c r="B39" s="1"/>
      <c r="C39" s="1"/>
      <c r="D39" s="1"/>
      <c r="E39" s="1"/>
      <c r="F39" s="1"/>
      <c r="G39" s="1"/>
    </row>
    <row r="40" spans="1:7">
      <c r="A40" s="1"/>
      <c r="B40" s="1"/>
      <c r="C40" s="1"/>
      <c r="D40" s="1"/>
      <c r="E40" s="1"/>
      <c r="F40" s="1"/>
      <c r="G40" s="1"/>
    </row>
    <row r="41" spans="1:7">
      <c r="A41" s="1"/>
      <c r="B41" s="1"/>
      <c r="C41" s="1"/>
      <c r="D41" s="1"/>
      <c r="E41" s="1"/>
      <c r="F41" s="1"/>
      <c r="G41" s="1"/>
    </row>
    <row r="42" spans="1:7">
      <c r="A42" s="1"/>
      <c r="B42" s="1"/>
      <c r="C42" s="1"/>
      <c r="D42" s="1"/>
      <c r="E42" s="1"/>
      <c r="F42" s="1"/>
      <c r="G42" s="1"/>
    </row>
    <row r="43" spans="1:7">
      <c r="A43" s="1"/>
      <c r="B43" s="1"/>
      <c r="C43" s="1"/>
      <c r="D43" s="1"/>
      <c r="E43" s="1"/>
      <c r="F43" s="1"/>
      <c r="G43" s="1"/>
    </row>
  </sheetData>
  <mergeCells count="1">
    <mergeCell ref="A1:L1"/>
  </mergeCells>
  <printOptions horizontalCentered="1"/>
  <pageMargins left="0.70866141732283472" right="0.70866141732283472" top="0.33" bottom="0.74803149606299213" header="0.31496062992125984" footer="0.31496062992125984"/>
  <pageSetup scale="46" orientation="landscape" r:id="rId1"/>
  <drawing r:id="rId2"/>
</worksheet>
</file>

<file path=xl/worksheets/sheet8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64">
    <tabColor rgb="FF00B0F0"/>
    <pageSetUpPr fitToPage="1"/>
  </sheetPr>
  <dimension ref="A1:T39"/>
  <sheetViews>
    <sheetView showGridLines="0" view="pageBreakPreview" zoomScale="85" zoomScaleNormal="70" zoomScaleSheetLayoutView="85" workbookViewId="0">
      <pane xSplit="1" ySplit="3" topLeftCell="B4" activePane="bottomRight" state="frozen"/>
      <selection pane="topRight" activeCell="B1" sqref="B1"/>
      <selection pane="bottomLeft" activeCell="A4" sqref="A4"/>
      <selection pane="bottomRight" activeCell="A3" sqref="A3"/>
    </sheetView>
  </sheetViews>
  <sheetFormatPr baseColWidth="10" defaultColWidth="11.5703125" defaultRowHeight="15"/>
  <cols>
    <col min="1" max="1" width="17.5703125" customWidth="1"/>
    <col min="2" max="2" width="16.28515625" style="77" customWidth="1"/>
    <col min="3" max="3" width="18.42578125" customWidth="1"/>
    <col min="4" max="4" width="16.28515625" customWidth="1"/>
    <col min="5" max="5" width="16.7109375" customWidth="1"/>
    <col min="6" max="6" width="17.42578125" customWidth="1"/>
    <col min="7" max="7" width="17.28515625" customWidth="1"/>
    <col min="8" max="8" width="19.140625" customWidth="1"/>
    <col min="9" max="9" width="17.28515625" customWidth="1"/>
    <col min="10" max="10" width="17.42578125" customWidth="1"/>
    <col min="11" max="11" width="17.85546875" bestFit="1" customWidth="1"/>
    <col min="12" max="12" width="19.140625" customWidth="1"/>
    <col min="13" max="14" width="19.140625" style="77" customWidth="1"/>
    <col min="15" max="15" width="20.85546875" customWidth="1"/>
    <col min="16" max="16" width="20.5703125" customWidth="1"/>
    <col min="17" max="17" width="30" customWidth="1"/>
    <col min="18" max="18" width="19.28515625" bestFit="1" customWidth="1"/>
    <col min="19" max="19" width="16.28515625" bestFit="1" customWidth="1"/>
    <col min="20" max="20" width="19.28515625" bestFit="1" customWidth="1"/>
  </cols>
  <sheetData>
    <row r="1" spans="1:20" ht="77.25" customHeight="1">
      <c r="A1" s="2128"/>
      <c r="B1" s="2128"/>
      <c r="C1" s="2128"/>
      <c r="D1" s="2128"/>
      <c r="E1" s="2128"/>
      <c r="F1" s="2128"/>
      <c r="G1" s="2128"/>
      <c r="H1" s="2128"/>
      <c r="I1" s="2128"/>
      <c r="J1" s="2128"/>
      <c r="K1" s="2128"/>
      <c r="L1" s="2128"/>
      <c r="M1" s="2128"/>
      <c r="N1" s="2128"/>
      <c r="O1" s="2128"/>
    </row>
    <row r="2" spans="1:20" s="77" customFormat="1" ht="5.25" customHeight="1">
      <c r="A2" s="289"/>
      <c r="B2" s="288"/>
      <c r="C2" s="288"/>
      <c r="D2" s="288"/>
      <c r="E2" s="288"/>
      <c r="F2" s="288"/>
      <c r="G2" s="288"/>
      <c r="H2" s="288"/>
      <c r="I2" s="288"/>
      <c r="J2" s="288"/>
      <c r="K2" s="288"/>
      <c r="L2" s="288"/>
      <c r="M2" s="288"/>
      <c r="N2" s="288"/>
    </row>
    <row r="3" spans="1:20" ht="21" customHeight="1">
      <c r="A3" s="572" t="s">
        <v>177</v>
      </c>
      <c r="B3" s="509" t="s">
        <v>221</v>
      </c>
      <c r="C3" s="509">
        <v>2004</v>
      </c>
      <c r="D3" s="509">
        <v>2005</v>
      </c>
      <c r="E3" s="509">
        <v>2006</v>
      </c>
      <c r="F3" s="509">
        <v>2007</v>
      </c>
      <c r="G3" s="509">
        <v>2008</v>
      </c>
      <c r="H3" s="509">
        <v>2009</v>
      </c>
      <c r="I3" s="509">
        <v>2010</v>
      </c>
      <c r="J3" s="509" t="s">
        <v>239</v>
      </c>
      <c r="K3" s="509" t="s">
        <v>482</v>
      </c>
      <c r="L3" s="509" t="s">
        <v>561</v>
      </c>
      <c r="M3" s="509" t="s">
        <v>569</v>
      </c>
      <c r="N3" s="1781" t="s">
        <v>1007</v>
      </c>
      <c r="O3" s="515" t="s">
        <v>23</v>
      </c>
    </row>
    <row r="4" spans="1:20" s="39" customFormat="1">
      <c r="A4" s="508" t="s">
        <v>76</v>
      </c>
      <c r="B4" s="507">
        <v>1450970911.5360003</v>
      </c>
      <c r="C4" s="507">
        <v>4388448532.5416241</v>
      </c>
      <c r="D4" s="507">
        <v>5761654867.9499998</v>
      </c>
      <c r="E4" s="507">
        <v>7098103492.750001</v>
      </c>
      <c r="F4" s="507">
        <v>9157024021.4599991</v>
      </c>
      <c r="G4" s="507">
        <v>10971688650.739998</v>
      </c>
      <c r="H4" s="507">
        <v>14102437235.269999</v>
      </c>
      <c r="I4" s="507">
        <v>18859679063.360001</v>
      </c>
      <c r="J4" s="507">
        <v>18145611295.329998</v>
      </c>
      <c r="K4" s="507">
        <v>20525176273.790001</v>
      </c>
      <c r="L4" s="507">
        <v>23041717787.599998</v>
      </c>
      <c r="M4" s="507">
        <v>26294772742.880001</v>
      </c>
      <c r="N4" s="1780">
        <v>27124637181.200001</v>
      </c>
      <c r="O4" s="516">
        <f>SUM(B4:N4)</f>
        <v>186921922056.40765</v>
      </c>
      <c r="P4" s="208"/>
      <c r="Q4" s="140"/>
      <c r="R4" s="1633"/>
    </row>
    <row r="5" spans="1:20" s="39" customFormat="1">
      <c r="A5" s="508" t="s">
        <v>77</v>
      </c>
      <c r="B5" s="507">
        <v>0</v>
      </c>
      <c r="C5" s="507">
        <v>572745548.09000003</v>
      </c>
      <c r="D5" s="507">
        <v>801549025.60000014</v>
      </c>
      <c r="E5" s="507">
        <v>470524902.12</v>
      </c>
      <c r="F5" s="507">
        <v>726388233.41900003</v>
      </c>
      <c r="G5" s="507">
        <v>702593218.49000001</v>
      </c>
      <c r="H5" s="507">
        <v>791490784.11000001</v>
      </c>
      <c r="I5" s="507">
        <v>935805888.13999999</v>
      </c>
      <c r="J5" s="507">
        <v>1045138743.0899999</v>
      </c>
      <c r="K5" s="507">
        <v>1032095716.16</v>
      </c>
      <c r="L5" s="507">
        <v>1079979360.3499999</v>
      </c>
      <c r="M5" s="507">
        <v>1200713160.95</v>
      </c>
      <c r="N5" s="1780">
        <v>1063383923.3</v>
      </c>
      <c r="O5" s="516">
        <f t="shared" ref="O5:O11" si="0">SUM(B5:N5)</f>
        <v>10422408503.819</v>
      </c>
      <c r="P5" s="208"/>
      <c r="R5" s="1633"/>
    </row>
    <row r="6" spans="1:20" s="39" customFormat="1">
      <c r="A6" s="508" t="s">
        <v>78</v>
      </c>
      <c r="B6" s="507">
        <v>0</v>
      </c>
      <c r="C6" s="507">
        <v>0</v>
      </c>
      <c r="D6" s="507">
        <v>0</v>
      </c>
      <c r="E6" s="507">
        <v>0</v>
      </c>
      <c r="F6" s="507">
        <v>2506661252.1800003</v>
      </c>
      <c r="G6" s="507">
        <v>1248799551.6500001</v>
      </c>
      <c r="H6" s="507">
        <v>404625934.49000001</v>
      </c>
      <c r="I6" s="98">
        <v>0</v>
      </c>
      <c r="J6" s="507">
        <v>0</v>
      </c>
      <c r="K6" s="507">
        <v>0</v>
      </c>
      <c r="L6" s="507">
        <v>0</v>
      </c>
      <c r="M6" s="507">
        <v>0</v>
      </c>
      <c r="N6" s="1780"/>
      <c r="O6" s="516">
        <f t="shared" si="0"/>
        <v>4160086738.3200006</v>
      </c>
      <c r="P6" s="208"/>
      <c r="R6" s="1633"/>
    </row>
    <row r="7" spans="1:20" s="39" customFormat="1">
      <c r="A7" s="508" t="s">
        <v>79</v>
      </c>
      <c r="B7" s="507">
        <v>181371363.94200003</v>
      </c>
      <c r="C7" s="507">
        <v>753930807.93586206</v>
      </c>
      <c r="D7" s="507">
        <v>787020865.17999995</v>
      </c>
      <c r="E7" s="507">
        <v>905145735.52999997</v>
      </c>
      <c r="F7" s="507">
        <v>1128937194.7399998</v>
      </c>
      <c r="G7" s="507">
        <v>1354809029.5900002</v>
      </c>
      <c r="H7" s="507">
        <v>1598791980.2700002</v>
      </c>
      <c r="I7" s="507">
        <v>1839177727.5999999</v>
      </c>
      <c r="J7" s="98">
        <v>2055053729.2299998</v>
      </c>
      <c r="K7" s="507">
        <v>2278168828.7800002</v>
      </c>
      <c r="L7" s="507">
        <v>2543371766.8299999</v>
      </c>
      <c r="M7" s="507">
        <v>2879320929.98</v>
      </c>
      <c r="N7" s="1780">
        <v>3019328038.1900001</v>
      </c>
      <c r="O7" s="516">
        <f t="shared" si="0"/>
        <v>21324427997.797863</v>
      </c>
      <c r="P7" s="208"/>
      <c r="R7" s="1633"/>
    </row>
    <row r="8" spans="1:20" s="39" customFormat="1" ht="15.75" customHeight="1">
      <c r="A8" s="508" t="s">
        <v>80</v>
      </c>
      <c r="B8" s="507">
        <v>0</v>
      </c>
      <c r="C8" s="507">
        <v>0</v>
      </c>
      <c r="D8" s="507">
        <v>44554249.010000005</v>
      </c>
      <c r="E8" s="507">
        <v>50116429.870000005</v>
      </c>
      <c r="F8" s="507">
        <v>66693954.190000013</v>
      </c>
      <c r="G8" s="507">
        <v>70260729.659999996</v>
      </c>
      <c r="H8" s="507">
        <v>75325664.86999999</v>
      </c>
      <c r="I8" s="507">
        <v>87578847.120000005</v>
      </c>
      <c r="J8" s="507">
        <v>91807218.480000004</v>
      </c>
      <c r="K8" s="507">
        <v>92110689.790000007</v>
      </c>
      <c r="L8" s="507">
        <v>84379473.989999995</v>
      </c>
      <c r="M8" s="507">
        <v>98680828.370000005</v>
      </c>
      <c r="N8" s="1780">
        <v>93384233.599999994</v>
      </c>
      <c r="O8" s="516">
        <f t="shared" si="0"/>
        <v>854892318.95000005</v>
      </c>
      <c r="P8" s="208"/>
      <c r="R8" s="1633"/>
    </row>
    <row r="9" spans="1:20" s="39" customFormat="1">
      <c r="A9" s="508" t="s">
        <v>81</v>
      </c>
      <c r="B9" s="507">
        <v>90685681.971000016</v>
      </c>
      <c r="C9" s="507">
        <v>418581034.097597</v>
      </c>
      <c r="D9" s="507">
        <v>499326061.26086009</v>
      </c>
      <c r="E9" s="507">
        <v>539813903.23000002</v>
      </c>
      <c r="F9" s="507">
        <v>653915330.37</v>
      </c>
      <c r="G9" s="507">
        <v>775828907.30000007</v>
      </c>
      <c r="H9" s="507">
        <v>933206115.5</v>
      </c>
      <c r="I9" s="507">
        <v>1197840913.1600001</v>
      </c>
      <c r="J9" s="507">
        <v>1153613834.1200001</v>
      </c>
      <c r="K9" s="507">
        <v>1270496588.99</v>
      </c>
      <c r="L9" s="507">
        <v>1415686748.8699999</v>
      </c>
      <c r="M9" s="507">
        <v>1604198175.8299999</v>
      </c>
      <c r="N9" s="1780">
        <v>1640790713.26</v>
      </c>
      <c r="O9" s="516">
        <f t="shared" si="0"/>
        <v>12193984007.959457</v>
      </c>
      <c r="P9" s="208"/>
      <c r="R9" s="1633"/>
    </row>
    <row r="10" spans="1:20" s="39" customFormat="1">
      <c r="A10" s="508" t="s">
        <v>82</v>
      </c>
      <c r="B10" s="507">
        <v>18137136.394200001</v>
      </c>
      <c r="C10" s="507">
        <v>82086304.309749991</v>
      </c>
      <c r="D10" s="507">
        <v>99075487.134100005</v>
      </c>
      <c r="E10" s="507">
        <v>109989360.61999997</v>
      </c>
      <c r="F10" s="507">
        <v>130598212.33</v>
      </c>
      <c r="G10" s="507">
        <v>140123264.7405</v>
      </c>
      <c r="H10" s="1060">
        <v>132002937.52000001</v>
      </c>
      <c r="I10" s="507">
        <v>188169177.71000004</v>
      </c>
      <c r="J10" s="507">
        <v>162448764.51999998</v>
      </c>
      <c r="K10" s="507">
        <v>179079077.34999999</v>
      </c>
      <c r="L10" s="507">
        <v>199265984.22999999</v>
      </c>
      <c r="M10" s="507">
        <v>225520451.75999999</v>
      </c>
      <c r="N10" s="1780">
        <v>230893768.72999999</v>
      </c>
      <c r="O10" s="516">
        <f t="shared" si="0"/>
        <v>1897389927.3485501</v>
      </c>
      <c r="P10" s="208"/>
      <c r="R10" s="1633"/>
    </row>
    <row r="11" spans="1:20" s="39" customFormat="1">
      <c r="A11" s="508" t="s">
        <v>458</v>
      </c>
      <c r="B11" s="507">
        <v>72548545.576800004</v>
      </c>
      <c r="C11" s="507">
        <v>331613866.00516498</v>
      </c>
      <c r="D11" s="507">
        <v>400373294.9199999</v>
      </c>
      <c r="E11" s="507">
        <v>439956624.98000002</v>
      </c>
      <c r="F11" s="507">
        <v>522387059.45000005</v>
      </c>
      <c r="G11" s="507">
        <v>623835085.87950003</v>
      </c>
      <c r="H11" s="507">
        <v>751893113.57000005</v>
      </c>
      <c r="I11" s="507">
        <v>830238495.24000001</v>
      </c>
      <c r="J11" s="507">
        <v>931432716.68999994</v>
      </c>
      <c r="K11" s="507">
        <v>1023346377.39</v>
      </c>
      <c r="L11" s="507">
        <v>1141783196.8699999</v>
      </c>
      <c r="M11" s="507">
        <v>1288685830.7</v>
      </c>
      <c r="N11" s="1780">
        <v>1326481555.6400001</v>
      </c>
      <c r="O11" s="516">
        <f t="shared" si="0"/>
        <v>9684575762.9114647</v>
      </c>
      <c r="P11" s="208"/>
      <c r="R11" s="1633"/>
    </row>
    <row r="12" spans="1:20" s="1017" customFormat="1" ht="18.75" customHeight="1">
      <c r="A12" s="510" t="s">
        <v>23</v>
      </c>
      <c r="B12" s="1016">
        <f>SUM(B4:B11)</f>
        <v>1813713639.4200003</v>
      </c>
      <c r="C12" s="1016">
        <f>SUM(C4:C11)-0.3</f>
        <v>6547406092.6799974</v>
      </c>
      <c r="D12" s="1016">
        <f>SUM(D4:D11)</f>
        <v>8393553851.0549612</v>
      </c>
      <c r="E12" s="1016">
        <f t="shared" ref="E12:J12" si="1">SUM(E4:E11)</f>
        <v>9613650449.1000004</v>
      </c>
      <c r="F12" s="1016">
        <f>SUM(F4:F11)</f>
        <v>14892605258.139002</v>
      </c>
      <c r="G12" s="1016">
        <f t="shared" si="1"/>
        <v>15887938438.049995</v>
      </c>
      <c r="H12" s="1016">
        <f t="shared" si="1"/>
        <v>18789773765.600002</v>
      </c>
      <c r="I12" s="1016">
        <f t="shared" si="1"/>
        <v>23938490112.329998</v>
      </c>
      <c r="J12" s="1016">
        <f t="shared" si="1"/>
        <v>23585106301.459995</v>
      </c>
      <c r="K12" s="1016">
        <f>SUM(K4:K11)+0.1</f>
        <v>26400473552.349998</v>
      </c>
      <c r="L12" s="1016">
        <f>SUM(L4:L11)+0.01</f>
        <v>29506184318.749996</v>
      </c>
      <c r="M12" s="1016">
        <f>SUM(M4:M11)</f>
        <v>33591892120.470001</v>
      </c>
      <c r="N12" s="1016">
        <f>SUM(N4:N11)</f>
        <v>34498899413.919998</v>
      </c>
      <c r="O12" s="1632">
        <f>SUM(O4:O11)-0.19</f>
        <v>247459687313.32397</v>
      </c>
      <c r="P12" s="1266"/>
      <c r="R12" s="1633"/>
    </row>
    <row r="13" spans="1:20" s="39" customFormat="1" ht="12" customHeight="1">
      <c r="A13" s="107"/>
      <c r="B13" s="107"/>
      <c r="C13" s="1050"/>
      <c r="D13" s="107"/>
      <c r="E13" s="107"/>
      <c r="F13" s="107"/>
      <c r="G13" s="107"/>
      <c r="H13" s="107"/>
      <c r="I13" s="107"/>
      <c r="J13" s="107"/>
      <c r="K13"/>
      <c r="L13"/>
      <c r="M13" s="77"/>
      <c r="N13" s="77"/>
      <c r="O13"/>
      <c r="P13" s="507"/>
      <c r="R13" s="1633"/>
    </row>
    <row r="14" spans="1:20">
      <c r="A14" s="107"/>
      <c r="B14" s="107"/>
      <c r="C14" s="107"/>
      <c r="D14" s="107"/>
      <c r="E14" s="107"/>
      <c r="F14" s="107"/>
      <c r="G14" s="107"/>
      <c r="H14" s="107"/>
      <c r="I14" s="107"/>
      <c r="J14" s="107"/>
      <c r="R14" s="1633"/>
    </row>
    <row r="15" spans="1:20">
      <c r="A15" s="37"/>
      <c r="B15" s="96"/>
      <c r="C15" s="37"/>
      <c r="D15" s="156"/>
      <c r="E15" s="156"/>
      <c r="F15" s="156"/>
      <c r="G15" s="156"/>
      <c r="H15" s="156"/>
      <c r="I15" s="156"/>
      <c r="J15" s="156"/>
      <c r="K15" s="156"/>
      <c r="L15" s="156"/>
      <c r="M15" s="156"/>
      <c r="N15" s="156"/>
      <c r="Q15" s="173"/>
      <c r="R15" s="1633"/>
      <c r="S15" s="77"/>
      <c r="T15" s="77"/>
    </row>
    <row r="16" spans="1:20">
      <c r="A16" s="37"/>
      <c r="B16" s="96"/>
      <c r="C16" s="37"/>
      <c r="D16" s="156"/>
      <c r="E16" s="156"/>
      <c r="F16" s="156"/>
      <c r="G16" s="156"/>
      <c r="H16" s="156"/>
      <c r="I16" s="156"/>
      <c r="J16" s="156"/>
      <c r="K16" s="156"/>
      <c r="L16" s="156"/>
      <c r="N16" s="156"/>
      <c r="Q16" s="77"/>
      <c r="R16" s="1633"/>
      <c r="S16" s="77"/>
      <c r="T16" s="77"/>
    </row>
    <row r="17" spans="1:20">
      <c r="A17" s="37"/>
      <c r="B17" s="96"/>
      <c r="C17" s="37"/>
      <c r="D17" s="37"/>
      <c r="E17" s="37"/>
      <c r="F17" s="37"/>
      <c r="G17" s="37"/>
      <c r="H17" s="37"/>
      <c r="I17" s="37"/>
      <c r="J17" s="37"/>
      <c r="Q17" s="77"/>
      <c r="R17" s="1633"/>
      <c r="S17" s="77"/>
      <c r="T17" s="77"/>
    </row>
    <row r="18" spans="1:20">
      <c r="A18" s="37"/>
      <c r="B18" s="96"/>
      <c r="C18" s="37"/>
      <c r="D18" s="37"/>
      <c r="E18" s="37"/>
      <c r="F18" s="37"/>
      <c r="G18" s="37"/>
      <c r="H18" s="37"/>
      <c r="I18" s="37"/>
      <c r="J18" s="37"/>
      <c r="P18" s="277"/>
      <c r="Q18" s="77"/>
      <c r="R18" s="1633"/>
      <c r="S18" s="77"/>
      <c r="T18" s="77"/>
    </row>
    <row r="19" spans="1:20">
      <c r="A19" s="37"/>
      <c r="B19" s="96"/>
      <c r="C19" s="37"/>
      <c r="D19" s="37"/>
      <c r="E19" s="37"/>
      <c r="F19" s="37"/>
      <c r="G19" s="37"/>
      <c r="H19" s="37"/>
      <c r="I19" s="37"/>
      <c r="J19" s="37"/>
      <c r="Q19" s="77"/>
      <c r="R19" s="1633"/>
      <c r="S19" s="77"/>
      <c r="T19" s="77"/>
    </row>
    <row r="20" spans="1:20">
      <c r="C20" s="37"/>
      <c r="D20" s="37"/>
      <c r="E20" s="37"/>
      <c r="F20" s="37"/>
      <c r="G20" s="37"/>
      <c r="H20" s="37"/>
      <c r="I20" s="37"/>
      <c r="J20" s="37"/>
      <c r="K20" s="37"/>
      <c r="L20" s="37"/>
      <c r="M20" s="96"/>
      <c r="N20" s="96"/>
      <c r="O20" s="37"/>
      <c r="Q20" s="77"/>
      <c r="R20" s="1633"/>
      <c r="S20" s="77"/>
      <c r="T20" s="77"/>
    </row>
    <row r="21" spans="1:20" ht="18.75">
      <c r="P21" s="1631"/>
      <c r="Q21" s="77"/>
      <c r="R21" s="1633"/>
      <c r="S21" s="77"/>
      <c r="T21" s="77"/>
    </row>
    <row r="22" spans="1:20">
      <c r="I22">
        <v>34093498.089999996</v>
      </c>
      <c r="Q22" s="77"/>
      <c r="R22" s="1633"/>
      <c r="S22" s="77"/>
      <c r="T22" s="77"/>
    </row>
    <row r="23" spans="1:20">
      <c r="Q23" s="77"/>
      <c r="R23" s="1633"/>
      <c r="S23" s="77"/>
      <c r="T23" s="77"/>
    </row>
    <row r="24" spans="1:20">
      <c r="Q24" s="77"/>
      <c r="R24" s="1633"/>
      <c r="S24" s="77"/>
      <c r="T24" s="77"/>
    </row>
    <row r="25" spans="1:20">
      <c r="Q25" s="77"/>
      <c r="R25" s="1633"/>
      <c r="S25" s="77"/>
      <c r="T25" s="77"/>
    </row>
    <row r="26" spans="1:20">
      <c r="Q26" s="77"/>
      <c r="R26" s="1633"/>
      <c r="S26" s="77"/>
      <c r="T26" s="77"/>
    </row>
    <row r="27" spans="1:20">
      <c r="Q27" s="77"/>
      <c r="R27" s="1633"/>
      <c r="S27" s="77"/>
      <c r="T27" s="77"/>
    </row>
    <row r="28" spans="1:20">
      <c r="Q28" s="77"/>
      <c r="R28" s="1633"/>
      <c r="S28" s="77"/>
      <c r="T28" s="77"/>
    </row>
    <row r="29" spans="1:20">
      <c r="Q29" s="77"/>
      <c r="R29" s="1633"/>
      <c r="S29" s="77"/>
      <c r="T29" s="77"/>
    </row>
    <row r="30" spans="1:20">
      <c r="Q30" s="77"/>
      <c r="R30" s="1633"/>
      <c r="S30" s="77"/>
      <c r="T30" s="77"/>
    </row>
    <row r="31" spans="1:20">
      <c r="Q31" s="77"/>
      <c r="R31" s="1633"/>
      <c r="S31" s="77"/>
      <c r="T31" s="77"/>
    </row>
    <row r="32" spans="1:20">
      <c r="Q32" s="77"/>
      <c r="R32" s="1633"/>
      <c r="S32" s="77"/>
      <c r="T32" s="77"/>
    </row>
    <row r="33" spans="17:20">
      <c r="Q33" s="77"/>
      <c r="R33" s="1633"/>
      <c r="S33" s="77"/>
      <c r="T33" s="77"/>
    </row>
    <row r="34" spans="17:20">
      <c r="R34" s="1633"/>
      <c r="S34" s="77"/>
      <c r="T34" s="77"/>
    </row>
    <row r="38" spans="17:20" ht="58.5" customHeight="1"/>
    <row r="39" spans="17:20" ht="51.75" customHeight="1"/>
  </sheetData>
  <mergeCells count="1">
    <mergeCell ref="A1:O1"/>
  </mergeCells>
  <printOptions horizontalCentered="1" verticalCentered="1"/>
  <pageMargins left="0.39370078740157483" right="0.39370078740157483" top="0.23622047244094491" bottom="0.23622047244094491" header="0.31496062992125984" footer="0.31496062992125984"/>
  <pageSetup scale="48" orientation="landscape" r:id="rId1"/>
  <drawing r:id="rId2"/>
  <legacyDrawing r:id="rId3"/>
</worksheet>
</file>

<file path=xl/worksheets/sheet8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92">
    <tabColor theme="9" tint="-0.249977111117893"/>
    <pageSetUpPr fitToPage="1"/>
  </sheetPr>
  <dimension ref="A1:O33"/>
  <sheetViews>
    <sheetView showGridLines="0" view="pageBreakPreview" zoomScale="85" zoomScaleNormal="100" zoomScaleSheetLayoutView="85" workbookViewId="0">
      <pane xSplit="1" ySplit="3" topLeftCell="B4" activePane="bottomRight" state="frozen"/>
      <selection pane="topRight" activeCell="B1" sqref="B1"/>
      <selection pane="bottomLeft" activeCell="A4" sqref="A4"/>
      <selection pane="bottomRight" activeCell="M32" sqref="M32"/>
    </sheetView>
  </sheetViews>
  <sheetFormatPr baseColWidth="10" defaultColWidth="11.42578125" defaultRowHeight="15"/>
  <cols>
    <col min="1" max="1" width="26.140625" style="165" customWidth="1"/>
    <col min="2" max="2" width="18.85546875" style="966" customWidth="1"/>
    <col min="3" max="3" width="18.42578125" style="966" customWidth="1"/>
    <col min="4" max="4" width="18.7109375" style="966" customWidth="1"/>
    <col min="5" max="5" width="18.28515625" style="966" customWidth="1"/>
    <col min="6" max="6" width="18.42578125" style="966" customWidth="1"/>
    <col min="7" max="7" width="19" style="966" customWidth="1"/>
    <col min="8" max="8" width="18.42578125" style="966" customWidth="1"/>
    <col min="9" max="9" width="17.5703125" style="966" customWidth="1"/>
    <col min="10" max="10" width="18.140625" style="966" customWidth="1"/>
    <col min="11" max="11" width="22" style="966" customWidth="1"/>
    <col min="12" max="12" width="19.140625" style="165" bestFit="1" customWidth="1"/>
    <col min="13" max="13" width="20.28515625" style="165" customWidth="1"/>
    <col min="14" max="14" width="17.7109375" style="165" customWidth="1"/>
    <col min="15" max="16384" width="11.42578125" style="165"/>
  </cols>
  <sheetData>
    <row r="1" spans="1:15" s="1027" customFormat="1" ht="69.75" customHeight="1">
      <c r="A1" s="2137"/>
      <c r="B1" s="2137"/>
      <c r="C1" s="2137"/>
      <c r="D1" s="2137"/>
      <c r="E1" s="2138"/>
      <c r="F1" s="2138"/>
      <c r="G1" s="2138"/>
      <c r="H1" s="2138"/>
      <c r="I1" s="2138"/>
      <c r="J1" s="2138"/>
      <c r="K1" s="2138"/>
    </row>
    <row r="2" spans="1:15" ht="3" customHeight="1">
      <c r="A2" s="2139"/>
      <c r="B2" s="2139"/>
      <c r="C2" s="2139"/>
      <c r="D2" s="2139"/>
      <c r="E2" s="2139"/>
    </row>
    <row r="3" spans="1:15">
      <c r="A3" s="1024" t="s">
        <v>690</v>
      </c>
      <c r="B3" s="1024">
        <v>2007</v>
      </c>
      <c r="C3" s="1024">
        <v>2008</v>
      </c>
      <c r="D3" s="1024">
        <v>2009</v>
      </c>
      <c r="E3" s="1024">
        <v>2010</v>
      </c>
      <c r="F3" s="1024">
        <v>2011</v>
      </c>
      <c r="G3" s="1024">
        <v>2012</v>
      </c>
      <c r="H3" s="1024">
        <v>2013</v>
      </c>
      <c r="I3" s="1024">
        <v>2014</v>
      </c>
      <c r="J3" s="1024" t="s">
        <v>1014</v>
      </c>
      <c r="K3" s="1019" t="s">
        <v>23</v>
      </c>
    </row>
    <row r="4" spans="1:15">
      <c r="A4" s="1023" t="s">
        <v>691</v>
      </c>
      <c r="B4" s="1021">
        <v>3896639289.1799998</v>
      </c>
      <c r="C4" s="1021">
        <v>4570903792.9299994</v>
      </c>
      <c r="D4" s="1021">
        <v>5127213702.0100002</v>
      </c>
      <c r="E4" s="1021">
        <v>5965945993.5299997</v>
      </c>
      <c r="F4" s="1021">
        <v>6792749911.8199997</v>
      </c>
      <c r="G4" s="1021">
        <v>7567165884.04</v>
      </c>
      <c r="H4" s="1021">
        <v>8351861912.6199999</v>
      </c>
      <c r="I4" s="1021">
        <v>9372228723.6000004</v>
      </c>
      <c r="J4" s="1793">
        <v>9424719599.8700008</v>
      </c>
      <c r="K4" s="1026">
        <f>SUM(B4:J4)</f>
        <v>61069428809.599998</v>
      </c>
      <c r="M4" s="1685"/>
    </row>
    <row r="5" spans="1:15">
      <c r="A5" s="1023" t="s">
        <v>692</v>
      </c>
      <c r="B5" s="1021">
        <v>2551754118.0300002</v>
      </c>
      <c r="C5" s="1021">
        <v>3168698601.8099999</v>
      </c>
      <c r="D5" s="1021">
        <v>3771931923.9200001</v>
      </c>
      <c r="E5" s="1022">
        <v>4450570154.0799999</v>
      </c>
      <c r="F5" s="1022">
        <v>5054903417.1899996</v>
      </c>
      <c r="G5" s="1022">
        <v>5603825462.54</v>
      </c>
      <c r="H5" s="1022">
        <v>6226328941.2299995</v>
      </c>
      <c r="I5" s="1022">
        <v>7037206925.1000004</v>
      </c>
      <c r="J5" s="1794">
        <v>7149904626.04</v>
      </c>
      <c r="K5" s="1026">
        <f t="shared" ref="K5:K16" si="0">SUM(B5:J5)</f>
        <v>45015124169.940002</v>
      </c>
      <c r="M5" s="1685"/>
    </row>
    <row r="6" spans="1:15">
      <c r="A6" s="1023" t="s">
        <v>693</v>
      </c>
      <c r="B6" s="1021">
        <v>2266873888.1500001</v>
      </c>
      <c r="C6" s="1021">
        <v>2863767247.7999997</v>
      </c>
      <c r="D6" s="1021">
        <v>3229505512.04</v>
      </c>
      <c r="E6" s="1021">
        <v>3718695634.1799998</v>
      </c>
      <c r="F6" s="1021">
        <v>4137582105.3299999</v>
      </c>
      <c r="G6" s="1021">
        <v>4502729418.6199999</v>
      </c>
      <c r="H6" s="1021">
        <v>4925810752.3199997</v>
      </c>
      <c r="I6" s="1021">
        <v>5446047936.6899996</v>
      </c>
      <c r="J6" s="1793">
        <v>5444872272.0600004</v>
      </c>
      <c r="K6" s="1026">
        <f t="shared" si="0"/>
        <v>36535884767.189995</v>
      </c>
      <c r="M6" s="1685"/>
    </row>
    <row r="7" spans="1:15">
      <c r="A7" s="1023" t="s">
        <v>694</v>
      </c>
      <c r="B7" s="1021">
        <v>2149146697.4099998</v>
      </c>
      <c r="C7" s="1021">
        <v>2679324664.4199996</v>
      </c>
      <c r="D7" s="1021">
        <v>3096887625.7399998</v>
      </c>
      <c r="E7" s="1021">
        <v>3519159080.6300001</v>
      </c>
      <c r="F7" s="1021">
        <v>3941063818.23</v>
      </c>
      <c r="G7" s="1021">
        <v>4330972853.0100002</v>
      </c>
      <c r="H7" s="1021">
        <v>4805863540.1999998</v>
      </c>
      <c r="I7" s="1021">
        <v>5484476424.1499996</v>
      </c>
      <c r="J7" s="1793">
        <v>5632586108.5600004</v>
      </c>
      <c r="K7" s="1026">
        <f t="shared" si="0"/>
        <v>35639480812.349998</v>
      </c>
      <c r="M7" s="1685"/>
    </row>
    <row r="8" spans="1:15">
      <c r="A8" s="1023" t="s">
        <v>695</v>
      </c>
      <c r="B8" s="1021">
        <v>2506661252.1799998</v>
      </c>
      <c r="C8" s="1021">
        <v>1248802102.6499996</v>
      </c>
      <c r="D8" s="1021">
        <f>404625934.49+1668779864.91</f>
        <v>2073405799.4000001</v>
      </c>
      <c r="E8" s="1021">
        <v>4533600158.2799997</v>
      </c>
      <c r="F8" s="1021">
        <v>1778670755.26</v>
      </c>
      <c r="G8" s="1021">
        <v>2480628728.6799998</v>
      </c>
      <c r="H8" s="1021">
        <v>3222408620.1399999</v>
      </c>
      <c r="I8" s="1021">
        <v>4034197568.6300001</v>
      </c>
      <c r="J8" s="1793">
        <v>4729785831.1599998</v>
      </c>
      <c r="K8" s="1026">
        <f t="shared" si="0"/>
        <v>26608160816.380001</v>
      </c>
      <c r="M8" s="1685"/>
      <c r="O8" s="166"/>
    </row>
    <row r="9" spans="1:15">
      <c r="A9" s="1023" t="s">
        <v>696</v>
      </c>
      <c r="B9" s="1021">
        <v>774512624.44000006</v>
      </c>
      <c r="C9" s="1021">
        <v>748630146.91999948</v>
      </c>
      <c r="D9" s="1021">
        <v>840977009.04999995</v>
      </c>
      <c r="E9" s="1021">
        <v>992213304.35000002</v>
      </c>
      <c r="F9" s="1021">
        <v>1107733950.95</v>
      </c>
      <c r="G9" s="1021">
        <v>1094022671.29</v>
      </c>
      <c r="H9" s="1021">
        <v>1144491746.49</v>
      </c>
      <c r="I9" s="1021">
        <v>1272122891.76</v>
      </c>
      <c r="J9" s="1793">
        <v>1127195851.6900001</v>
      </c>
      <c r="K9" s="1026">
        <f t="shared" si="0"/>
        <v>9101900196.9400005</v>
      </c>
      <c r="M9" s="1685"/>
      <c r="O9" s="166"/>
    </row>
    <row r="10" spans="1:15">
      <c r="A10" s="1023" t="s">
        <v>697</v>
      </c>
      <c r="B10" s="1021">
        <v>127079644.02</v>
      </c>
      <c r="C10" s="1021">
        <v>141249516.77999949</v>
      </c>
      <c r="D10" s="1021">
        <v>158219635.06999999</v>
      </c>
      <c r="E10" s="1021">
        <v>174095495.24000001</v>
      </c>
      <c r="F10" s="1021">
        <v>190728829.88999999</v>
      </c>
      <c r="G10" s="1021">
        <v>206568120.59</v>
      </c>
      <c r="H10" s="1021">
        <v>208202387.41</v>
      </c>
      <c r="I10" s="1021">
        <v>222180882.56999999</v>
      </c>
      <c r="J10" s="1793">
        <v>228416411.44999999</v>
      </c>
      <c r="K10" s="1026">
        <f t="shared" si="0"/>
        <v>1656740923.0199995</v>
      </c>
      <c r="M10" s="1685"/>
      <c r="O10" s="166"/>
    </row>
    <row r="11" spans="1:15">
      <c r="A11" s="1023" t="s">
        <v>698</v>
      </c>
      <c r="B11" s="1021">
        <v>130598212.33</v>
      </c>
      <c r="C11" s="1021">
        <f>10195.51+140109971.909999</f>
        <v>140120167.419999</v>
      </c>
      <c r="D11" s="1021">
        <v>132002937.52</v>
      </c>
      <c r="E11" s="1021">
        <v>188169177.71000001</v>
      </c>
      <c r="F11" s="1021">
        <v>162448764.52000001</v>
      </c>
      <c r="G11" s="1021">
        <v>179079077.34999999</v>
      </c>
      <c r="H11" s="1021">
        <v>199265984.22999999</v>
      </c>
      <c r="I11" s="1021">
        <v>225520451.75999999</v>
      </c>
      <c r="J11" s="1793">
        <v>230893768.72999999</v>
      </c>
      <c r="K11" s="1026">
        <f t="shared" si="0"/>
        <v>1588098541.569999</v>
      </c>
      <c r="M11" s="1685"/>
      <c r="O11" s="166"/>
    </row>
    <row r="12" spans="1:15">
      <c r="A12" s="1023" t="s">
        <v>699</v>
      </c>
      <c r="B12" s="1021">
        <v>116728695.88</v>
      </c>
      <c r="C12" s="1021">
        <f>135454.64+128700283.909999</f>
        <v>128835738.549999</v>
      </c>
      <c r="D12" s="1021">
        <v>141712961.19</v>
      </c>
      <c r="E12" s="1021">
        <v>151761692.43000001</v>
      </c>
      <c r="F12" s="1021">
        <v>158251341.78999999</v>
      </c>
      <c r="G12" s="1021">
        <v>167851347.52000001</v>
      </c>
      <c r="H12" s="1021">
        <v>180758062.49000001</v>
      </c>
      <c r="I12" s="1021">
        <v>232726430.84</v>
      </c>
      <c r="J12" s="1793">
        <v>276474349.44</v>
      </c>
      <c r="K12" s="1026">
        <f t="shared" si="0"/>
        <v>1555100620.1299989</v>
      </c>
      <c r="M12" s="1685"/>
      <c r="O12" s="166"/>
    </row>
    <row r="13" spans="1:15">
      <c r="A13" s="1023" t="s">
        <v>700</v>
      </c>
      <c r="B13" s="1021">
        <v>125606436.54000001</v>
      </c>
      <c r="C13" s="1021">
        <v>127343178.10999948</v>
      </c>
      <c r="D13" s="1021">
        <v>142590994.78999999</v>
      </c>
      <c r="E13" s="1021">
        <v>156700574.58000001</v>
      </c>
      <c r="F13" s="1021">
        <v>169166188</v>
      </c>
      <c r="G13" s="1021">
        <v>175519298.81999999</v>
      </c>
      <c r="H13" s="1021">
        <v>156812897.62</v>
      </c>
      <c r="I13" s="1021">
        <v>166503057</v>
      </c>
      <c r="J13" s="1793">
        <v>160666361.31999999</v>
      </c>
      <c r="K13" s="1026">
        <f t="shared" si="0"/>
        <v>1380908986.7799995</v>
      </c>
      <c r="M13" s="1685"/>
      <c r="O13" s="166"/>
    </row>
    <row r="14" spans="1:15">
      <c r="A14" s="1023" t="s">
        <v>701</v>
      </c>
      <c r="B14" s="1021">
        <v>66693954.189999998</v>
      </c>
      <c r="C14" s="1021">
        <v>70263280.659999475</v>
      </c>
      <c r="D14" s="1021">
        <v>75325664.870000005</v>
      </c>
      <c r="E14" s="1021">
        <v>87578847.319999993</v>
      </c>
      <c r="F14" s="1021">
        <v>91807218.480000004</v>
      </c>
      <c r="G14" s="1021">
        <v>92110689.790000007</v>
      </c>
      <c r="H14" s="1021">
        <v>84379473.989999995</v>
      </c>
      <c r="I14" s="1021">
        <v>98680828.370000005</v>
      </c>
      <c r="J14" s="1793">
        <v>93384233.599999994</v>
      </c>
      <c r="K14" s="1026">
        <f t="shared" si="0"/>
        <v>760224191.2699995</v>
      </c>
      <c r="M14" s="1685"/>
      <c r="O14" s="166"/>
    </row>
    <row r="15" spans="1:15">
      <c r="A15" s="1023" t="s">
        <v>702</v>
      </c>
      <c r="B15" s="1021">
        <v>116692988.65000001</v>
      </c>
      <c r="C15" s="1286">
        <v>0</v>
      </c>
      <c r="D15" s="1286">
        <v>0</v>
      </c>
      <c r="E15" s="1286">
        <v>0</v>
      </c>
      <c r="F15" s="1286">
        <v>0</v>
      </c>
      <c r="G15" s="1286">
        <v>0</v>
      </c>
      <c r="H15" s="1286">
        <v>0</v>
      </c>
      <c r="I15" s="1286">
        <v>0</v>
      </c>
      <c r="J15" s="1286">
        <v>0</v>
      </c>
      <c r="K15" s="1026">
        <f t="shared" si="0"/>
        <v>116692988.65000001</v>
      </c>
      <c r="M15" s="1685"/>
      <c r="O15" s="166"/>
    </row>
    <row r="16" spans="1:15">
      <c r="A16" s="1023" t="s">
        <v>703</v>
      </c>
      <c r="B16" s="1021">
        <v>63617457.140000001</v>
      </c>
      <c r="C16" s="1286">
        <v>0</v>
      </c>
      <c r="D16" s="1286">
        <v>0</v>
      </c>
      <c r="E16" s="1286">
        <v>0</v>
      </c>
      <c r="F16" s="1286">
        <v>0</v>
      </c>
      <c r="G16" s="1286">
        <v>0</v>
      </c>
      <c r="H16" s="1286">
        <v>0</v>
      </c>
      <c r="I16" s="1286">
        <v>0</v>
      </c>
      <c r="J16" s="1286">
        <v>0</v>
      </c>
      <c r="K16" s="1026">
        <f t="shared" si="0"/>
        <v>63617457.140000001</v>
      </c>
      <c r="M16" s="1685"/>
      <c r="O16" s="166"/>
    </row>
    <row r="17" spans="1:12">
      <c r="A17" s="1018" t="s">
        <v>690</v>
      </c>
      <c r="B17" s="1025">
        <f t="shared" ref="B17:I17" si="1">SUM(B4:B16)</f>
        <v>14892605258.140001</v>
      </c>
      <c r="C17" s="1025">
        <f>SUM(C4:C16)</f>
        <v>15887938438.049994</v>
      </c>
      <c r="D17" s="1025">
        <f t="shared" si="1"/>
        <v>18789773765.599998</v>
      </c>
      <c r="E17" s="1025">
        <f t="shared" si="1"/>
        <v>23938490112.330002</v>
      </c>
      <c r="F17" s="1025">
        <f t="shared" si="1"/>
        <v>23585106301.459999</v>
      </c>
      <c r="G17" s="1025">
        <f>SUM(G4:G16)+0.1</f>
        <v>26400473552.349998</v>
      </c>
      <c r="H17" s="1025">
        <f>SUM(H4:H16)+0.01</f>
        <v>29506184318.75</v>
      </c>
      <c r="I17" s="1025">
        <f t="shared" si="1"/>
        <v>33591892120.469997</v>
      </c>
      <c r="J17" s="1025">
        <f>SUM(J4:J16)</f>
        <v>34498899413.919998</v>
      </c>
      <c r="K17" s="1020">
        <f>SUM(K4:K16)</f>
        <v>221091363280.96002</v>
      </c>
      <c r="L17" s="1684"/>
    </row>
    <row r="18" spans="1:12">
      <c r="A18" s="2140" t="s">
        <v>720</v>
      </c>
      <c r="B18" s="2140"/>
      <c r="C18" s="2140"/>
      <c r="D18" s="2140"/>
      <c r="E18" s="2140"/>
      <c r="F18" s="2140"/>
      <c r="G18" s="2140"/>
      <c r="H18" s="2140"/>
      <c r="L18" s="1683"/>
    </row>
    <row r="19" spans="1:12">
      <c r="A19" s="225" t="s">
        <v>719</v>
      </c>
      <c r="C19" s="967"/>
      <c r="E19" s="968"/>
    </row>
    <row r="20" spans="1:12">
      <c r="C20" s="165"/>
      <c r="D20" s="165"/>
      <c r="E20" s="165"/>
      <c r="F20" s="165"/>
      <c r="G20" s="165"/>
    </row>
    <row r="21" spans="1:12">
      <c r="B21" s="165"/>
      <c r="C21" s="165"/>
      <c r="D21" s="165"/>
      <c r="E21" s="165"/>
      <c r="F21" s="165"/>
      <c r="G21" s="165"/>
      <c r="H21" s="165"/>
    </row>
    <row r="22" spans="1:12">
      <c r="C22" s="165"/>
      <c r="D22" s="165"/>
      <c r="E22" s="165"/>
      <c r="F22" s="165"/>
      <c r="G22" s="165"/>
    </row>
    <row r="23" spans="1:12">
      <c r="B23" s="165"/>
      <c r="C23" s="165"/>
      <c r="D23" s="165"/>
      <c r="E23" s="165"/>
      <c r="F23" s="165"/>
      <c r="G23" s="165"/>
      <c r="H23" s="165"/>
    </row>
    <row r="24" spans="1:12">
      <c r="C24" s="165"/>
      <c r="D24" s="165"/>
      <c r="E24" s="165"/>
      <c r="F24" s="165"/>
      <c r="G24" s="165"/>
    </row>
    <row r="25" spans="1:12">
      <c r="B25" s="165"/>
      <c r="C25" s="165"/>
      <c r="D25" s="165"/>
      <c r="E25" s="165"/>
      <c r="F25" s="165"/>
      <c r="G25" s="165"/>
      <c r="H25" s="165"/>
    </row>
    <row r="26" spans="1:12">
      <c r="C26" s="165"/>
      <c r="D26" s="165"/>
      <c r="E26" s="165"/>
      <c r="F26" s="165"/>
      <c r="G26" s="165"/>
    </row>
    <row r="27" spans="1:12">
      <c r="B27" s="165"/>
      <c r="C27" s="165"/>
      <c r="D27" s="165"/>
      <c r="E27" s="165"/>
      <c r="F27" s="165"/>
      <c r="G27" s="165"/>
      <c r="H27" s="165"/>
    </row>
    <row r="28" spans="1:12">
      <c r="C28" s="165"/>
      <c r="D28" s="165"/>
      <c r="E28" s="165"/>
      <c r="F28" s="165"/>
      <c r="G28" s="165"/>
    </row>
    <row r="29" spans="1:12">
      <c r="B29" s="165"/>
      <c r="C29" s="165"/>
      <c r="D29" s="165"/>
      <c r="E29" s="165"/>
      <c r="F29" s="165"/>
      <c r="G29" s="165"/>
      <c r="H29" s="165"/>
    </row>
    <row r="30" spans="1:12">
      <c r="C30" s="165"/>
      <c r="D30" s="165"/>
      <c r="E30" s="165"/>
      <c r="F30" s="165"/>
      <c r="G30" s="165"/>
    </row>
    <row r="31" spans="1:12">
      <c r="B31" s="165"/>
      <c r="C31" s="165"/>
      <c r="D31" s="165"/>
      <c r="E31" s="165"/>
      <c r="F31" s="165"/>
      <c r="G31" s="165"/>
      <c r="H31" s="165"/>
    </row>
    <row r="33" spans="3:3">
      <c r="C33" s="969"/>
    </row>
  </sheetData>
  <mergeCells count="3">
    <mergeCell ref="A1:K1"/>
    <mergeCell ref="A2:E2"/>
    <mergeCell ref="A18:H18"/>
  </mergeCells>
  <pageMargins left="0.7" right="0.7" top="0.75" bottom="0.75" header="0.3" footer="0.3"/>
  <pageSetup scale="54" orientation="landscape" r:id="rId1"/>
  <drawing r:id="rId2"/>
  <legacyDrawing r:id="rId3"/>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3">
    <tabColor rgb="FF00B0F0"/>
  </sheetPr>
  <dimension ref="A1:N20"/>
  <sheetViews>
    <sheetView showGridLines="0" view="pageBreakPreview" zoomScale="85" zoomScaleNormal="100" zoomScaleSheetLayoutView="85" workbookViewId="0">
      <pane ySplit="1" topLeftCell="A2" activePane="bottomLeft" state="frozen"/>
      <selection pane="bottomLeft" activeCell="G15" sqref="G15"/>
    </sheetView>
  </sheetViews>
  <sheetFormatPr baseColWidth="10" defaultColWidth="11.42578125" defaultRowHeight="22.5" customHeight="1"/>
  <cols>
    <col min="1" max="1" width="16.7109375" style="83" customWidth="1"/>
    <col min="2" max="2" width="29.28515625" style="83" customWidth="1"/>
    <col min="3" max="3" width="17.85546875" style="83" customWidth="1"/>
    <col min="4" max="4" width="27.5703125" style="83" customWidth="1"/>
    <col min="5" max="5" width="17.5703125" style="83" customWidth="1"/>
    <col min="6" max="6" width="24.7109375" style="83" bestFit="1" customWidth="1"/>
    <col min="7" max="8" width="18.5703125" style="83" bestFit="1" customWidth="1"/>
    <col min="9" max="9" width="13.28515625" style="83" customWidth="1"/>
    <col min="10" max="10" width="15.28515625" style="83" customWidth="1"/>
    <col min="11" max="11" width="2.140625" style="83" customWidth="1"/>
    <col min="12" max="12" width="23.7109375" style="83" customWidth="1"/>
    <col min="13" max="13" width="18.5703125" style="83" bestFit="1" customWidth="1"/>
    <col min="14" max="16384" width="11.42578125" style="83"/>
  </cols>
  <sheetData>
    <row r="1" spans="1:14" ht="71.25" customHeight="1">
      <c r="A1" s="2141"/>
      <c r="B1" s="2141"/>
      <c r="C1" s="2141"/>
      <c r="D1" s="2141"/>
      <c r="E1" s="2141"/>
      <c r="F1" s="2141"/>
      <c r="G1" s="2141"/>
      <c r="H1" s="2141"/>
      <c r="I1" s="2141"/>
      <c r="J1" s="2141"/>
      <c r="K1" s="2141"/>
    </row>
    <row r="2" spans="1:14" ht="7.5" customHeight="1">
      <c r="A2" s="2142"/>
      <c r="B2" s="2142"/>
      <c r="C2" s="2142"/>
      <c r="D2" s="2142"/>
      <c r="E2" s="2142"/>
      <c r="F2" s="2142"/>
      <c r="G2" s="2142"/>
      <c r="H2" s="2142"/>
      <c r="I2" s="2142"/>
      <c r="J2" s="2142"/>
      <c r="K2" s="120"/>
    </row>
    <row r="3" spans="1:14" ht="39" customHeight="1">
      <c r="A3" s="527" t="s">
        <v>45</v>
      </c>
      <c r="B3" s="525" t="s">
        <v>748</v>
      </c>
      <c r="C3" s="525" t="s">
        <v>185</v>
      </c>
      <c r="D3" s="1600" t="s">
        <v>745</v>
      </c>
      <c r="E3" s="526" t="s">
        <v>214</v>
      </c>
      <c r="L3" s="1062"/>
      <c r="M3" s="1509"/>
    </row>
    <row r="4" spans="1:14" ht="16.5" hidden="1" customHeight="1">
      <c r="A4" s="528">
        <v>2003</v>
      </c>
      <c r="B4" s="1149">
        <v>6849.88</v>
      </c>
      <c r="C4" s="1601"/>
      <c r="D4" s="1149">
        <v>617988.9</v>
      </c>
      <c r="E4" s="1150">
        <f>B4/D4</f>
        <v>1.1084147304263879E-2</v>
      </c>
    </row>
    <row r="5" spans="1:14" ht="16.5" hidden="1" customHeight="1">
      <c r="A5" s="528">
        <v>2004</v>
      </c>
      <c r="B5" s="1149">
        <v>14754.98</v>
      </c>
      <c r="C5" s="1601">
        <f t="shared" ref="C5:C15" si="0">B5/B4-1</f>
        <v>1.1540494140043327</v>
      </c>
      <c r="D5" s="1149">
        <v>909036.8</v>
      </c>
      <c r="E5" s="1150">
        <f t="shared" ref="E5:E13" si="1">B5/D5</f>
        <v>1.6231444095552567E-2</v>
      </c>
      <c r="F5" s="121"/>
    </row>
    <row r="6" spans="1:14" ht="16.5" customHeight="1">
      <c r="A6" s="528">
        <v>2005</v>
      </c>
      <c r="B6" s="1861">
        <v>23031.69</v>
      </c>
      <c r="C6" s="1862">
        <f t="shared" si="0"/>
        <v>0.56094349162113399</v>
      </c>
      <c r="D6" s="1863">
        <v>1020002</v>
      </c>
      <c r="E6" s="1864">
        <f t="shared" si="1"/>
        <v>2.2580043960698116E-2</v>
      </c>
      <c r="F6" s="121"/>
    </row>
    <row r="7" spans="1:14" ht="16.5" customHeight="1">
      <c r="A7" s="528">
        <v>2006</v>
      </c>
      <c r="B7" s="1865">
        <v>33521.17</v>
      </c>
      <c r="C7" s="1862">
        <f t="shared" si="0"/>
        <v>0.45543683507376143</v>
      </c>
      <c r="D7" s="1866">
        <v>1189801.8999999999</v>
      </c>
      <c r="E7" s="1867">
        <f t="shared" si="1"/>
        <v>2.817374051932511E-2</v>
      </c>
      <c r="F7" s="121"/>
    </row>
    <row r="8" spans="1:14" ht="16.5" customHeight="1">
      <c r="A8" s="528">
        <v>2007</v>
      </c>
      <c r="B8" s="1865">
        <v>48918.54</v>
      </c>
      <c r="C8" s="1862">
        <f t="shared" si="0"/>
        <v>0.45933271422208732</v>
      </c>
      <c r="D8" s="1866">
        <v>1364210.3</v>
      </c>
      <c r="E8" s="1867">
        <f t="shared" si="1"/>
        <v>3.5858503633933857E-2</v>
      </c>
      <c r="F8" s="121"/>
      <c r="G8" s="172"/>
    </row>
    <row r="9" spans="1:14" ht="16.5" customHeight="1">
      <c r="A9" s="528">
        <v>2008</v>
      </c>
      <c r="B9" s="1865">
        <v>68371.91</v>
      </c>
      <c r="C9" s="1862">
        <f t="shared" si="0"/>
        <v>0.39766865486991243</v>
      </c>
      <c r="D9" s="1866">
        <v>1576162.8</v>
      </c>
      <c r="E9" s="1867">
        <f t="shared" si="1"/>
        <v>4.3378710625577514E-2</v>
      </c>
      <c r="F9" s="121"/>
      <c r="H9" s="172"/>
    </row>
    <row r="10" spans="1:14" ht="16.5" customHeight="1">
      <c r="A10" s="528">
        <v>2009</v>
      </c>
      <c r="B10" s="1865">
        <v>94318.74</v>
      </c>
      <c r="C10" s="1862">
        <f t="shared" si="0"/>
        <v>0.37949546824127034</v>
      </c>
      <c r="D10" s="1866">
        <v>1678762.6</v>
      </c>
      <c r="E10" s="1867">
        <f>B10/D10</f>
        <v>5.6183488957878856E-2</v>
      </c>
      <c r="F10" s="121"/>
    </row>
    <row r="11" spans="1:14" ht="16.5" customHeight="1">
      <c r="A11" s="528">
        <v>2010</v>
      </c>
      <c r="B11" s="1865">
        <v>120339.19</v>
      </c>
      <c r="C11" s="1862">
        <f t="shared" si="0"/>
        <v>0.27587783721453452</v>
      </c>
      <c r="D11" s="1866">
        <v>1901896.7</v>
      </c>
      <c r="E11" s="1867">
        <f t="shared" si="1"/>
        <v>6.3273252432689955E-2</v>
      </c>
      <c r="F11" s="121"/>
      <c r="I11" s="84"/>
      <c r="J11" s="84"/>
      <c r="K11" s="84"/>
    </row>
    <row r="12" spans="1:14" s="77" customFormat="1" ht="16.5" customHeight="1">
      <c r="A12" s="528">
        <v>2011</v>
      </c>
      <c r="B12" s="1865">
        <v>154672.16</v>
      </c>
      <c r="C12" s="1862">
        <f t="shared" si="0"/>
        <v>0.28530165443194355</v>
      </c>
      <c r="D12" s="1866">
        <v>2119301.7999999998</v>
      </c>
      <c r="E12" s="1867">
        <f t="shared" si="1"/>
        <v>7.2982602100370983E-2</v>
      </c>
      <c r="F12" s="121"/>
      <c r="G12" s="48"/>
      <c r="H12" s="83"/>
      <c r="L12" s="83"/>
      <c r="M12" s="83"/>
      <c r="N12" s="83"/>
    </row>
    <row r="13" spans="1:14" s="77" customFormat="1" ht="16.5" customHeight="1">
      <c r="A13" s="528">
        <v>2012</v>
      </c>
      <c r="B13" s="1865">
        <v>198249.65</v>
      </c>
      <c r="C13" s="1862">
        <f t="shared" si="0"/>
        <v>0.28174100626770837</v>
      </c>
      <c r="D13" s="1866">
        <v>2316783.7000000002</v>
      </c>
      <c r="E13" s="1867">
        <f t="shared" si="1"/>
        <v>8.5571065611347308E-2</v>
      </c>
      <c r="F13" s="121"/>
      <c r="H13" s="83"/>
      <c r="L13" s="83"/>
      <c r="M13" s="83"/>
      <c r="N13" s="83"/>
    </row>
    <row r="14" spans="1:14" s="77" customFormat="1" ht="16.5" customHeight="1">
      <c r="A14" s="528">
        <v>2013</v>
      </c>
      <c r="B14" s="1865">
        <v>248516.38566900001</v>
      </c>
      <c r="C14" s="1862">
        <f t="shared" si="0"/>
        <v>0.25355270825951015</v>
      </c>
      <c r="D14" s="1866">
        <v>2534067.7999999998</v>
      </c>
      <c r="E14" s="1867">
        <f>B14/D14</f>
        <v>9.8070140691973604E-2</v>
      </c>
      <c r="F14" s="121"/>
      <c r="H14" s="83"/>
      <c r="M14" s="83"/>
      <c r="N14" s="83"/>
    </row>
    <row r="15" spans="1:14" s="77" customFormat="1" ht="16.5" customHeight="1">
      <c r="A15" s="528">
        <v>2014</v>
      </c>
      <c r="B15" s="1865">
        <v>305297.32352799998</v>
      </c>
      <c r="C15" s="1862">
        <f t="shared" si="0"/>
        <v>0.2284796541932117</v>
      </c>
      <c r="D15" s="1866">
        <v>2786229.7038019407</v>
      </c>
      <c r="E15" s="1867">
        <f>B15/D15</f>
        <v>0.10957363748990527</v>
      </c>
      <c r="F15" s="121"/>
      <c r="H15" s="83"/>
      <c r="L15" s="1509"/>
      <c r="M15" s="83"/>
      <c r="N15" s="83"/>
    </row>
    <row r="16" spans="1:14" s="77" customFormat="1" ht="16.5" customHeight="1">
      <c r="A16" s="529" t="s">
        <v>1032</v>
      </c>
      <c r="B16" s="1868">
        <f>362499413097/1000000</f>
        <v>362499.41309699998</v>
      </c>
      <c r="C16" s="1869"/>
      <c r="D16" s="1870">
        <v>2786229.7</v>
      </c>
      <c r="E16" s="1871">
        <f>B16/D16</f>
        <v>0.13010392255060663</v>
      </c>
      <c r="F16" s="121"/>
      <c r="H16" s="83"/>
      <c r="L16" s="277"/>
      <c r="M16" s="83"/>
      <c r="N16" s="83"/>
    </row>
    <row r="17" spans="1:12" ht="15" customHeight="1">
      <c r="A17" s="2143" t="s">
        <v>1037</v>
      </c>
      <c r="B17" s="2144"/>
      <c r="C17" s="2144"/>
      <c r="D17" s="2144"/>
      <c r="E17" s="2144"/>
      <c r="F17" s="121"/>
      <c r="G17" s="77"/>
      <c r="I17" s="77"/>
    </row>
    <row r="18" spans="1:12" ht="22.5" customHeight="1">
      <c r="L18" s="195"/>
    </row>
    <row r="19" spans="1:12" ht="22.5" customHeight="1">
      <c r="K19" s="85"/>
    </row>
    <row r="20" spans="1:12" ht="22.5" customHeight="1">
      <c r="K20" s="86"/>
    </row>
  </sheetData>
  <mergeCells count="3">
    <mergeCell ref="A1:K1"/>
    <mergeCell ref="A2:J2"/>
    <mergeCell ref="A17:E17"/>
  </mergeCells>
  <printOptions horizontalCentered="1" verticalCentered="1"/>
  <pageMargins left="0.39370078740157483" right="0.39370078740157483" top="0.23622047244094491" bottom="0.23622047244094491" header="0.31496062992125984" footer="0.31496062992125984"/>
  <pageSetup scale="65"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tabColor theme="9" tint="-0.499984740745262"/>
    <pageSetUpPr fitToPage="1"/>
  </sheetPr>
  <dimension ref="N3:S31"/>
  <sheetViews>
    <sheetView showGridLines="0" view="pageBreakPreview" zoomScaleNormal="100" zoomScaleSheetLayoutView="100" workbookViewId="0">
      <selection activeCell="O20" sqref="O20"/>
    </sheetView>
  </sheetViews>
  <sheetFormatPr baseColWidth="10" defaultColWidth="11.42578125" defaultRowHeight="15"/>
  <cols>
    <col min="1" max="3" width="11.42578125" style="77"/>
    <col min="4" max="8" width="11.5703125" style="77" customWidth="1"/>
    <col min="9" max="9" width="16.7109375" style="77" customWidth="1"/>
    <col min="10" max="11" width="11.5703125" style="77" customWidth="1"/>
    <col min="12" max="12" width="11.28515625" style="77" customWidth="1"/>
    <col min="13" max="13" width="11.5703125" style="77" customWidth="1"/>
    <col min="14" max="14" width="12.140625" style="77" customWidth="1"/>
    <col min="15" max="16384" width="11.42578125" style="77"/>
  </cols>
  <sheetData>
    <row r="3" spans="14:16" ht="18.75" customHeight="1"/>
    <row r="7" spans="14:16" ht="24.75" customHeight="1"/>
    <row r="8" spans="14:16" ht="12" customHeight="1"/>
    <row r="9" spans="14:16" ht="16.5" customHeight="1"/>
    <row r="11" spans="14:16">
      <c r="P11" s="173"/>
    </row>
    <row r="12" spans="14:16">
      <c r="P12" s="173"/>
    </row>
    <row r="13" spans="14:16">
      <c r="N13" s="277"/>
      <c r="P13" s="173"/>
    </row>
    <row r="14" spans="14:16">
      <c r="O14" s="500"/>
      <c r="P14" s="173"/>
    </row>
    <row r="15" spans="14:16">
      <c r="P15" s="173"/>
    </row>
    <row r="16" spans="14:16">
      <c r="P16" s="173"/>
    </row>
    <row r="17" spans="14:19">
      <c r="P17" s="173"/>
    </row>
    <row r="18" spans="14:19">
      <c r="N18" s="173"/>
      <c r="P18" s="173"/>
      <c r="S18" s="144"/>
    </row>
    <row r="19" spans="14:19">
      <c r="N19" s="173"/>
    </row>
    <row r="21" spans="14:19">
      <c r="N21" s="500"/>
      <c r="O21" s="500"/>
    </row>
    <row r="22" spans="14:19">
      <c r="N22" s="500"/>
    </row>
    <row r="23" spans="14:19">
      <c r="N23" s="500"/>
      <c r="O23" s="500"/>
    </row>
    <row r="24" spans="14:19">
      <c r="N24" s="500"/>
      <c r="O24" s="500"/>
    </row>
    <row r="25" spans="14:19">
      <c r="N25" s="500"/>
      <c r="O25" s="500"/>
    </row>
    <row r="26" spans="14:19">
      <c r="N26" s="500"/>
      <c r="O26" s="500"/>
    </row>
    <row r="27" spans="14:19">
      <c r="N27" s="500"/>
      <c r="O27" s="500"/>
    </row>
    <row r="28" spans="14:19">
      <c r="Q28" s="847" t="s">
        <v>733</v>
      </c>
    </row>
    <row r="31" spans="14:19">
      <c r="Q31" s="277"/>
    </row>
  </sheetData>
  <pageMargins left="0.70866141732283472" right="0.70866141732283472" top="0.74803149606299213" bottom="0.74803149606299213" header="0.31496062992125984" footer="0.31496062992125984"/>
  <pageSetup scale="79" orientation="landscape" r:id="rId1"/>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4">
    <tabColor theme="9" tint="-0.249977111117893"/>
    <pageSetUpPr fitToPage="1"/>
  </sheetPr>
  <dimension ref="A1:J29"/>
  <sheetViews>
    <sheetView showGridLines="0" view="pageBreakPreview" zoomScale="70" zoomScaleNormal="100" zoomScaleSheetLayoutView="70" workbookViewId="0">
      <selection activeCell="A3" sqref="A3"/>
    </sheetView>
  </sheetViews>
  <sheetFormatPr baseColWidth="10" defaultColWidth="11.42578125" defaultRowHeight="15"/>
  <cols>
    <col min="1" max="1" width="43.42578125" style="534" customWidth="1"/>
    <col min="2" max="2" width="28.140625" style="534" customWidth="1"/>
    <col min="3" max="3" width="18" style="534" customWidth="1"/>
    <col min="4" max="4" width="18.7109375" style="534" customWidth="1"/>
    <col min="5" max="5" width="14" style="534" customWidth="1"/>
    <col min="6" max="6" width="10.7109375" style="534" customWidth="1"/>
    <col min="7" max="7" width="17.140625" style="534" customWidth="1"/>
    <col min="8" max="8" width="20.85546875" style="534" customWidth="1"/>
    <col min="9" max="16384" width="11.42578125" style="534"/>
  </cols>
  <sheetData>
    <row r="1" spans="1:8" ht="64.5" customHeight="1">
      <c r="A1" s="2071"/>
      <c r="B1" s="2071"/>
      <c r="C1" s="2071"/>
      <c r="D1" s="2071"/>
      <c r="E1" s="2071"/>
      <c r="F1" s="2071"/>
      <c r="G1" s="2071"/>
      <c r="H1" s="2071"/>
    </row>
    <row r="2" spans="1:8" ht="16.5" customHeight="1"/>
    <row r="3" spans="1:8" ht="18.75" customHeight="1">
      <c r="A3" s="540" t="s">
        <v>599</v>
      </c>
      <c r="B3" s="541" t="s">
        <v>424</v>
      </c>
      <c r="C3" s="540" t="s">
        <v>600</v>
      </c>
    </row>
    <row r="4" spans="1:8" ht="15.75">
      <c r="A4" s="542" t="s">
        <v>601</v>
      </c>
      <c r="B4" s="1795">
        <v>152908089081.37</v>
      </c>
      <c r="C4" s="1204">
        <f t="shared" ref="C4:C11" si="0">B4/$B$12</f>
        <v>0.47239282940203486</v>
      </c>
    </row>
    <row r="5" spans="1:8" ht="15.75">
      <c r="A5" s="542" t="s">
        <v>602</v>
      </c>
      <c r="B5" s="1795">
        <v>7670517446.6999998</v>
      </c>
      <c r="C5" s="1204">
        <f t="shared" si="0"/>
        <v>2.3697225316157356E-2</v>
      </c>
    </row>
    <row r="6" spans="1:8" ht="15.75">
      <c r="A6" s="542" t="s">
        <v>603</v>
      </c>
      <c r="B6" s="1795">
        <v>85770435643.720001</v>
      </c>
      <c r="C6" s="1204">
        <f t="shared" si="0"/>
        <v>0.26497838679561775</v>
      </c>
      <c r="D6" s="1267"/>
    </row>
    <row r="7" spans="1:8" ht="15.75">
      <c r="A7" s="542" t="s">
        <v>604</v>
      </c>
      <c r="B7" s="1795">
        <v>1249624558.1199999</v>
      </c>
      <c r="C7" s="1204">
        <f t="shared" si="0"/>
        <v>3.8605784968409294E-3</v>
      </c>
    </row>
    <row r="8" spans="1:8" ht="15.75">
      <c r="A8" s="542" t="s">
        <v>605</v>
      </c>
      <c r="B8" s="1795">
        <v>881135790.21000004</v>
      </c>
      <c r="C8" s="1204">
        <f t="shared" si="0"/>
        <v>2.7221727217007895E-3</v>
      </c>
    </row>
    <row r="9" spans="1:8" ht="15.75">
      <c r="A9" s="542" t="s">
        <v>216</v>
      </c>
      <c r="B9" s="1795">
        <v>7933652064.9300003</v>
      </c>
      <c r="C9" s="1204">
        <f t="shared" si="0"/>
        <v>2.4510150960353631E-2</v>
      </c>
      <c r="D9" s="1267"/>
    </row>
    <row r="10" spans="1:8" ht="15.75">
      <c r="A10" s="542" t="s">
        <v>606</v>
      </c>
      <c r="B10" s="1795">
        <v>66922877807.489998</v>
      </c>
      <c r="C10" s="1204">
        <f t="shared" si="0"/>
        <v>0.2067509167705544</v>
      </c>
    </row>
    <row r="11" spans="1:8" ht="15.75">
      <c r="A11" s="542" t="s">
        <v>607</v>
      </c>
      <c r="B11" s="1795">
        <v>352088693.19999999</v>
      </c>
      <c r="C11" s="1204">
        <f t="shared" si="0"/>
        <v>1.0877395367402938E-3</v>
      </c>
    </row>
    <row r="12" spans="1:8" ht="15.75">
      <c r="A12" s="540" t="s">
        <v>23</v>
      </c>
      <c r="B12" s="1786">
        <f>SUM(B4:B11)</f>
        <v>323688421085.73999</v>
      </c>
      <c r="C12" s="1205">
        <f>SUM(C4:C11)</f>
        <v>1.0000000000000002</v>
      </c>
    </row>
    <row r="13" spans="1:8">
      <c r="A13" s="535" t="s">
        <v>1000</v>
      </c>
      <c r="B13" s="46"/>
      <c r="C13" s="536"/>
    </row>
    <row r="21" spans="10:10">
      <c r="J21" s="535"/>
    </row>
    <row r="27" spans="10:10">
      <c r="J27" s="535"/>
    </row>
    <row r="29" spans="10:10">
      <c r="J29" s="535"/>
    </row>
  </sheetData>
  <mergeCells count="1">
    <mergeCell ref="A1:H1"/>
  </mergeCells>
  <printOptions horizontalCentered="1" verticalCentered="1"/>
  <pageMargins left="0.4" right="0.4" top="0.25" bottom="0.25" header="0.3" footer="0.3"/>
  <pageSetup scale="67" orientation="landscape" r:id="rId1"/>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5">
    <tabColor theme="9" tint="-0.249977111117893"/>
  </sheetPr>
  <dimension ref="A1:I31"/>
  <sheetViews>
    <sheetView showGridLines="0" view="pageBreakPreview" zoomScale="70" zoomScaleNormal="100" zoomScaleSheetLayoutView="70" workbookViewId="0">
      <selection activeCell="J37" sqref="J37"/>
    </sheetView>
  </sheetViews>
  <sheetFormatPr baseColWidth="10" defaultColWidth="11.42578125" defaultRowHeight="15"/>
  <cols>
    <col min="1" max="1" width="33.85546875" style="165" customWidth="1"/>
    <col min="2" max="2" width="26.28515625" style="165" customWidth="1"/>
    <col min="3" max="3" width="15" style="165" customWidth="1"/>
    <col min="4" max="4" width="21.28515625" style="165" customWidth="1"/>
    <col min="5" max="5" width="18.85546875" style="165" bestFit="1" customWidth="1"/>
    <col min="6" max="6" width="20" style="165" customWidth="1"/>
    <col min="7" max="7" width="28.140625" style="165" customWidth="1"/>
    <col min="8" max="8" width="23.42578125" style="165" customWidth="1"/>
    <col min="9" max="16384" width="11.42578125" style="165"/>
  </cols>
  <sheetData>
    <row r="1" spans="1:9" ht="68.25" customHeight="1">
      <c r="A1" s="2145"/>
      <c r="B1" s="2146"/>
      <c r="C1" s="2146"/>
      <c r="D1" s="2146"/>
      <c r="E1" s="2146"/>
      <c r="F1" s="2146"/>
      <c r="G1" s="2146"/>
      <c r="H1" s="2146"/>
      <c r="I1" s="164"/>
    </row>
    <row r="2" spans="1:9" ht="6.75" customHeight="1">
      <c r="A2" s="2139"/>
      <c r="B2" s="2139"/>
      <c r="C2" s="2139"/>
    </row>
    <row r="3" spans="1:9" ht="15.75">
      <c r="A3" s="530" t="s">
        <v>423</v>
      </c>
      <c r="B3" s="533" t="s">
        <v>424</v>
      </c>
      <c r="C3" s="1784" t="s">
        <v>42</v>
      </c>
    </row>
    <row r="4" spans="1:9">
      <c r="A4" s="544" t="s">
        <v>425</v>
      </c>
      <c r="B4" s="1785">
        <v>66922877807.489998</v>
      </c>
      <c r="C4" s="1752">
        <v>0.19048377475611691</v>
      </c>
      <c r="D4" s="532"/>
    </row>
    <row r="5" spans="1:9">
      <c r="A5" s="544" t="s">
        <v>451</v>
      </c>
      <c r="B5" s="1785">
        <v>38607585473.470001</v>
      </c>
      <c r="C5" s="1752">
        <v>9.9478001307823291E-2</v>
      </c>
      <c r="D5" s="532"/>
    </row>
    <row r="6" spans="1:9">
      <c r="A6" s="544" t="s">
        <v>740</v>
      </c>
      <c r="B6" s="1785">
        <v>881135790.21000004</v>
      </c>
      <c r="C6" s="1752">
        <v>2.8384389062060789E-3</v>
      </c>
      <c r="D6" s="532"/>
    </row>
    <row r="7" spans="1:9">
      <c r="A7" s="544" t="s">
        <v>452</v>
      </c>
      <c r="B7" s="1787">
        <v>114300503607.89999</v>
      </c>
      <c r="C7" s="1752">
        <v>0.37923546953850823</v>
      </c>
      <c r="D7" s="532"/>
      <c r="E7" s="166"/>
      <c r="F7" s="166"/>
    </row>
    <row r="8" spans="1:9">
      <c r="A8" s="544" t="s">
        <v>434</v>
      </c>
      <c r="B8" s="1785">
        <v>71748837891.639999</v>
      </c>
      <c r="C8" s="1752">
        <v>0.2298844355111008</v>
      </c>
      <c r="D8" s="532"/>
    </row>
    <row r="9" spans="1:9">
      <c r="A9" s="544" t="s">
        <v>608</v>
      </c>
      <c r="B9" s="1785">
        <v>11048963116.690001</v>
      </c>
      <c r="C9" s="1752">
        <v>3.5592720404798509E-2</v>
      </c>
      <c r="D9" s="532"/>
      <c r="E9" s="166"/>
    </row>
    <row r="10" spans="1:9">
      <c r="A10" s="544" t="s">
        <v>426</v>
      </c>
      <c r="B10" s="1785">
        <v>7898855287.96</v>
      </c>
      <c r="C10" s="1752">
        <v>5.9269632341312606E-2</v>
      </c>
      <c r="D10" s="532"/>
    </row>
    <row r="11" spans="1:9">
      <c r="A11" s="544" t="s">
        <v>427</v>
      </c>
      <c r="B11" s="1785">
        <v>352088693.19999999</v>
      </c>
      <c r="C11" s="1752">
        <v>1.1049378313082096E-3</v>
      </c>
      <c r="D11" s="1268"/>
      <c r="E11" s="166"/>
    </row>
    <row r="12" spans="1:9">
      <c r="A12" s="544" t="s">
        <v>428</v>
      </c>
      <c r="B12" s="1785">
        <v>11927573417.18</v>
      </c>
      <c r="C12" s="1752">
        <v>2.1125894028255539E-3</v>
      </c>
      <c r="D12" s="1268"/>
    </row>
    <row r="13" spans="1:9">
      <c r="A13" s="531" t="s">
        <v>429</v>
      </c>
      <c r="B13" s="543">
        <f>SUM(B4:B12)</f>
        <v>323688421085.74005</v>
      </c>
      <c r="C13" s="1751">
        <v>1.0000000000000002</v>
      </c>
      <c r="D13" s="166"/>
    </row>
    <row r="14" spans="1:9">
      <c r="A14" s="225" t="s">
        <v>1001</v>
      </c>
      <c r="B14" s="167"/>
      <c r="F14" s="166"/>
    </row>
    <row r="15" spans="1:9">
      <c r="B15" s="167"/>
    </row>
    <row r="16" spans="1:9">
      <c r="B16" s="167"/>
    </row>
    <row r="17" spans="2:2">
      <c r="B17" s="167"/>
    </row>
    <row r="18" spans="2:2">
      <c r="B18" s="167"/>
    </row>
    <row r="19" spans="2:2">
      <c r="B19" s="167"/>
    </row>
    <row r="20" spans="2:2">
      <c r="B20" s="167"/>
    </row>
    <row r="21" spans="2:2">
      <c r="B21" s="167"/>
    </row>
    <row r="22" spans="2:2">
      <c r="B22" s="167"/>
    </row>
    <row r="23" spans="2:2">
      <c r="B23" s="167"/>
    </row>
    <row r="24" spans="2:2">
      <c r="B24" s="167"/>
    </row>
    <row r="25" spans="2:2">
      <c r="B25" s="167"/>
    </row>
    <row r="26" spans="2:2">
      <c r="B26" s="167"/>
    </row>
    <row r="27" spans="2:2">
      <c r="B27" s="167"/>
    </row>
    <row r="28" spans="2:2">
      <c r="B28" s="167"/>
    </row>
    <row r="29" spans="2:2">
      <c r="B29" s="167"/>
    </row>
    <row r="30" spans="2:2">
      <c r="B30" s="167"/>
    </row>
    <row r="31" spans="2:2">
      <c r="B31" s="167"/>
    </row>
  </sheetData>
  <mergeCells count="2">
    <mergeCell ref="A1:H1"/>
    <mergeCell ref="A2:C2"/>
  </mergeCells>
  <pageMargins left="0.7" right="0.7" top="0.75" bottom="0.75" header="0.3" footer="0.3"/>
  <pageSetup scale="61" orientation="landscape" r:id="rId1"/>
  <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6">
    <tabColor theme="9" tint="-0.249977111117893"/>
    <pageSetUpPr fitToPage="1"/>
  </sheetPr>
  <dimension ref="A1:S63"/>
  <sheetViews>
    <sheetView showGridLines="0" view="pageBreakPreview" zoomScale="55" zoomScaleNormal="100" zoomScaleSheetLayoutView="55" workbookViewId="0">
      <selection activeCell="U103" sqref="U103"/>
    </sheetView>
  </sheetViews>
  <sheetFormatPr baseColWidth="10" defaultColWidth="11.42578125" defaultRowHeight="15"/>
  <cols>
    <col min="1" max="1" width="17.28515625" style="87" customWidth="1"/>
    <col min="2" max="2" width="17.7109375" style="87" customWidth="1"/>
    <col min="3" max="3" width="21.140625" style="87" customWidth="1"/>
    <col min="4" max="12" width="11.42578125" style="87"/>
    <col min="13" max="13" width="10.85546875" style="87" customWidth="1"/>
    <col min="14" max="14" width="18" style="87" customWidth="1"/>
    <col min="15" max="15" width="11.140625" style="87" customWidth="1"/>
    <col min="16" max="16" width="11.42578125" style="87" customWidth="1"/>
    <col min="17" max="17" width="9.5703125" style="87" customWidth="1"/>
    <col min="18" max="16384" width="11.42578125" style="87"/>
  </cols>
  <sheetData>
    <row r="1" spans="1:19" ht="72" customHeight="1">
      <c r="A1" s="2071"/>
      <c r="B1" s="2071"/>
      <c r="C1" s="2071"/>
      <c r="D1" s="2071"/>
      <c r="E1" s="2071"/>
      <c r="F1" s="2071"/>
      <c r="G1" s="2071"/>
      <c r="H1" s="2071"/>
      <c r="I1" s="2071"/>
      <c r="J1" s="2071"/>
      <c r="K1" s="2071"/>
      <c r="L1" s="2071"/>
      <c r="M1" s="2071"/>
      <c r="N1" s="2071"/>
      <c r="O1" s="2071"/>
      <c r="P1" s="2071"/>
      <c r="Q1" s="2071"/>
      <c r="R1" s="2071"/>
      <c r="S1" s="2071"/>
    </row>
    <row r="2" spans="1:19" ht="34.5" customHeight="1">
      <c r="A2" s="2150" t="s">
        <v>625</v>
      </c>
      <c r="B2" s="2150"/>
      <c r="C2" s="2150"/>
      <c r="D2" s="2150"/>
      <c r="E2" s="2150"/>
      <c r="F2" s="2150"/>
      <c r="G2" s="2150"/>
      <c r="H2" s="2150"/>
      <c r="I2" s="2150"/>
      <c r="J2" s="2150"/>
      <c r="K2" s="2150"/>
      <c r="L2" s="2150"/>
      <c r="M2" s="2150"/>
      <c r="N2" s="2150"/>
      <c r="O2" s="2150"/>
      <c r="P2" s="2150"/>
      <c r="Q2" s="2150"/>
      <c r="R2" s="2150"/>
      <c r="S2" s="2150"/>
    </row>
    <row r="3" spans="1:19" ht="48" customHeight="1">
      <c r="A3" s="2147" t="s">
        <v>172</v>
      </c>
      <c r="B3" s="2148"/>
      <c r="C3" s="2149"/>
      <c r="D3" s="104"/>
      <c r="E3" s="104"/>
      <c r="F3" s="104"/>
      <c r="G3" s="104"/>
      <c r="H3" s="104"/>
      <c r="I3" s="104"/>
      <c r="J3" s="104"/>
      <c r="K3" s="104"/>
      <c r="L3" s="104"/>
      <c r="M3" s="104"/>
      <c r="N3" s="104"/>
      <c r="O3" s="104"/>
      <c r="P3" s="104"/>
      <c r="Q3" s="104"/>
    </row>
    <row r="4" spans="1:19" ht="48" customHeight="1">
      <c r="A4" s="1602" t="s">
        <v>45</v>
      </c>
      <c r="B4" s="1603" t="s">
        <v>171</v>
      </c>
      <c r="C4" s="1604" t="s">
        <v>170</v>
      </c>
      <c r="D4" s="104"/>
      <c r="E4" s="104"/>
      <c r="F4" s="104"/>
      <c r="G4" s="547"/>
      <c r="H4" s="547"/>
      <c r="I4" s="547"/>
      <c r="J4" s="547"/>
      <c r="K4" s="547"/>
      <c r="L4" s="104"/>
      <c r="M4" s="104"/>
      <c r="N4" s="104"/>
      <c r="O4" s="104"/>
      <c r="P4" s="104"/>
      <c r="Q4" s="104"/>
    </row>
    <row r="5" spans="1:19" ht="19.5" customHeight="1">
      <c r="A5" s="1806">
        <v>38504</v>
      </c>
      <c r="B5" s="1803">
        <v>0.19919999999999999</v>
      </c>
      <c r="C5" s="1804">
        <v>0.2041</v>
      </c>
      <c r="D5" s="104"/>
      <c r="E5" s="104"/>
      <c r="F5" s="104"/>
      <c r="G5" s="547"/>
      <c r="H5" s="547"/>
      <c r="I5" s="547"/>
      <c r="J5" s="547"/>
      <c r="K5" s="547"/>
      <c r="L5" s="104"/>
      <c r="M5" s="104"/>
      <c r="N5" s="104"/>
      <c r="O5" s="104"/>
      <c r="P5" s="104"/>
      <c r="Q5" s="104"/>
    </row>
    <row r="6" spans="1:19" ht="19.5" customHeight="1">
      <c r="A6" s="1790">
        <v>38687</v>
      </c>
      <c r="B6" s="1802">
        <v>0.1709</v>
      </c>
      <c r="C6" s="1796">
        <v>0.1696</v>
      </c>
      <c r="D6" s="104"/>
      <c r="E6" s="104"/>
      <c r="F6" s="104"/>
      <c r="G6" s="547"/>
      <c r="H6" s="547"/>
      <c r="I6" s="547"/>
      <c r="J6" s="547"/>
      <c r="K6" s="547"/>
      <c r="L6" s="104"/>
      <c r="M6" s="104"/>
      <c r="N6" s="104"/>
      <c r="O6" s="104"/>
      <c r="P6" s="104"/>
      <c r="Q6" s="104"/>
    </row>
    <row r="7" spans="1:19" ht="18.75">
      <c r="A7" s="1790">
        <v>38869</v>
      </c>
      <c r="B7" s="1802">
        <v>0.13300000000000001</v>
      </c>
      <c r="C7" s="1796">
        <v>0.13469999999999999</v>
      </c>
      <c r="D7" s="104"/>
      <c r="E7" s="104"/>
      <c r="F7" s="104"/>
      <c r="G7" s="547"/>
      <c r="H7" s="547"/>
      <c r="I7" s="547"/>
      <c r="J7" s="547"/>
      <c r="K7" s="547"/>
      <c r="L7" s="104"/>
      <c r="M7" s="104"/>
      <c r="N7" s="104"/>
      <c r="O7" s="104"/>
      <c r="P7" s="104"/>
      <c r="Q7" s="104"/>
    </row>
    <row r="8" spans="1:19" ht="18.75">
      <c r="A8" s="1790">
        <v>39052</v>
      </c>
      <c r="B8" s="1802">
        <v>0.1147</v>
      </c>
      <c r="C8" s="1796">
        <v>0.1148</v>
      </c>
      <c r="D8" s="104"/>
      <c r="E8" s="104"/>
      <c r="F8" s="104"/>
      <c r="G8" s="547"/>
      <c r="H8" s="547"/>
      <c r="I8" s="547"/>
      <c r="J8" s="547"/>
      <c r="K8" s="547"/>
      <c r="L8" s="104"/>
      <c r="M8" s="104"/>
      <c r="N8" s="104"/>
      <c r="O8" s="104"/>
      <c r="P8" s="104"/>
      <c r="Q8" s="104"/>
    </row>
    <row r="9" spans="1:19" ht="15.75" hidden="1" customHeight="1">
      <c r="A9" s="1790">
        <v>39234</v>
      </c>
      <c r="B9" s="1802">
        <v>9.4399999999999998E-2</v>
      </c>
      <c r="C9" s="1796">
        <v>9.4200000000000006E-2</v>
      </c>
      <c r="D9" s="104"/>
      <c r="E9" s="104"/>
      <c r="F9" s="104"/>
      <c r="G9" s="547"/>
      <c r="H9" s="547"/>
      <c r="I9" s="547"/>
      <c r="J9" s="547"/>
      <c r="K9" s="547"/>
      <c r="L9" s="104"/>
      <c r="M9" s="104"/>
      <c r="N9" s="104"/>
      <c r="O9" s="104"/>
      <c r="P9" s="104"/>
      <c r="Q9" s="104"/>
    </row>
    <row r="10" spans="1:19" ht="15.75" hidden="1" customHeight="1">
      <c r="A10" s="1790">
        <v>39417</v>
      </c>
      <c r="B10" s="1802">
        <v>8.48E-2</v>
      </c>
      <c r="C10" s="1796">
        <v>8.4400000000000003E-2</v>
      </c>
      <c r="D10" s="104"/>
      <c r="E10" s="104"/>
      <c r="F10" s="104"/>
      <c r="G10" s="547"/>
      <c r="H10" s="547"/>
      <c r="I10" s="547"/>
      <c r="J10" s="547"/>
      <c r="K10" s="547"/>
      <c r="L10" s="104"/>
      <c r="M10" s="104"/>
      <c r="N10" s="104"/>
      <c r="O10" s="104"/>
      <c r="P10" s="104"/>
      <c r="Q10" s="104"/>
    </row>
    <row r="11" spans="1:19" ht="18.75" hidden="1">
      <c r="A11" s="1790">
        <v>39600</v>
      </c>
      <c r="B11" s="1802">
        <v>8.6699999999999999E-2</v>
      </c>
      <c r="C11" s="1796">
        <v>9.06E-2</v>
      </c>
      <c r="D11" s="104"/>
      <c r="E11" s="104"/>
      <c r="F11" s="104"/>
      <c r="G11" s="547"/>
      <c r="H11" s="547"/>
      <c r="I11" s="547"/>
      <c r="J11" s="547"/>
      <c r="K11" s="547"/>
      <c r="L11" s="104"/>
      <c r="M11" s="104"/>
      <c r="N11" s="104"/>
      <c r="O11" s="104"/>
      <c r="P11" s="104"/>
      <c r="Q11" s="104"/>
    </row>
    <row r="12" spans="1:19" ht="18.75">
      <c r="A12" s="1790">
        <v>39783</v>
      </c>
      <c r="B12" s="1802">
        <v>0.1208</v>
      </c>
      <c r="C12" s="1796">
        <v>0.13009999999999999</v>
      </c>
      <c r="D12" s="104"/>
      <c r="E12" s="104"/>
      <c r="F12" s="104"/>
      <c r="G12" s="547"/>
      <c r="H12" s="547"/>
      <c r="I12" s="547"/>
      <c r="J12" s="547"/>
      <c r="K12" s="547"/>
      <c r="L12" s="104"/>
      <c r="M12" s="104"/>
      <c r="N12" s="104"/>
      <c r="O12" s="104"/>
      <c r="P12" s="104"/>
      <c r="Q12" s="104"/>
    </row>
    <row r="13" spans="1:19" ht="18.75">
      <c r="A13" s="1790">
        <v>39965</v>
      </c>
      <c r="B13" s="1802">
        <v>0.15529999999999999</v>
      </c>
      <c r="C13" s="1796">
        <v>0.161</v>
      </c>
      <c r="D13" s="104"/>
      <c r="E13" s="104"/>
      <c r="F13" s="104"/>
      <c r="G13" s="547"/>
      <c r="H13" s="547"/>
      <c r="I13" s="547"/>
      <c r="J13" s="547"/>
      <c r="K13" s="547"/>
      <c r="L13" s="104"/>
      <c r="M13" s="104"/>
      <c r="N13" s="104"/>
      <c r="O13" s="104"/>
      <c r="P13" s="104"/>
      <c r="Q13" s="104"/>
    </row>
    <row r="14" spans="1:19" ht="18.75">
      <c r="A14" s="1790">
        <v>40148</v>
      </c>
      <c r="B14" s="1802">
        <v>0.1404</v>
      </c>
      <c r="C14" s="1796">
        <v>0.14330000000000001</v>
      </c>
      <c r="D14" s="104"/>
      <c r="E14" s="104"/>
      <c r="F14" s="104"/>
      <c r="G14" s="104"/>
      <c r="H14" s="104"/>
      <c r="I14" s="104"/>
      <c r="J14" s="104"/>
      <c r="K14" s="104"/>
      <c r="L14" s="104"/>
      <c r="M14" s="104"/>
      <c r="N14" s="104"/>
      <c r="O14" s="104"/>
      <c r="P14" s="104"/>
      <c r="Q14" s="104"/>
    </row>
    <row r="15" spans="1:19" ht="18.75" hidden="1">
      <c r="A15" s="1790">
        <v>40330</v>
      </c>
      <c r="B15" s="1802">
        <v>0.11609999999999999</v>
      </c>
      <c r="C15" s="1796">
        <v>0.1183</v>
      </c>
      <c r="D15" s="104"/>
      <c r="E15" s="104"/>
      <c r="F15" s="104"/>
      <c r="G15" s="104"/>
      <c r="H15" s="104"/>
      <c r="I15" s="104"/>
      <c r="J15" s="104"/>
      <c r="K15" s="104"/>
      <c r="L15" s="104"/>
      <c r="M15" s="104"/>
      <c r="N15" s="104"/>
      <c r="O15" s="104"/>
      <c r="P15" s="104"/>
      <c r="Q15" s="104"/>
    </row>
    <row r="16" spans="1:19" s="77" customFormat="1" ht="18.75">
      <c r="A16" s="1790">
        <v>40513</v>
      </c>
      <c r="B16" s="1802">
        <v>0.108409960162953</v>
      </c>
      <c r="C16" s="1796">
        <v>0.11057333531076501</v>
      </c>
      <c r="D16" s="94"/>
      <c r="E16" s="94"/>
      <c r="F16" s="94"/>
      <c r="G16" s="94"/>
      <c r="H16" s="94"/>
      <c r="I16" s="94"/>
      <c r="J16" s="94"/>
      <c r="K16" s="94"/>
      <c r="L16" s="94"/>
      <c r="M16" s="94"/>
      <c r="N16" s="94"/>
      <c r="O16" s="105"/>
      <c r="P16" s="94"/>
      <c r="Q16" s="94"/>
    </row>
    <row r="17" spans="1:17" ht="18.75">
      <c r="A17" s="1790">
        <v>40695</v>
      </c>
      <c r="B17" s="1802">
        <v>0.113957126516463</v>
      </c>
      <c r="C17" s="1796">
        <v>0.115288967128472</v>
      </c>
      <c r="D17" s="104"/>
      <c r="E17" s="105"/>
      <c r="F17" s="105"/>
      <c r="G17" s="105"/>
      <c r="H17" s="105"/>
      <c r="I17" s="105"/>
      <c r="J17" s="105"/>
      <c r="K17" s="105"/>
      <c r="L17" s="105"/>
      <c r="M17" s="105"/>
      <c r="N17" s="105"/>
      <c r="O17" s="104"/>
      <c r="P17" s="104"/>
      <c r="Q17" s="104"/>
    </row>
    <row r="18" spans="1:17" ht="18.75">
      <c r="A18" s="1790">
        <v>40878</v>
      </c>
      <c r="B18" s="1802">
        <v>0.12479999999999999</v>
      </c>
      <c r="C18" s="1796">
        <v>0.12659999999999999</v>
      </c>
      <c r="D18" s="94"/>
      <c r="E18" s="94"/>
      <c r="F18" s="94"/>
      <c r="G18" s="94"/>
      <c r="H18" s="94"/>
      <c r="I18" s="94"/>
      <c r="J18" s="94"/>
      <c r="K18" s="94"/>
      <c r="L18" s="94"/>
      <c r="M18" s="94"/>
      <c r="N18" s="94"/>
      <c r="O18" s="94"/>
      <c r="P18" s="104"/>
      <c r="Q18" s="104"/>
    </row>
    <row r="19" spans="1:17" ht="18.75" hidden="1">
      <c r="A19" s="1790">
        <v>40909</v>
      </c>
      <c r="B19" s="1802">
        <v>0.1268</v>
      </c>
      <c r="C19" s="1796">
        <v>0.12740000000000001</v>
      </c>
      <c r="D19" s="104"/>
      <c r="E19" s="104"/>
      <c r="F19" s="104"/>
      <c r="G19" s="104"/>
      <c r="H19" s="104"/>
      <c r="I19" s="104"/>
      <c r="J19" s="104"/>
      <c r="K19" s="104"/>
      <c r="L19" s="104"/>
      <c r="M19" s="104"/>
      <c r="N19" s="104"/>
      <c r="O19" s="104"/>
      <c r="P19" s="104"/>
      <c r="Q19" s="104"/>
    </row>
    <row r="20" spans="1:17" ht="18.75" hidden="1">
      <c r="A20" s="1790">
        <v>40940</v>
      </c>
      <c r="B20" s="1802">
        <v>0.12870000000000001</v>
      </c>
      <c r="C20" s="1796">
        <v>0.13070000000000001</v>
      </c>
      <c r="D20" s="104"/>
      <c r="E20" s="104"/>
      <c r="F20" s="104"/>
      <c r="G20" s="104"/>
      <c r="H20" s="104"/>
      <c r="I20" s="104"/>
      <c r="J20" s="104"/>
      <c r="K20" s="104"/>
      <c r="L20" s="104"/>
      <c r="M20" s="104"/>
      <c r="N20" s="104"/>
      <c r="O20" s="104"/>
      <c r="P20" s="104"/>
      <c r="Q20" s="104"/>
    </row>
    <row r="21" spans="1:17" ht="18.75" hidden="1">
      <c r="A21" s="1790">
        <v>40969</v>
      </c>
      <c r="B21" s="1802">
        <v>0.13020000000000001</v>
      </c>
      <c r="C21" s="1796">
        <v>0.13250000000000001</v>
      </c>
      <c r="D21" s="104"/>
      <c r="E21" s="104"/>
      <c r="F21" s="104"/>
      <c r="G21" s="104"/>
      <c r="H21" s="104"/>
      <c r="I21" s="104"/>
      <c r="J21" s="104"/>
      <c r="K21" s="104"/>
      <c r="L21" s="104"/>
      <c r="M21" s="104"/>
      <c r="N21" s="104"/>
      <c r="O21" s="104"/>
      <c r="P21" s="104"/>
      <c r="Q21" s="104"/>
    </row>
    <row r="22" spans="1:17" ht="18.75" hidden="1">
      <c r="A22" s="1790">
        <v>41000</v>
      </c>
      <c r="B22" s="1802">
        <v>0.12909999999999999</v>
      </c>
      <c r="C22" s="1796">
        <v>0.13170000000000001</v>
      </c>
      <c r="D22" s="104"/>
      <c r="E22" s="104"/>
      <c r="F22" s="104"/>
      <c r="G22" s="104"/>
      <c r="H22" s="104"/>
      <c r="I22" s="104"/>
      <c r="J22" s="104"/>
      <c r="K22" s="104"/>
      <c r="L22" s="104"/>
      <c r="M22" s="104"/>
      <c r="N22" s="104"/>
      <c r="O22" s="104"/>
      <c r="P22" s="104"/>
      <c r="Q22" s="104"/>
    </row>
    <row r="23" spans="1:17" ht="18.75" hidden="1">
      <c r="A23" s="1790">
        <v>41030</v>
      </c>
      <c r="B23" s="1802">
        <v>0.13</v>
      </c>
      <c r="C23" s="1796">
        <v>0.13289999999999999</v>
      </c>
      <c r="D23" s="104"/>
      <c r="E23" s="104"/>
      <c r="F23" s="104"/>
      <c r="G23" s="104"/>
      <c r="H23" s="104"/>
      <c r="I23" s="104"/>
      <c r="J23" s="104"/>
      <c r="K23" s="104"/>
      <c r="L23" s="104"/>
      <c r="M23" s="104"/>
      <c r="N23" s="104"/>
      <c r="O23" s="104"/>
      <c r="P23" s="104"/>
      <c r="Q23" s="104"/>
    </row>
    <row r="24" spans="1:17" ht="18.75">
      <c r="A24" s="1790">
        <v>41061</v>
      </c>
      <c r="B24" s="1802">
        <v>0.13100000000000001</v>
      </c>
      <c r="C24" s="1796">
        <v>0.1343</v>
      </c>
      <c r="D24" s="104"/>
      <c r="E24" s="104"/>
      <c r="F24" s="104"/>
      <c r="G24" s="104"/>
      <c r="H24" s="104"/>
      <c r="I24" s="104"/>
      <c r="J24" s="104"/>
      <c r="K24" s="104"/>
      <c r="L24" s="104"/>
      <c r="M24" s="104"/>
      <c r="N24" s="104"/>
      <c r="O24" s="104"/>
      <c r="P24" s="104"/>
      <c r="Q24" s="104"/>
    </row>
    <row r="25" spans="1:17" ht="18.75" hidden="1">
      <c r="A25" s="1790">
        <v>41091</v>
      </c>
      <c r="B25" s="1802">
        <v>0.13519999999999999</v>
      </c>
      <c r="C25" s="1796">
        <v>0.13800000000000001</v>
      </c>
      <c r="D25" s="104"/>
      <c r="E25" s="104"/>
      <c r="F25" s="104"/>
      <c r="G25" s="104"/>
      <c r="H25" s="104"/>
      <c r="I25" s="104"/>
      <c r="J25" s="104"/>
      <c r="K25" s="104"/>
      <c r="L25" s="104"/>
      <c r="M25" s="104"/>
      <c r="N25" s="104"/>
      <c r="O25" s="104"/>
      <c r="P25" s="104"/>
      <c r="Q25" s="104"/>
    </row>
    <row r="26" spans="1:17" ht="18.75" hidden="1">
      <c r="A26" s="1790">
        <v>41122</v>
      </c>
      <c r="B26" s="1802">
        <v>0.1346</v>
      </c>
      <c r="C26" s="1796">
        <v>0.13800000000000001</v>
      </c>
      <c r="D26" s="104"/>
      <c r="E26" s="104"/>
      <c r="F26" s="104"/>
      <c r="G26" s="104"/>
      <c r="H26" s="104"/>
      <c r="I26" s="104"/>
      <c r="J26" s="104"/>
      <c r="K26" s="104"/>
      <c r="L26" s="104"/>
      <c r="M26" s="104"/>
      <c r="N26" s="104"/>
      <c r="O26" s="104"/>
      <c r="P26" s="104"/>
      <c r="Q26" s="104"/>
    </row>
    <row r="27" spans="1:17" ht="18.75" hidden="1">
      <c r="A27" s="1790">
        <v>41153</v>
      </c>
      <c r="B27" s="1802">
        <v>0.1351</v>
      </c>
      <c r="C27" s="1796">
        <v>0.1386</v>
      </c>
      <c r="D27" s="104"/>
      <c r="E27" s="104"/>
      <c r="F27" s="104"/>
      <c r="G27" s="104"/>
      <c r="H27" s="104"/>
      <c r="I27" s="104"/>
      <c r="J27" s="104"/>
      <c r="K27" s="104"/>
      <c r="L27" s="104"/>
      <c r="M27" s="104"/>
      <c r="N27" s="104"/>
      <c r="O27" s="104"/>
      <c r="P27" s="104"/>
      <c r="Q27" s="104"/>
    </row>
    <row r="28" spans="1:17" ht="18.75" hidden="1">
      <c r="A28" s="1790">
        <v>41183</v>
      </c>
      <c r="B28" s="1802">
        <v>0.13669999999999999</v>
      </c>
      <c r="C28" s="1796">
        <v>0.14080000000000001</v>
      </c>
      <c r="D28" s="104"/>
      <c r="E28" s="104"/>
      <c r="F28" s="104"/>
      <c r="G28" s="104"/>
      <c r="H28" s="104"/>
      <c r="I28" s="104"/>
      <c r="J28" s="104"/>
      <c r="K28" s="104"/>
      <c r="L28" s="104"/>
      <c r="M28" s="104"/>
      <c r="N28" s="104"/>
      <c r="O28" s="104"/>
      <c r="P28" s="104"/>
      <c r="Q28" s="104"/>
    </row>
    <row r="29" spans="1:17" ht="18.75" hidden="1">
      <c r="A29" s="1790">
        <v>41214</v>
      </c>
      <c r="B29" s="1802">
        <v>0.1447</v>
      </c>
      <c r="C29" s="1796">
        <v>0.1472</v>
      </c>
      <c r="D29" s="104"/>
      <c r="E29" s="104"/>
      <c r="F29" s="104"/>
      <c r="G29" s="104"/>
      <c r="H29" s="104"/>
      <c r="I29" s="104"/>
      <c r="J29" s="104"/>
      <c r="K29" s="104"/>
      <c r="L29" s="104"/>
      <c r="M29" s="104"/>
      <c r="N29" s="104"/>
      <c r="O29" s="104"/>
      <c r="P29" s="104"/>
      <c r="Q29" s="104"/>
    </row>
    <row r="30" spans="1:17" ht="18.75">
      <c r="A30" s="1790">
        <v>41244</v>
      </c>
      <c r="B30" s="1802">
        <v>0.14269999999999999</v>
      </c>
      <c r="C30" s="1796">
        <v>0.1454</v>
      </c>
      <c r="D30" s="104"/>
      <c r="E30" s="104"/>
      <c r="F30" s="104"/>
      <c r="G30" s="104"/>
      <c r="H30" s="104"/>
      <c r="I30" s="104"/>
      <c r="J30" s="104"/>
      <c r="K30" s="104"/>
      <c r="L30" s="104"/>
      <c r="M30" s="104"/>
      <c r="N30" s="104"/>
      <c r="O30" s="104"/>
      <c r="P30" s="104"/>
      <c r="Q30" s="104"/>
    </row>
    <row r="31" spans="1:17" ht="18.75" hidden="1">
      <c r="A31" s="1790">
        <v>41275</v>
      </c>
      <c r="B31" s="1802">
        <v>0.1409</v>
      </c>
      <c r="C31" s="1796">
        <v>0.14360000000000001</v>
      </c>
      <c r="D31" s="104"/>
      <c r="E31" s="104"/>
      <c r="F31" s="104"/>
      <c r="G31" s="104"/>
      <c r="H31" s="104"/>
      <c r="I31" s="104"/>
      <c r="J31" s="104"/>
      <c r="K31" s="104"/>
      <c r="L31" s="104"/>
      <c r="M31" s="104"/>
      <c r="N31" s="104"/>
      <c r="O31" s="104"/>
      <c r="P31" s="104"/>
      <c r="Q31" s="104"/>
    </row>
    <row r="32" spans="1:17" ht="18.75" hidden="1">
      <c r="A32" s="1790">
        <v>41306</v>
      </c>
      <c r="B32" s="1802">
        <v>0.14199999999999999</v>
      </c>
      <c r="C32" s="1796">
        <v>0.14580000000000001</v>
      </c>
      <c r="D32" s="104"/>
      <c r="E32" s="104"/>
      <c r="F32" s="104"/>
      <c r="G32" s="104"/>
      <c r="H32" s="104"/>
      <c r="I32" s="104"/>
      <c r="J32" s="104"/>
      <c r="K32" s="104"/>
      <c r="L32" s="104"/>
      <c r="M32" s="104"/>
      <c r="N32" s="104"/>
      <c r="O32" s="104"/>
      <c r="P32" s="104"/>
      <c r="Q32" s="104"/>
    </row>
    <row r="33" spans="1:9" ht="18.75" hidden="1">
      <c r="A33" s="1790">
        <v>41334</v>
      </c>
      <c r="B33" s="1802">
        <v>0.14480000000000001</v>
      </c>
      <c r="C33" s="1796">
        <v>0.1479</v>
      </c>
    </row>
    <row r="34" spans="1:9" ht="18.75" hidden="1">
      <c r="A34" s="1790">
        <v>41365</v>
      </c>
      <c r="B34" s="1802">
        <v>0.1477</v>
      </c>
      <c r="C34" s="1796">
        <v>0.15110000000000001</v>
      </c>
    </row>
    <row r="35" spans="1:9" ht="18.75" hidden="1">
      <c r="A35" s="1790">
        <v>41395</v>
      </c>
      <c r="B35" s="1802">
        <v>0.14810000000000001</v>
      </c>
      <c r="C35" s="1796">
        <v>0.15129999999999999</v>
      </c>
    </row>
    <row r="36" spans="1:9" ht="18.75">
      <c r="A36" s="1790">
        <v>41426</v>
      </c>
      <c r="B36" s="1802">
        <v>0.15329999999999999</v>
      </c>
      <c r="C36" s="1796">
        <v>0.15759999999999999</v>
      </c>
    </row>
    <row r="37" spans="1:9" ht="18.75" hidden="1">
      <c r="A37" s="1790">
        <v>41456</v>
      </c>
      <c r="B37" s="1802">
        <v>0.15479999999999999</v>
      </c>
      <c r="C37" s="1796">
        <v>0.15840000000000001</v>
      </c>
    </row>
    <row r="38" spans="1:9" ht="18.75" hidden="1">
      <c r="A38" s="1790">
        <v>41487</v>
      </c>
      <c r="B38" s="1802">
        <v>0.1517</v>
      </c>
      <c r="C38" s="1796">
        <v>0.1545</v>
      </c>
    </row>
    <row r="39" spans="1:9" ht="18.75" hidden="1">
      <c r="A39" s="1790">
        <v>41518</v>
      </c>
      <c r="B39" s="1802">
        <v>0.14349999999999999</v>
      </c>
      <c r="C39" s="1796">
        <v>0.14680000000000001</v>
      </c>
    </row>
    <row r="40" spans="1:9" ht="18.75" hidden="1">
      <c r="A40" s="1790">
        <v>41548</v>
      </c>
      <c r="B40" s="1802">
        <v>0.13850000000000001</v>
      </c>
      <c r="C40" s="1796">
        <v>0.1411</v>
      </c>
    </row>
    <row r="41" spans="1:9" ht="18.75" hidden="1">
      <c r="A41" s="1790">
        <v>41579</v>
      </c>
      <c r="B41" s="1802">
        <v>0.13170000000000001</v>
      </c>
      <c r="C41" s="1796">
        <v>0.13519999999999999</v>
      </c>
    </row>
    <row r="42" spans="1:9" ht="18.75">
      <c r="A42" s="1790">
        <v>41609</v>
      </c>
      <c r="B42" s="1802">
        <v>0.132289709655253</v>
      </c>
      <c r="C42" s="1796">
        <v>0.133732017269869</v>
      </c>
    </row>
    <row r="43" spans="1:9" ht="18.75" hidden="1">
      <c r="A43" s="1790">
        <v>41640</v>
      </c>
      <c r="B43" s="1802">
        <v>0.13262888735529499</v>
      </c>
      <c r="C43" s="1796">
        <v>0.13435685682335999</v>
      </c>
    </row>
    <row r="44" spans="1:9" ht="18.75" hidden="1">
      <c r="A44" s="1790">
        <v>41671</v>
      </c>
      <c r="B44" s="1802">
        <v>0.13070000000000001</v>
      </c>
      <c r="C44" s="1796">
        <v>0.13150000000000001</v>
      </c>
    </row>
    <row r="45" spans="1:9" ht="18.75" hidden="1">
      <c r="A45" s="1790">
        <v>41699</v>
      </c>
      <c r="B45" s="1802">
        <v>0.12620000000000001</v>
      </c>
      <c r="C45" s="1796">
        <v>0.12820000000000001</v>
      </c>
      <c r="I45" s="194"/>
    </row>
    <row r="46" spans="1:9" ht="18.75" hidden="1">
      <c r="A46" s="1790">
        <v>41760</v>
      </c>
      <c r="B46" s="1802">
        <v>0.1179</v>
      </c>
      <c r="C46" s="1796">
        <v>0.1203</v>
      </c>
    </row>
    <row r="47" spans="1:9" ht="18.75">
      <c r="A47" s="1790">
        <v>41791</v>
      </c>
      <c r="B47" s="1802">
        <v>0.116663916655663</v>
      </c>
      <c r="C47" s="1796">
        <v>0.117645839774349</v>
      </c>
    </row>
    <row r="48" spans="1:9" ht="18.75">
      <c r="A48" s="1790">
        <v>41821</v>
      </c>
      <c r="B48" s="1802">
        <v>0.116796791263615</v>
      </c>
      <c r="C48" s="1796">
        <v>0.118568283938031</v>
      </c>
    </row>
    <row r="49" spans="1:3" ht="18.75">
      <c r="A49" s="1790">
        <v>41852</v>
      </c>
      <c r="B49" s="1802">
        <v>0.1173</v>
      </c>
      <c r="C49" s="1796">
        <v>0.1198</v>
      </c>
    </row>
    <row r="50" spans="1:3" ht="18.75" hidden="1">
      <c r="A50" s="1790">
        <v>41883</v>
      </c>
      <c r="B50" s="1802">
        <v>0.122677017308136</v>
      </c>
      <c r="C50" s="1796">
        <v>0.124578929225971</v>
      </c>
    </row>
    <row r="51" spans="1:3" ht="18.75" hidden="1">
      <c r="A51" s="1790">
        <v>41913</v>
      </c>
      <c r="B51" s="1802">
        <v>0.123037759368956</v>
      </c>
      <c r="C51" s="1796">
        <v>0.125103490001607</v>
      </c>
    </row>
    <row r="52" spans="1:3" ht="18.75">
      <c r="A52" s="1790">
        <v>41944</v>
      </c>
      <c r="B52" s="1802">
        <v>0.1196</v>
      </c>
      <c r="C52" s="1796">
        <v>0.12239999999999999</v>
      </c>
    </row>
    <row r="53" spans="1:3" ht="18.75">
      <c r="A53" s="1790">
        <v>41974</v>
      </c>
      <c r="B53" s="1802">
        <v>0.1202</v>
      </c>
      <c r="C53" s="1796">
        <v>0.12479999999999999</v>
      </c>
    </row>
    <row r="54" spans="1:3" ht="18.75" hidden="1">
      <c r="A54" s="1790">
        <v>42005</v>
      </c>
      <c r="B54" s="1802">
        <v>0.12089999999999999</v>
      </c>
      <c r="C54" s="1796">
        <v>0.125</v>
      </c>
    </row>
    <row r="55" spans="1:3" ht="18.75" hidden="1">
      <c r="A55" s="1790">
        <v>42050</v>
      </c>
      <c r="B55" s="1802">
        <v>0.1201</v>
      </c>
      <c r="C55" s="1796">
        <v>0.1242</v>
      </c>
    </row>
    <row r="56" spans="1:3" ht="18.75" hidden="1">
      <c r="A56" s="1790">
        <v>42078</v>
      </c>
      <c r="B56" s="1802">
        <v>0.1229</v>
      </c>
      <c r="C56" s="1796">
        <v>0.12720000000000001</v>
      </c>
    </row>
    <row r="57" spans="1:3" ht="18.75" hidden="1">
      <c r="A57" s="1790" t="s">
        <v>741</v>
      </c>
      <c r="B57" s="1802">
        <v>0.123365719687781</v>
      </c>
      <c r="C57" s="1796">
        <v>0.12739122285896601</v>
      </c>
    </row>
    <row r="58" spans="1:3" ht="18.75" hidden="1">
      <c r="A58" s="1790">
        <v>42139</v>
      </c>
      <c r="B58" s="1802">
        <v>0.12576975775993299</v>
      </c>
      <c r="C58" s="1796">
        <v>0.129579088814962</v>
      </c>
    </row>
    <row r="59" spans="1:3" ht="18.75">
      <c r="A59" s="1790">
        <v>42171</v>
      </c>
      <c r="B59" s="1802">
        <v>0.11990000000000001</v>
      </c>
      <c r="C59" s="1796">
        <v>0.12379999999999999</v>
      </c>
    </row>
    <row r="60" spans="1:3" ht="18.75" hidden="1">
      <c r="A60" s="1790">
        <v>42201</v>
      </c>
      <c r="B60" s="1802">
        <v>0.11219999999999999</v>
      </c>
      <c r="C60" s="1796">
        <v>0.1162</v>
      </c>
    </row>
    <row r="61" spans="1:3" ht="18.75">
      <c r="A61" s="1790">
        <v>42263</v>
      </c>
      <c r="B61" s="1802">
        <v>0.11169999999999999</v>
      </c>
      <c r="C61" s="1796">
        <v>0.1154</v>
      </c>
    </row>
    <row r="62" spans="1:3" ht="18.75">
      <c r="A62" s="1790">
        <v>42293</v>
      </c>
      <c r="B62" s="1802">
        <v>0.1103</v>
      </c>
      <c r="C62" s="1796">
        <v>0.11409999999999999</v>
      </c>
    </row>
    <row r="63" spans="1:3" ht="18.75">
      <c r="A63" s="1791">
        <v>42324</v>
      </c>
      <c r="B63" s="1805">
        <v>0.1091</v>
      </c>
      <c r="C63" s="1797">
        <v>0.11260000000000001</v>
      </c>
    </row>
  </sheetData>
  <mergeCells count="3">
    <mergeCell ref="A1:S1"/>
    <mergeCell ref="A3:C3"/>
    <mergeCell ref="A2:S2"/>
  </mergeCells>
  <printOptions horizontalCentered="1" verticalCentered="1"/>
  <pageMargins left="0.4" right="0.4" top="0.25" bottom="0.25" header="0.3" footer="0.3"/>
  <pageSetup scale="43" orientation="landscape" r:id="rId1"/>
  <drawing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7">
    <tabColor theme="9" tint="-0.249977111117893"/>
    <pageSetUpPr fitToPage="1"/>
  </sheetPr>
  <dimension ref="A1:T38"/>
  <sheetViews>
    <sheetView showGridLines="0" view="pageBreakPreview" zoomScale="55" zoomScaleNormal="100" zoomScaleSheetLayoutView="55" workbookViewId="0">
      <selection activeCell="G7" sqref="G7"/>
    </sheetView>
  </sheetViews>
  <sheetFormatPr baseColWidth="10" defaultColWidth="11.42578125" defaultRowHeight="15"/>
  <cols>
    <col min="1" max="1" width="16.85546875" style="282" customWidth="1"/>
    <col min="2" max="2" width="22.28515625" style="282" customWidth="1"/>
    <col min="3" max="3" width="20.28515625" style="282" customWidth="1"/>
    <col min="4" max="4" width="21.85546875" style="282" customWidth="1"/>
    <col min="5" max="5" width="14.28515625" style="282" customWidth="1"/>
    <col min="6" max="11" width="13.5703125" style="282" customWidth="1"/>
    <col min="12" max="12" width="26.85546875" style="282" customWidth="1"/>
    <col min="13" max="13" width="22.7109375" style="282" customWidth="1"/>
    <col min="14" max="15" width="13.5703125" style="282" customWidth="1"/>
    <col min="16" max="16" width="11.42578125" style="282" hidden="1" customWidth="1"/>
    <col min="17" max="17" width="0.28515625" style="282" customWidth="1"/>
    <col min="18" max="18" width="11.42578125" style="282"/>
    <col min="19" max="19" width="12.7109375" style="282" customWidth="1"/>
    <col min="20" max="21" width="15.28515625" style="282" customWidth="1"/>
    <col min="22" max="22" width="15.85546875" style="282" customWidth="1"/>
    <col min="23" max="16384" width="11.42578125" style="282"/>
  </cols>
  <sheetData>
    <row r="1" spans="1:17" ht="94.5" customHeight="1">
      <c r="A1" s="2151"/>
      <c r="B1" s="2151"/>
      <c r="C1" s="2151"/>
      <c r="D1" s="2151"/>
      <c r="E1" s="2151"/>
      <c r="F1" s="2151"/>
      <c r="G1" s="2151"/>
      <c r="H1" s="2151"/>
      <c r="I1" s="2151"/>
      <c r="J1" s="2151"/>
      <c r="K1" s="2151"/>
      <c r="L1" s="2151"/>
      <c r="M1" s="2151"/>
      <c r="N1" s="2151"/>
      <c r="O1" s="2151"/>
      <c r="P1" s="2151"/>
      <c r="Q1" s="2151"/>
    </row>
    <row r="2" spans="1:17" ht="3.75" customHeight="1">
      <c r="A2" s="2152"/>
      <c r="B2" s="2152"/>
      <c r="C2" s="2152"/>
      <c r="D2" s="2152"/>
      <c r="E2" s="2152"/>
      <c r="F2" s="2152"/>
      <c r="G2" s="2152"/>
      <c r="H2" s="2152"/>
      <c r="I2" s="2152"/>
      <c r="J2" s="2152"/>
      <c r="K2" s="2152"/>
      <c r="L2" s="2152"/>
      <c r="M2" s="2152"/>
      <c r="N2" s="2152"/>
      <c r="O2" s="2152"/>
      <c r="P2" s="283"/>
      <c r="Q2" s="283"/>
    </row>
    <row r="3" spans="1:17" ht="27" customHeight="1">
      <c r="A3" s="2153" t="s">
        <v>563</v>
      </c>
      <c r="B3" s="2154"/>
      <c r="C3" s="2154"/>
      <c r="D3" s="2155"/>
      <c r="E3" s="283"/>
      <c r="F3" s="283"/>
      <c r="G3" s="283"/>
      <c r="H3" s="283"/>
      <c r="I3" s="283"/>
      <c r="J3" s="283"/>
      <c r="K3" s="283"/>
      <c r="L3" s="283"/>
      <c r="M3" s="283"/>
      <c r="N3" s="283"/>
      <c r="O3" s="283"/>
      <c r="P3" s="283"/>
      <c r="Q3" s="283"/>
    </row>
    <row r="4" spans="1:17" ht="45.75" customHeight="1">
      <c r="A4" s="550" t="s">
        <v>45</v>
      </c>
      <c r="B4" s="548" t="s">
        <v>564</v>
      </c>
      <c r="C4" s="548" t="s">
        <v>565</v>
      </c>
      <c r="D4" s="549" t="s">
        <v>566</v>
      </c>
      <c r="E4" s="283"/>
      <c r="F4" s="283"/>
      <c r="G4" s="1390"/>
      <c r="H4" s="283"/>
      <c r="I4" s="1390"/>
      <c r="J4" s="1390"/>
      <c r="K4" s="283"/>
      <c r="L4" s="283"/>
      <c r="M4" s="283"/>
      <c r="N4" s="283"/>
      <c r="O4" s="283"/>
      <c r="P4" s="283"/>
      <c r="Q4" s="283"/>
    </row>
    <row r="5" spans="1:17" ht="18.75">
      <c r="A5" s="551">
        <v>37956</v>
      </c>
      <c r="B5" s="1390">
        <v>0.23569999999999999</v>
      </c>
      <c r="C5" s="1390">
        <v>0.42655027092113201</v>
      </c>
      <c r="D5" s="1391">
        <f>B5-C5</f>
        <v>-0.19085027092113202</v>
      </c>
      <c r="E5" s="283"/>
      <c r="F5" s="283"/>
      <c r="G5" s="1390"/>
      <c r="H5" s="283"/>
      <c r="I5" s="1390"/>
      <c r="J5" s="1390"/>
      <c r="K5" s="283"/>
      <c r="L5" s="283"/>
      <c r="M5" s="283"/>
      <c r="N5" s="283"/>
      <c r="O5" s="283"/>
      <c r="P5" s="283"/>
      <c r="Q5" s="283"/>
    </row>
    <row r="6" spans="1:17" ht="18.75">
      <c r="A6" s="551">
        <v>38322</v>
      </c>
      <c r="B6" s="1390">
        <v>0.2384</v>
      </c>
      <c r="C6" s="1390">
        <v>0.28740240557079555</v>
      </c>
      <c r="D6" s="1391">
        <f t="shared" ref="D6:D16" si="0">B6-C6</f>
        <v>-4.9002405570795549E-2</v>
      </c>
      <c r="E6" s="283"/>
      <c r="F6" s="283"/>
      <c r="G6" s="1390"/>
      <c r="H6" s="283"/>
      <c r="I6" s="1390"/>
      <c r="J6" s="1390"/>
      <c r="K6" s="283"/>
      <c r="L6" s="283"/>
      <c r="M6" s="283"/>
      <c r="N6" s="283"/>
      <c r="O6" s="283"/>
      <c r="P6" s="283"/>
      <c r="Q6" s="283"/>
    </row>
    <row r="7" spans="1:17" ht="18.75">
      <c r="A7" s="551">
        <v>38687</v>
      </c>
      <c r="B7" s="1390">
        <v>0.1696</v>
      </c>
      <c r="C7" s="1390">
        <v>7.4373053597770911E-2</v>
      </c>
      <c r="D7" s="1391">
        <f t="shared" si="0"/>
        <v>9.522694640222909E-2</v>
      </c>
      <c r="E7" s="283"/>
      <c r="F7" s="283"/>
      <c r="G7" s="1390"/>
      <c r="H7" s="283"/>
      <c r="I7" s="1390"/>
      <c r="J7" s="1390"/>
      <c r="K7" s="283"/>
      <c r="L7" s="283"/>
      <c r="M7" s="283"/>
      <c r="N7" s="283"/>
      <c r="O7" s="283"/>
      <c r="P7" s="283"/>
      <c r="Q7" s="283"/>
    </row>
    <row r="8" spans="1:17" ht="18.75">
      <c r="A8" s="551">
        <v>39052</v>
      </c>
      <c r="B8" s="1390">
        <v>0.1148</v>
      </c>
      <c r="C8" s="1390">
        <v>5.0001907013997426E-2</v>
      </c>
      <c r="D8" s="1391">
        <f t="shared" si="0"/>
        <v>6.4798092986002573E-2</v>
      </c>
      <c r="E8" s="283"/>
      <c r="F8" s="283"/>
      <c r="G8" s="1390"/>
      <c r="H8" s="284"/>
      <c r="I8" s="1390"/>
      <c r="J8" s="1390"/>
      <c r="K8" s="283"/>
      <c r="L8" s="283"/>
      <c r="M8" s="283"/>
      <c r="N8" s="283"/>
      <c r="O8" s="283"/>
      <c r="P8" s="283"/>
      <c r="Q8" s="283"/>
    </row>
    <row r="9" spans="1:17" ht="18.75">
      <c r="A9" s="551">
        <v>39417</v>
      </c>
      <c r="B9" s="1390">
        <v>8.4400000000000003E-2</v>
      </c>
      <c r="C9" s="1390">
        <v>8.8775880857246747E-2</v>
      </c>
      <c r="D9" s="1391">
        <f t="shared" si="0"/>
        <v>-4.3758808572467445E-3</v>
      </c>
      <c r="E9" s="283"/>
      <c r="F9" s="283"/>
      <c r="G9" s="1390"/>
      <c r="H9" s="283"/>
      <c r="I9" s="1390"/>
      <c r="J9" s="1390"/>
      <c r="K9" s="283"/>
      <c r="L9" s="283"/>
      <c r="M9" s="283"/>
      <c r="N9" s="283"/>
      <c r="O9" s="283"/>
      <c r="P9" s="283"/>
      <c r="Q9" s="283"/>
    </row>
    <row r="10" spans="1:17" ht="18.75">
      <c r="A10" s="551">
        <v>39783</v>
      </c>
      <c r="B10" s="1390">
        <v>0.13009999999999999</v>
      </c>
      <c r="C10" s="1390">
        <v>4.517248281844255E-2</v>
      </c>
      <c r="D10" s="1391">
        <f t="shared" si="0"/>
        <v>8.4927517181557444E-2</v>
      </c>
      <c r="E10" s="283"/>
      <c r="F10" s="283"/>
      <c r="G10" s="1390"/>
      <c r="H10" s="283"/>
      <c r="I10" s="1390"/>
      <c r="J10" s="1390"/>
      <c r="K10" s="283"/>
      <c r="L10" s="283"/>
      <c r="M10" s="283"/>
      <c r="N10" s="283"/>
      <c r="O10" s="283"/>
      <c r="P10" s="283"/>
      <c r="Q10" s="283"/>
    </row>
    <row r="11" spans="1:17" ht="18.75">
      <c r="A11" s="551">
        <v>40148</v>
      </c>
      <c r="B11" s="1390">
        <v>0.14330000000000001</v>
      </c>
      <c r="C11" s="1390">
        <v>5.7648110316649515E-2</v>
      </c>
      <c r="D11" s="1391">
        <f t="shared" si="0"/>
        <v>8.5651889683350496E-2</v>
      </c>
      <c r="E11" s="283"/>
      <c r="F11" s="283"/>
      <c r="G11" s="1390"/>
      <c r="H11" s="283"/>
      <c r="I11" s="1390"/>
      <c r="J11" s="1390"/>
      <c r="K11" s="283"/>
      <c r="L11" s="283"/>
      <c r="M11" s="283"/>
      <c r="N11" s="283"/>
      <c r="O11" s="283"/>
      <c r="P11" s="283"/>
      <c r="Q11" s="283"/>
    </row>
    <row r="12" spans="1:17" s="287" customFormat="1" ht="18.75">
      <c r="A12" s="551">
        <v>40513</v>
      </c>
      <c r="B12" s="1390">
        <v>0.11057333531076501</v>
      </c>
      <c r="C12" s="1390">
        <v>6.2383050642844218E-2</v>
      </c>
      <c r="D12" s="1391">
        <f t="shared" si="0"/>
        <v>4.8190284667920788E-2</v>
      </c>
      <c r="E12" s="285"/>
      <c r="F12" s="285"/>
      <c r="G12" s="1390"/>
      <c r="H12" s="285"/>
      <c r="I12" s="1390"/>
      <c r="J12" s="1390"/>
      <c r="K12" s="285"/>
      <c r="L12" s="285"/>
      <c r="M12" s="285"/>
      <c r="N12" s="285"/>
      <c r="O12" s="286"/>
      <c r="P12" s="285"/>
      <c r="Q12" s="285"/>
    </row>
    <row r="13" spans="1:17" ht="18.75">
      <c r="A13" s="551">
        <v>40878</v>
      </c>
      <c r="B13" s="1390">
        <v>0.12659999999999999</v>
      </c>
      <c r="C13" s="1390">
        <v>7.7600000000000002E-2</v>
      </c>
      <c r="D13" s="1391">
        <f t="shared" si="0"/>
        <v>4.8999999999999988E-2</v>
      </c>
      <c r="E13" s="285"/>
      <c r="F13" s="285"/>
      <c r="G13" s="1390"/>
      <c r="H13" s="285"/>
      <c r="I13" s="1390"/>
      <c r="J13" s="1390"/>
      <c r="K13" s="285"/>
      <c r="L13" s="285"/>
      <c r="M13" s="285"/>
      <c r="N13" s="285"/>
      <c r="O13" s="285"/>
      <c r="P13" s="283"/>
      <c r="Q13" s="283"/>
    </row>
    <row r="14" spans="1:17" ht="18.75">
      <c r="A14" s="551">
        <v>41244</v>
      </c>
      <c r="B14" s="1390">
        <v>0.1454</v>
      </c>
      <c r="C14" s="1390">
        <v>3.9100000000000003E-2</v>
      </c>
      <c r="D14" s="1391">
        <f t="shared" si="0"/>
        <v>0.10630000000000001</v>
      </c>
      <c r="E14" s="283"/>
      <c r="F14" s="283"/>
      <c r="G14" s="1390"/>
      <c r="H14" s="283"/>
      <c r="I14" s="1390"/>
      <c r="J14" s="1390"/>
      <c r="K14" s="283"/>
      <c r="L14" s="283"/>
      <c r="M14" s="283"/>
      <c r="N14" s="283"/>
      <c r="O14" s="283"/>
      <c r="P14" s="283"/>
      <c r="Q14" s="283"/>
    </row>
    <row r="15" spans="1:17" ht="18.75">
      <c r="A15" s="551">
        <v>41609</v>
      </c>
      <c r="B15" s="1390">
        <v>0.133732017269869</v>
      </c>
      <c r="C15" s="1390">
        <v>3.8800000000000001E-2</v>
      </c>
      <c r="D15" s="1391">
        <f t="shared" si="0"/>
        <v>9.4932017269868996E-2</v>
      </c>
      <c r="E15" s="283"/>
      <c r="F15" s="283"/>
      <c r="G15" s="1390"/>
      <c r="H15" s="283"/>
      <c r="I15" s="1390"/>
      <c r="J15" s="1390"/>
      <c r="K15" s="283"/>
      <c r="L15" s="283"/>
      <c r="M15" s="283"/>
      <c r="N15" s="283"/>
      <c r="O15" s="283"/>
      <c r="P15" s="283"/>
      <c r="Q15" s="283"/>
    </row>
    <row r="16" spans="1:17" ht="18.75">
      <c r="A16" s="551">
        <v>41974</v>
      </c>
      <c r="B16" s="1390">
        <v>0.12479999999999999</v>
      </c>
      <c r="C16" s="1390">
        <v>1.5800000000000002E-2</v>
      </c>
      <c r="D16" s="1391">
        <f t="shared" si="0"/>
        <v>0.10899999999999999</v>
      </c>
      <c r="E16" s="283"/>
      <c r="F16" s="283"/>
      <c r="G16" s="1390"/>
      <c r="H16" s="283"/>
      <c r="I16" s="1390"/>
      <c r="J16" s="1390"/>
      <c r="K16" s="283"/>
      <c r="L16" s="283"/>
      <c r="M16" s="283"/>
      <c r="N16" s="283"/>
      <c r="O16" s="283"/>
      <c r="P16" s="283"/>
      <c r="Q16" s="283"/>
    </row>
    <row r="17" spans="1:20" ht="18.75">
      <c r="A17" s="552">
        <v>42323</v>
      </c>
      <c r="B17" s="1392">
        <v>0.11260000000000001</v>
      </c>
      <c r="C17" s="1392">
        <v>1.54E-2</v>
      </c>
      <c r="D17" s="1393">
        <f>B17-C17</f>
        <v>9.7200000000000009E-2</v>
      </c>
      <c r="E17" s="283"/>
      <c r="F17" s="283"/>
      <c r="G17" s="283"/>
      <c r="H17" s="283"/>
      <c r="I17" s="283"/>
      <c r="J17" s="283"/>
      <c r="K17" s="283"/>
      <c r="L17" s="283"/>
      <c r="M17" s="283"/>
      <c r="N17" s="283"/>
      <c r="O17" s="283"/>
      <c r="P17" s="283"/>
      <c r="Q17" s="283"/>
    </row>
    <row r="18" spans="1:20">
      <c r="A18" s="283"/>
      <c r="B18" s="283"/>
      <c r="C18" s="283"/>
      <c r="D18" s="283"/>
      <c r="E18" s="283"/>
      <c r="F18" s="283"/>
      <c r="G18" s="283"/>
      <c r="H18" s="283"/>
      <c r="I18" s="283"/>
      <c r="J18" s="283"/>
      <c r="K18" s="283"/>
      <c r="L18" s="283"/>
      <c r="M18" s="283"/>
      <c r="N18" s="283"/>
      <c r="O18" s="283"/>
      <c r="P18" s="283"/>
      <c r="Q18" s="283"/>
    </row>
    <row r="19" spans="1:20">
      <c r="A19" s="283"/>
      <c r="B19" s="283"/>
      <c r="C19" s="283"/>
      <c r="D19" s="283"/>
      <c r="E19" s="283"/>
      <c r="F19" s="283"/>
      <c r="G19" s="283"/>
      <c r="H19" s="283"/>
      <c r="I19" s="283"/>
      <c r="J19" s="283"/>
      <c r="K19" s="283"/>
      <c r="L19" s="283"/>
      <c r="M19" s="283"/>
      <c r="N19" s="283"/>
      <c r="O19" s="283"/>
      <c r="P19" s="283"/>
      <c r="Q19" s="283"/>
    </row>
    <row r="20" spans="1:20">
      <c r="A20" s="283"/>
      <c r="B20" s="283"/>
      <c r="C20" s="283"/>
      <c r="D20" s="283"/>
      <c r="E20" s="283"/>
      <c r="F20" s="283"/>
      <c r="G20" s="283"/>
      <c r="H20" s="283"/>
      <c r="I20" s="283"/>
      <c r="J20" s="283"/>
      <c r="K20" s="283"/>
      <c r="L20" s="283"/>
      <c r="M20" s="283"/>
      <c r="N20" s="283"/>
      <c r="O20" s="283"/>
      <c r="P20" s="283"/>
      <c r="Q20" s="283"/>
      <c r="S20" s="48"/>
      <c r="T20" s="48"/>
    </row>
    <row r="21" spans="1:20">
      <c r="S21" s="48"/>
      <c r="T21" s="48"/>
    </row>
    <row r="27" spans="1:20">
      <c r="S27" s="537"/>
    </row>
    <row r="28" spans="1:20">
      <c r="S28" s="537"/>
    </row>
    <row r="29" spans="1:20">
      <c r="S29" s="537"/>
    </row>
    <row r="30" spans="1:20">
      <c r="S30" s="537"/>
    </row>
    <row r="31" spans="1:20">
      <c r="S31" s="537"/>
    </row>
    <row r="32" spans="1:20">
      <c r="S32" s="537"/>
    </row>
    <row r="33" spans="19:19">
      <c r="S33" s="538"/>
    </row>
    <row r="34" spans="19:19">
      <c r="S34" s="538"/>
    </row>
    <row r="35" spans="19:19">
      <c r="S35" s="538"/>
    </row>
    <row r="36" spans="19:19">
      <c r="S36" s="538"/>
    </row>
    <row r="37" spans="19:19">
      <c r="S37" s="539"/>
    </row>
    <row r="38" spans="19:19">
      <c r="S38" s="539"/>
    </row>
  </sheetData>
  <mergeCells count="3">
    <mergeCell ref="A1:Q1"/>
    <mergeCell ref="A2:O2"/>
    <mergeCell ref="A3:D3"/>
  </mergeCells>
  <printOptions horizontalCentered="1" verticalCentered="1"/>
  <pageMargins left="0.4" right="0.4" top="0.25" bottom="0.25" header="0.3" footer="0.3"/>
  <pageSetup scale="49" orientation="landscape" r:id="rId1"/>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8">
    <tabColor rgb="FF00B0F0"/>
  </sheetPr>
  <dimension ref="D9:M36"/>
  <sheetViews>
    <sheetView showGridLines="0" view="pageBreakPreview" zoomScaleNormal="100" zoomScaleSheetLayoutView="100" workbookViewId="0">
      <selection activeCell="K21" sqref="K21"/>
    </sheetView>
  </sheetViews>
  <sheetFormatPr baseColWidth="10" defaultRowHeight="15"/>
  <cols>
    <col min="4" max="5" width="14.42578125" style="141" bestFit="1" customWidth="1"/>
    <col min="8" max="8" width="12.7109375" customWidth="1"/>
    <col min="9" max="9" width="7" customWidth="1"/>
    <col min="10" max="10" width="10.7109375" customWidth="1"/>
    <col min="11" max="11" width="23.28515625" style="277" customWidth="1"/>
    <col min="12" max="12" width="16.28515625" style="277" bestFit="1" customWidth="1"/>
  </cols>
  <sheetData>
    <row r="9" spans="12:13">
      <c r="L9" s="1151"/>
      <c r="M9" s="173"/>
    </row>
    <row r="10" spans="12:13">
      <c r="L10" s="1151"/>
      <c r="M10" s="173"/>
    </row>
    <row r="11" spans="12:13">
      <c r="L11" s="1151"/>
      <c r="M11" s="156"/>
    </row>
    <row r="12" spans="12:13">
      <c r="L12" s="1151"/>
    </row>
    <row r="13" spans="12:13">
      <c r="L13" s="1151"/>
    </row>
    <row r="14" spans="12:13">
      <c r="L14" s="1151"/>
    </row>
    <row r="15" spans="12:13">
      <c r="L15" s="1151"/>
    </row>
    <row r="35" spans="4:5">
      <c r="D35" s="1314"/>
      <c r="E35" s="1314"/>
    </row>
    <row r="36" spans="4:5">
      <c r="D36" s="1314"/>
      <c r="E36" s="1314"/>
    </row>
  </sheetData>
  <pageMargins left="0.7" right="0.7" top="0.75" bottom="0.75" header="0.3" footer="0.3"/>
  <pageSetup scale="88" orientation="landscape" r:id="rId1"/>
  <drawing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7">
    <tabColor rgb="FF00B0F0"/>
  </sheetPr>
  <dimension ref="A1:N50"/>
  <sheetViews>
    <sheetView showGridLines="0" view="pageBreakPreview" zoomScale="85" zoomScaleNormal="100" zoomScaleSheetLayoutView="85" workbookViewId="0">
      <selection activeCell="O34" sqref="O34"/>
    </sheetView>
  </sheetViews>
  <sheetFormatPr baseColWidth="10" defaultColWidth="11.42578125" defaultRowHeight="15"/>
  <cols>
    <col min="1" max="1" width="14.140625" style="39" customWidth="1"/>
    <col min="2" max="2" width="21.7109375" style="39" customWidth="1"/>
    <col min="3" max="3" width="14.7109375" style="39" customWidth="1"/>
    <col min="4" max="4" width="21.7109375" style="39" customWidth="1"/>
    <col min="5" max="5" width="11.28515625" style="39" customWidth="1"/>
    <col min="6" max="6" width="19.5703125" style="39" customWidth="1"/>
    <col min="7" max="7" width="13.140625" style="39" customWidth="1"/>
    <col min="8" max="8" width="24.42578125" style="39" customWidth="1"/>
    <col min="9" max="9" width="18.5703125" style="39" bestFit="1" customWidth="1"/>
    <col min="10" max="11" width="17.42578125" style="39" customWidth="1"/>
    <col min="12" max="12" width="19.28515625" style="39" customWidth="1"/>
    <col min="13" max="13" width="14.42578125" style="1448" customWidth="1"/>
    <col min="14" max="14" width="14.28515625" style="39" customWidth="1"/>
    <col min="15" max="15" width="13.85546875" style="39" customWidth="1"/>
    <col min="16" max="16384" width="11.42578125" style="39"/>
  </cols>
  <sheetData>
    <row r="1" spans="1:14" customFormat="1" ht="73.5" customHeight="1">
      <c r="A1" s="2156"/>
      <c r="B1" s="2156"/>
      <c r="C1" s="2156"/>
      <c r="D1" s="2156"/>
      <c r="E1" s="2156"/>
      <c r="F1" s="2156"/>
      <c r="G1" s="2156"/>
      <c r="H1" s="2156"/>
      <c r="I1" s="2156"/>
      <c r="J1" s="2156"/>
      <c r="K1" s="2156"/>
      <c r="L1" s="2156"/>
      <c r="M1" s="43"/>
    </row>
    <row r="2" spans="1:14" customFormat="1" ht="9.75" customHeight="1">
      <c r="A2" s="2157"/>
      <c r="B2" s="2157"/>
      <c r="C2" s="2157"/>
      <c r="D2" s="2157"/>
      <c r="E2" s="2157"/>
      <c r="F2" s="2157"/>
      <c r="G2" s="2157"/>
      <c r="H2" s="2157"/>
      <c r="I2" s="2157"/>
      <c r="J2" s="2157"/>
      <c r="K2" s="2157"/>
      <c r="L2" s="2157"/>
      <c r="M2" s="43"/>
    </row>
    <row r="3" spans="1:14" customFormat="1" ht="21" customHeight="1">
      <c r="A3" s="39"/>
      <c r="B3" s="2158" t="s">
        <v>149</v>
      </c>
      <c r="C3" s="2159"/>
      <c r="D3" s="2159"/>
      <c r="E3" s="2159"/>
      <c r="F3" s="2159"/>
      <c r="G3" s="2159"/>
      <c r="H3" s="2160"/>
      <c r="I3" s="39"/>
      <c r="J3" s="39"/>
      <c r="K3" s="39"/>
      <c r="L3" s="89"/>
      <c r="M3" s="1446"/>
    </row>
    <row r="4" spans="1:14" customFormat="1" ht="18.75" customHeight="1">
      <c r="A4" s="553" t="s">
        <v>47</v>
      </c>
      <c r="B4" s="559" t="s">
        <v>134</v>
      </c>
      <c r="C4" s="559" t="s">
        <v>160</v>
      </c>
      <c r="D4" s="559" t="s">
        <v>135</v>
      </c>
      <c r="E4" s="559" t="s">
        <v>160</v>
      </c>
      <c r="F4" s="560" t="s">
        <v>136</v>
      </c>
      <c r="G4" s="559" t="s">
        <v>160</v>
      </c>
      <c r="H4" s="561" t="s">
        <v>145</v>
      </c>
      <c r="I4" s="89"/>
      <c r="J4" s="89"/>
      <c r="K4" s="89"/>
      <c r="L4" s="89"/>
      <c r="M4" s="1446"/>
    </row>
    <row r="5" spans="1:14" customFormat="1" ht="15.75">
      <c r="A5" s="562">
        <v>2005</v>
      </c>
      <c r="B5" s="555">
        <v>1182369144.5599999</v>
      </c>
      <c r="C5" s="557">
        <f t="shared" ref="C5:C10" si="0">B5/H5</f>
        <v>0.94107399436081784</v>
      </c>
      <c r="D5" s="555">
        <v>45221952.840000004</v>
      </c>
      <c r="E5" s="557">
        <f t="shared" ref="E5:E16" si="1">D5/H5</f>
        <v>3.5993161685365468E-2</v>
      </c>
      <c r="F5" s="555">
        <v>28812917.210000001</v>
      </c>
      <c r="G5" s="557">
        <f t="shared" ref="G5:G16" si="2">F5/H5</f>
        <v>2.2932843953816728E-2</v>
      </c>
      <c r="H5" s="558">
        <f t="shared" ref="H5:H15" si="3">B5+D5+F5</f>
        <v>1256404014.6099999</v>
      </c>
      <c r="I5" s="89"/>
      <c r="J5" s="39"/>
      <c r="K5" s="89"/>
      <c r="L5" s="89"/>
      <c r="M5" s="1447"/>
    </row>
    <row r="6" spans="1:14" customFormat="1" ht="15.75">
      <c r="A6" s="562">
        <v>2006</v>
      </c>
      <c r="B6" s="555">
        <v>1292735922.04</v>
      </c>
      <c r="C6" s="557">
        <f t="shared" si="0"/>
        <v>0.9378154266333486</v>
      </c>
      <c r="D6" s="555">
        <v>53017895.640000001</v>
      </c>
      <c r="E6" s="557">
        <f t="shared" si="1"/>
        <v>3.8461838625453222E-2</v>
      </c>
      <c r="F6" s="556">
        <v>32700711.139999997</v>
      </c>
      <c r="G6" s="557">
        <f t="shared" si="2"/>
        <v>2.3722734741198043E-2</v>
      </c>
      <c r="H6" s="558">
        <f t="shared" si="3"/>
        <v>1378454528.8200002</v>
      </c>
      <c r="I6" s="89"/>
      <c r="J6" s="39"/>
      <c r="K6" s="89"/>
      <c r="L6" s="89"/>
      <c r="M6" s="1447"/>
      <c r="N6" s="156"/>
    </row>
    <row r="7" spans="1:14" customFormat="1" ht="15.75">
      <c r="A7" s="562">
        <v>2007</v>
      </c>
      <c r="B7" s="555">
        <v>1635826213.1600001</v>
      </c>
      <c r="C7" s="557">
        <f t="shared" si="0"/>
        <v>0.94578819961072813</v>
      </c>
      <c r="D7" s="555">
        <v>70883463.600000009</v>
      </c>
      <c r="E7" s="557">
        <f t="shared" si="1"/>
        <v>4.0982802990368349E-2</v>
      </c>
      <c r="F7" s="556">
        <v>22880747.219999999</v>
      </c>
      <c r="G7" s="557">
        <f t="shared" si="2"/>
        <v>1.3228997398903602E-2</v>
      </c>
      <c r="H7" s="558">
        <f t="shared" si="3"/>
        <v>1729590423.98</v>
      </c>
      <c r="I7" s="89"/>
      <c r="J7" s="39"/>
      <c r="K7" s="89"/>
      <c r="L7" s="89"/>
      <c r="M7" s="1447"/>
      <c r="N7" s="156"/>
    </row>
    <row r="8" spans="1:14" customFormat="1" ht="15.75">
      <c r="A8" s="562">
        <v>2008</v>
      </c>
      <c r="B8" s="556">
        <v>1581393650.8599999</v>
      </c>
      <c r="C8" s="557">
        <f t="shared" si="0"/>
        <v>0.94890566872483018</v>
      </c>
      <c r="D8" s="556">
        <v>68964104.809999987</v>
      </c>
      <c r="E8" s="557">
        <f t="shared" si="1"/>
        <v>4.1381492809936499E-2</v>
      </c>
      <c r="F8" s="556">
        <v>16186878.83</v>
      </c>
      <c r="G8" s="557">
        <f t="shared" si="2"/>
        <v>9.7128384652334383E-3</v>
      </c>
      <c r="H8" s="558">
        <f t="shared" si="3"/>
        <v>1666544634.4999998</v>
      </c>
      <c r="I8" s="89"/>
      <c r="J8" s="39"/>
      <c r="K8" s="89"/>
      <c r="M8" s="1447"/>
      <c r="N8" s="156"/>
    </row>
    <row r="9" spans="1:14" customFormat="1" ht="15.75">
      <c r="A9" s="562">
        <v>2009</v>
      </c>
      <c r="B9" s="555">
        <v>1687099942.1400001</v>
      </c>
      <c r="C9" s="557">
        <f t="shared" si="0"/>
        <v>0.95230043356878247</v>
      </c>
      <c r="D9" s="555">
        <v>73407508.640000001</v>
      </c>
      <c r="E9" s="557">
        <f t="shared" si="1"/>
        <v>4.1435602336873975E-2</v>
      </c>
      <c r="F9" s="556">
        <v>11097268.350000001</v>
      </c>
      <c r="G9" s="557">
        <f t="shared" si="2"/>
        <v>6.263964094343601E-3</v>
      </c>
      <c r="H9" s="558">
        <f t="shared" si="3"/>
        <v>1771604719.1300001</v>
      </c>
      <c r="I9" s="89"/>
      <c r="J9" s="39"/>
      <c r="K9" s="89"/>
      <c r="L9" s="23"/>
      <c r="M9" s="1447"/>
      <c r="N9" s="156"/>
    </row>
    <row r="10" spans="1:14" customFormat="1" ht="15.75">
      <c r="A10" s="562">
        <v>2010</v>
      </c>
      <c r="B10" s="555">
        <v>1922473262.4300001</v>
      </c>
      <c r="C10" s="557">
        <f t="shared" si="0"/>
        <v>0.95304420065592299</v>
      </c>
      <c r="D10" s="555">
        <v>83809693.36999999</v>
      </c>
      <c r="E10" s="557">
        <f t="shared" si="1"/>
        <v>4.1547699926951773E-2</v>
      </c>
      <c r="F10" s="556">
        <v>10909175.590000002</v>
      </c>
      <c r="G10" s="557">
        <f t="shared" si="2"/>
        <v>5.4080994171253009E-3</v>
      </c>
      <c r="H10" s="558">
        <f t="shared" si="3"/>
        <v>2017192131.3899999</v>
      </c>
      <c r="I10" s="91"/>
      <c r="J10" s="39"/>
      <c r="K10" s="91"/>
      <c r="L10" s="23"/>
      <c r="M10" s="1447"/>
      <c r="N10" s="210"/>
    </row>
    <row r="11" spans="1:14" s="77" customFormat="1" ht="15.75">
      <c r="A11" s="562">
        <v>2011</v>
      </c>
      <c r="B11" s="555">
        <v>2175109581.8400002</v>
      </c>
      <c r="C11" s="557">
        <f t="shared" ref="C11:C16" si="4">B11/H11</f>
        <v>0.95103367657376847</v>
      </c>
      <c r="D11" s="555">
        <v>94554070.570000008</v>
      </c>
      <c r="E11" s="557">
        <f t="shared" si="1"/>
        <v>4.1342333333446481E-2</v>
      </c>
      <c r="F11" s="556">
        <v>17436831.43</v>
      </c>
      <c r="G11" s="557">
        <f t="shared" si="2"/>
        <v>7.623990092785026E-3</v>
      </c>
      <c r="H11" s="558">
        <f t="shared" si="3"/>
        <v>2287100483.8400002</v>
      </c>
      <c r="I11" s="91"/>
      <c r="J11" s="39"/>
      <c r="K11" s="91"/>
      <c r="L11" s="23"/>
      <c r="M11" s="1447"/>
    </row>
    <row r="12" spans="1:14" s="77" customFormat="1" ht="15.75">
      <c r="A12" s="562">
        <v>2012</v>
      </c>
      <c r="B12" s="555">
        <v>2411674911.5</v>
      </c>
      <c r="C12" s="566">
        <f t="shared" si="4"/>
        <v>0.95211214546597178</v>
      </c>
      <c r="D12" s="555">
        <v>104789518.08999999</v>
      </c>
      <c r="E12" s="566">
        <f t="shared" si="1"/>
        <v>4.1370158314148531E-2</v>
      </c>
      <c r="F12" s="556">
        <v>16509152.34</v>
      </c>
      <c r="G12" s="566">
        <f t="shared" si="2"/>
        <v>6.5176962198795789E-3</v>
      </c>
      <c r="H12" s="558">
        <f t="shared" si="3"/>
        <v>2532973581.9300003</v>
      </c>
      <c r="I12" s="91"/>
      <c r="J12" s="39"/>
      <c r="K12" s="91"/>
      <c r="L12" s="23"/>
      <c r="M12" s="1447"/>
    </row>
    <row r="13" spans="1:14" s="77" customFormat="1" ht="15.75">
      <c r="A13" s="562">
        <v>2013</v>
      </c>
      <c r="B13" s="555">
        <v>2663186569.8199997</v>
      </c>
      <c r="C13" s="566">
        <f t="shared" si="4"/>
        <v>0.95177416884053523</v>
      </c>
      <c r="D13" s="555">
        <v>115834844.37000003</v>
      </c>
      <c r="E13" s="566">
        <f t="shared" si="1"/>
        <v>4.1397254691953878E-2</v>
      </c>
      <c r="F13" s="556">
        <v>19107235.449999999</v>
      </c>
      <c r="G13" s="566">
        <f t="shared" si="2"/>
        <v>6.8285764675109885E-3</v>
      </c>
      <c r="H13" s="558">
        <f t="shared" si="3"/>
        <v>2798128649.6399994</v>
      </c>
      <c r="J13" s="39"/>
      <c r="K13" s="91"/>
      <c r="L13" s="23"/>
      <c r="M13" s="1447"/>
    </row>
    <row r="14" spans="1:14" s="77" customFormat="1" ht="15.75">
      <c r="A14" s="562">
        <v>2014</v>
      </c>
      <c r="B14" s="567">
        <v>3005088863.5</v>
      </c>
      <c r="C14" s="1402">
        <f t="shared" si="4"/>
        <v>0.95169285075746779</v>
      </c>
      <c r="D14" s="567">
        <v>131454109.10000002</v>
      </c>
      <c r="E14" s="1402">
        <f t="shared" si="1"/>
        <v>4.1630694304146058E-2</v>
      </c>
      <c r="F14" s="568">
        <v>21081739.099999998</v>
      </c>
      <c r="G14" s="1402">
        <f t="shared" si="2"/>
        <v>6.6764549383862741E-3</v>
      </c>
      <c r="H14" s="1403">
        <f t="shared" si="3"/>
        <v>3157624711.6999998</v>
      </c>
      <c r="J14" s="39"/>
      <c r="K14" s="91"/>
      <c r="L14" s="23"/>
      <c r="M14" s="1447"/>
    </row>
    <row r="15" spans="1:14" s="77" customFormat="1" ht="15.75">
      <c r="A15" s="562" t="s">
        <v>1015</v>
      </c>
      <c r="B15" s="567">
        <v>3075446234.2800002</v>
      </c>
      <c r="C15" s="1402">
        <f t="shared" si="4"/>
        <v>0.95345450057359438</v>
      </c>
      <c r="D15" s="567">
        <v>133329096.23999999</v>
      </c>
      <c r="E15" s="1402">
        <f t="shared" si="1"/>
        <v>4.1334888397812949E-2</v>
      </c>
      <c r="F15" s="568">
        <v>16807256.199999999</v>
      </c>
      <c r="G15" s="1402">
        <f t="shared" si="2"/>
        <v>5.2106110285927614E-3</v>
      </c>
      <c r="H15" s="1403">
        <f t="shared" si="3"/>
        <v>3225582586.7199998</v>
      </c>
      <c r="I15" s="277"/>
      <c r="J15" s="39"/>
      <c r="K15" s="91"/>
      <c r="L15" s="23"/>
      <c r="M15" s="837"/>
    </row>
    <row r="16" spans="1:14" customFormat="1" ht="15.75">
      <c r="A16" s="554" t="s">
        <v>23</v>
      </c>
      <c r="B16" s="563">
        <f>SUM(B5:B15)</f>
        <v>22632404296.129997</v>
      </c>
      <c r="C16" s="564">
        <f t="shared" si="4"/>
        <v>0.95009503522654959</v>
      </c>
      <c r="D16" s="563">
        <f>SUM(D5:D15)</f>
        <v>975266257.26999998</v>
      </c>
      <c r="E16" s="564">
        <f t="shared" si="1"/>
        <v>4.0941104485953707E-2</v>
      </c>
      <c r="F16" s="563">
        <f>SUM(F5:F15)</f>
        <v>213529912.85999998</v>
      </c>
      <c r="G16" s="564">
        <f t="shared" si="2"/>
        <v>8.9638602874964508E-3</v>
      </c>
      <c r="H16" s="565">
        <f>SUM(H5:H15)</f>
        <v>23821200466.260002</v>
      </c>
      <c r="I16" s="39"/>
      <c r="J16" s="90"/>
      <c r="K16" s="90"/>
      <c r="L16" s="39"/>
      <c r="M16" s="1448"/>
    </row>
    <row r="17" spans="2:14" customFormat="1">
      <c r="B17" s="18"/>
      <c r="C17" s="18"/>
      <c r="D17" s="18"/>
      <c r="E17" s="18"/>
      <c r="F17" s="18"/>
      <c r="G17" s="23"/>
      <c r="H17" s="23"/>
      <c r="I17" s="23"/>
      <c r="J17" s="23"/>
      <c r="K17" s="23"/>
      <c r="L17" s="39"/>
      <c r="M17" s="1448"/>
      <c r="N17" s="23"/>
    </row>
    <row r="18" spans="2:14" customFormat="1">
      <c r="B18" s="156"/>
      <c r="C18" s="156"/>
      <c r="D18" s="156"/>
      <c r="E18" s="156"/>
      <c r="F18" s="156"/>
      <c r="G18" s="23"/>
      <c r="H18" s="23"/>
      <c r="I18" s="23"/>
      <c r="J18" s="23"/>
      <c r="K18" s="23"/>
      <c r="L18" s="23"/>
      <c r="M18" s="1449"/>
      <c r="N18" s="23"/>
    </row>
    <row r="19" spans="2:14" customFormat="1">
      <c r="C19" s="23"/>
      <c r="D19" s="23"/>
      <c r="E19" s="23"/>
      <c r="F19" s="23"/>
      <c r="G19" s="23"/>
      <c r="H19" s="23"/>
      <c r="I19" s="23"/>
      <c r="J19" s="23"/>
      <c r="K19" s="23"/>
      <c r="L19" s="23"/>
      <c r="M19" s="1450"/>
      <c r="N19" s="23"/>
    </row>
    <row r="20" spans="2:14" customFormat="1">
      <c r="C20" s="23"/>
      <c r="D20" s="23"/>
      <c r="E20" s="23"/>
      <c r="F20" s="23"/>
      <c r="G20" s="23"/>
      <c r="H20" s="23"/>
      <c r="I20" s="23"/>
      <c r="J20" s="23"/>
      <c r="K20" s="23"/>
      <c r="L20" s="23"/>
      <c r="M20" s="1451"/>
      <c r="N20" s="23"/>
    </row>
    <row r="21" spans="2:14" customFormat="1">
      <c r="C21" s="23"/>
      <c r="D21" s="23"/>
      <c r="E21" s="23"/>
      <c r="F21" s="23"/>
      <c r="G21" s="23"/>
      <c r="H21" s="23"/>
      <c r="I21" s="23"/>
      <c r="J21" s="23"/>
      <c r="K21" s="23"/>
      <c r="L21" s="23"/>
      <c r="M21" s="1451"/>
      <c r="N21" s="23"/>
    </row>
    <row r="22" spans="2:14" customFormat="1">
      <c r="C22" s="23"/>
      <c r="D22" s="23"/>
      <c r="E22" s="23"/>
      <c r="F22" s="23"/>
      <c r="G22" s="23"/>
      <c r="H22" s="23"/>
      <c r="I22" s="23"/>
      <c r="J22" s="23"/>
      <c r="K22" s="23"/>
      <c r="L22" s="23"/>
      <c r="M22" s="1452"/>
      <c r="N22" s="23"/>
    </row>
    <row r="23" spans="2:14" customFormat="1">
      <c r="C23" s="23"/>
      <c r="D23" s="23"/>
      <c r="E23" s="23"/>
      <c r="F23" s="23"/>
      <c r="G23" s="23"/>
      <c r="H23" s="23"/>
      <c r="I23" s="23"/>
      <c r="J23" s="23"/>
      <c r="K23" s="23"/>
      <c r="L23" s="23"/>
      <c r="M23" s="1449"/>
      <c r="N23" s="23"/>
    </row>
    <row r="24" spans="2:14" customFormat="1">
      <c r="C24" s="23"/>
      <c r="D24" s="23"/>
      <c r="E24" s="23"/>
      <c r="F24" s="23"/>
      <c r="G24" s="23"/>
      <c r="H24" s="23"/>
      <c r="I24" s="23"/>
      <c r="J24" s="23"/>
      <c r="K24" s="23"/>
      <c r="L24" s="23"/>
      <c r="M24" s="1449"/>
      <c r="N24" s="23"/>
    </row>
    <row r="25" spans="2:14" customFormat="1">
      <c r="C25" s="23"/>
      <c r="D25" s="23"/>
      <c r="E25" s="23"/>
      <c r="F25" s="23"/>
      <c r="G25" s="23"/>
      <c r="H25" s="23"/>
      <c r="I25" s="23"/>
      <c r="J25" s="23"/>
      <c r="K25" s="23"/>
      <c r="L25" s="23"/>
      <c r="M25" s="1449"/>
      <c r="N25" s="23"/>
    </row>
    <row r="26" spans="2:14" customFormat="1">
      <c r="C26" s="23"/>
      <c r="D26" s="23"/>
      <c r="E26" s="23"/>
      <c r="F26" s="23"/>
      <c r="G26" s="23"/>
      <c r="H26" s="23"/>
      <c r="I26" s="23"/>
      <c r="J26" s="23"/>
      <c r="K26" s="23"/>
      <c r="L26" s="23"/>
      <c r="M26" s="1449"/>
      <c r="N26" s="23"/>
    </row>
    <row r="27" spans="2:14" customFormat="1">
      <c r="C27" s="23"/>
      <c r="D27" s="23"/>
      <c r="E27" s="23"/>
      <c r="F27" s="23"/>
      <c r="G27" s="23"/>
      <c r="H27" s="23"/>
      <c r="I27" s="23"/>
      <c r="J27" s="23"/>
      <c r="K27" s="23"/>
      <c r="L27" s="23"/>
      <c r="M27" s="1449"/>
      <c r="N27" s="23"/>
    </row>
    <row r="28" spans="2:14" customFormat="1">
      <c r="C28" s="23"/>
      <c r="D28" s="23"/>
      <c r="E28" s="23"/>
      <c r="F28" s="23"/>
      <c r="G28" s="23"/>
      <c r="H28" s="23"/>
      <c r="I28" s="23"/>
      <c r="J28" s="23"/>
      <c r="K28" s="23"/>
      <c r="L28" s="23"/>
      <c r="M28" s="1449"/>
      <c r="N28" s="23"/>
    </row>
    <row r="29" spans="2:14" customFormat="1">
      <c r="C29" s="23"/>
      <c r="D29" s="23"/>
      <c r="E29" s="23"/>
      <c r="F29" s="23"/>
      <c r="G29" s="23"/>
      <c r="H29" s="23"/>
      <c r="I29" s="23"/>
      <c r="J29" s="23"/>
      <c r="K29" s="23"/>
      <c r="L29" s="23"/>
      <c r="M29" s="1449"/>
      <c r="N29" s="23"/>
    </row>
    <row r="30" spans="2:14" customFormat="1">
      <c r="C30" s="23"/>
      <c r="D30" s="23"/>
      <c r="E30" s="23"/>
      <c r="F30" s="23"/>
      <c r="G30" s="23"/>
      <c r="H30" s="23"/>
      <c r="I30" s="23"/>
      <c r="J30" s="23"/>
      <c r="K30" s="23"/>
      <c r="L30" s="23"/>
      <c r="M30" s="1449"/>
      <c r="N30" s="23"/>
    </row>
    <row r="31" spans="2:14" customFormat="1">
      <c r="C31" s="23"/>
      <c r="D31" s="23"/>
      <c r="E31" s="23"/>
      <c r="F31" s="23"/>
      <c r="G31" s="23"/>
      <c r="H31" s="23"/>
      <c r="I31" s="23"/>
      <c r="J31" s="23"/>
      <c r="K31" s="23"/>
      <c r="L31" s="23"/>
      <c r="M31" s="1449"/>
      <c r="N31" s="23"/>
    </row>
    <row r="32" spans="2:14" customFormat="1">
      <c r="C32" s="23"/>
      <c r="D32" s="23"/>
      <c r="E32" s="23"/>
      <c r="F32" s="23"/>
      <c r="G32" s="23"/>
      <c r="H32" s="23"/>
      <c r="I32" s="23"/>
      <c r="J32" s="23"/>
      <c r="K32" s="23"/>
      <c r="L32" s="23"/>
      <c r="M32" s="1449"/>
      <c r="N32" s="23"/>
    </row>
    <row r="33" spans="3:14" customFormat="1">
      <c r="C33" s="23"/>
      <c r="D33" s="23"/>
      <c r="E33" s="23"/>
      <c r="F33" s="23"/>
      <c r="G33" s="23"/>
      <c r="H33" s="23"/>
      <c r="I33" s="23"/>
      <c r="J33" s="23"/>
      <c r="K33" s="23"/>
      <c r="L33" s="23"/>
      <c r="M33" s="1449"/>
      <c r="N33" s="23"/>
    </row>
    <row r="34" spans="3:14" customFormat="1">
      <c r="C34" s="23"/>
      <c r="D34" s="23"/>
      <c r="E34" s="23"/>
      <c r="F34" s="23"/>
      <c r="G34" s="23"/>
      <c r="H34" s="23"/>
      <c r="I34" s="23"/>
      <c r="J34" s="23"/>
      <c r="K34" s="23"/>
      <c r="L34" s="23"/>
      <c r="M34" s="1449"/>
      <c r="N34" s="23"/>
    </row>
    <row r="35" spans="3:14" customFormat="1">
      <c r="C35" s="23"/>
      <c r="D35" s="23"/>
      <c r="E35" s="23"/>
      <c r="F35" s="23"/>
      <c r="G35" s="23"/>
      <c r="H35" s="23"/>
      <c r="I35" s="23"/>
      <c r="J35" s="23"/>
      <c r="K35" s="23"/>
      <c r="L35" s="23"/>
      <c r="M35" s="1449"/>
      <c r="N35" s="23"/>
    </row>
    <row r="36" spans="3:14" customFormat="1">
      <c r="J36" s="77"/>
      <c r="K36" s="77"/>
      <c r="M36" s="43"/>
    </row>
    <row r="37" spans="3:14" customFormat="1">
      <c r="J37" s="77"/>
      <c r="K37" s="77"/>
      <c r="M37" s="43"/>
    </row>
    <row r="38" spans="3:14" customFormat="1">
      <c r="J38" s="77"/>
      <c r="K38" s="77"/>
      <c r="M38" s="43"/>
    </row>
    <row r="39" spans="3:14" customFormat="1" ht="39" customHeight="1">
      <c r="J39" s="77"/>
      <c r="K39" s="77"/>
      <c r="M39" s="43"/>
    </row>
    <row r="40" spans="3:14" customFormat="1">
      <c r="J40" s="77"/>
      <c r="K40" s="77"/>
      <c r="M40" s="43"/>
    </row>
    <row r="41" spans="3:14" customFormat="1">
      <c r="J41" s="77"/>
      <c r="K41" s="77"/>
      <c r="M41" s="43"/>
    </row>
    <row r="42" spans="3:14" customFormat="1">
      <c r="J42" s="77"/>
      <c r="K42" s="77"/>
      <c r="M42" s="43"/>
    </row>
    <row r="43" spans="3:14" customFormat="1">
      <c r="J43" s="77"/>
      <c r="K43" s="77"/>
      <c r="M43" s="43"/>
    </row>
    <row r="44" spans="3:14" customFormat="1">
      <c r="J44" s="77"/>
      <c r="K44" s="77"/>
      <c r="M44" s="43"/>
    </row>
    <row r="45" spans="3:14" customFormat="1">
      <c r="J45" s="77"/>
      <c r="K45" s="77"/>
      <c r="M45" s="43"/>
    </row>
    <row r="46" spans="3:14" customFormat="1">
      <c r="J46" s="77"/>
      <c r="K46" s="77"/>
      <c r="M46" s="43"/>
    </row>
    <row r="47" spans="3:14" customFormat="1">
      <c r="J47" s="77"/>
      <c r="K47" s="77"/>
      <c r="M47" s="43"/>
    </row>
    <row r="48" spans="3:14" customFormat="1">
      <c r="J48" s="77"/>
      <c r="K48" s="77"/>
      <c r="M48" s="43"/>
    </row>
    <row r="49" spans="10:13" customFormat="1">
      <c r="J49" s="77"/>
      <c r="K49" s="77"/>
      <c r="M49" s="43"/>
    </row>
    <row r="50" spans="10:13" customFormat="1">
      <c r="J50" s="77"/>
      <c r="K50" s="77"/>
      <c r="M50" s="43"/>
    </row>
  </sheetData>
  <mergeCells count="3">
    <mergeCell ref="A1:L1"/>
    <mergeCell ref="A2:L2"/>
    <mergeCell ref="B3:H3"/>
  </mergeCells>
  <printOptions horizontalCentered="1"/>
  <pageMargins left="0.39370078740157483" right="0.39370078740157483" top="0.23622047244094491" bottom="0.23622047244094491" header="0.31496062992125984" footer="0.31496062992125984"/>
  <pageSetup scale="61" orientation="landscape" r:id="rId1"/>
  <drawing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9">
    <tabColor rgb="FF00B0F0"/>
    <pageSetUpPr fitToPage="1"/>
  </sheetPr>
  <dimension ref="A1:L52"/>
  <sheetViews>
    <sheetView showGridLines="0" view="pageBreakPreview" zoomScale="85" zoomScaleNormal="100" zoomScaleSheetLayoutView="85" workbookViewId="0">
      <selection activeCell="H17" sqref="H17"/>
    </sheetView>
  </sheetViews>
  <sheetFormatPr baseColWidth="10" defaultColWidth="11.42578125" defaultRowHeight="15"/>
  <cols>
    <col min="1" max="1" width="11.85546875" style="55" customWidth="1"/>
    <col min="2" max="2" width="20.28515625" style="55" customWidth="1"/>
    <col min="3" max="3" width="11.42578125" style="55" customWidth="1"/>
    <col min="4" max="4" width="18.85546875" style="55" customWidth="1"/>
    <col min="5" max="5" width="11.85546875" style="55" customWidth="1"/>
    <col min="6" max="6" width="18.28515625" style="55" customWidth="1"/>
    <col min="7" max="7" width="11.85546875" style="55" customWidth="1"/>
    <col min="8" max="8" width="21.5703125" style="55" customWidth="1"/>
    <col min="9" max="9" width="18.7109375" style="55" customWidth="1"/>
    <col min="10" max="12" width="10.28515625" style="55" customWidth="1"/>
    <col min="13" max="13" width="8.42578125" style="55" customWidth="1"/>
    <col min="14" max="14" width="6.7109375" style="55" bestFit="1" customWidth="1"/>
    <col min="15" max="16384" width="11.42578125" style="55"/>
  </cols>
  <sheetData>
    <row r="1" spans="1:12" customFormat="1" ht="61.5" customHeight="1">
      <c r="A1" s="2161"/>
      <c r="B1" s="2161"/>
      <c r="C1" s="2161"/>
      <c r="D1" s="2161"/>
      <c r="E1" s="2161"/>
      <c r="F1" s="2161"/>
      <c r="G1" s="2161"/>
      <c r="H1" s="2161"/>
      <c r="I1" s="2161"/>
      <c r="J1" s="2161"/>
      <c r="K1" s="2161"/>
      <c r="L1" s="2161"/>
    </row>
    <row r="2" spans="1:12" s="77" customFormat="1" ht="8.25" customHeight="1">
      <c r="A2" s="75"/>
      <c r="B2" s="75"/>
      <c r="C2" s="75"/>
      <c r="D2" s="75"/>
      <c r="E2" s="75"/>
      <c r="F2" s="75"/>
      <c r="G2" s="75"/>
      <c r="H2" s="75"/>
      <c r="I2" s="75"/>
      <c r="J2" s="75"/>
      <c r="K2" s="75"/>
      <c r="L2" s="75"/>
    </row>
    <row r="3" spans="1:12" customFormat="1" ht="16.5" customHeight="1">
      <c r="A3" s="75"/>
      <c r="B3" s="2162" t="s">
        <v>144</v>
      </c>
      <c r="C3" s="2163"/>
      <c r="D3" s="2163"/>
      <c r="E3" s="2163"/>
      <c r="F3" s="2163"/>
      <c r="G3" s="2163"/>
      <c r="H3" s="2164"/>
      <c r="I3" s="75"/>
      <c r="J3" s="75"/>
      <c r="K3" s="75"/>
      <c r="L3" s="75"/>
    </row>
    <row r="4" spans="1:12" s="1484" customFormat="1" ht="15.75" customHeight="1">
      <c r="A4" s="385" t="s">
        <v>46</v>
      </c>
      <c r="B4" s="520" t="s">
        <v>134</v>
      </c>
      <c r="C4" s="520" t="s">
        <v>160</v>
      </c>
      <c r="D4" s="520" t="s">
        <v>771</v>
      </c>
      <c r="E4" s="520" t="s">
        <v>160</v>
      </c>
      <c r="F4" s="570" t="s">
        <v>136</v>
      </c>
      <c r="G4" s="520" t="s">
        <v>160</v>
      </c>
      <c r="H4" s="573" t="s">
        <v>23</v>
      </c>
      <c r="I4" s="1482"/>
      <c r="J4" s="1482"/>
      <c r="K4" s="1482"/>
      <c r="L4" s="1483"/>
    </row>
    <row r="5" spans="1:12" s="135" customFormat="1" ht="14.25" customHeight="1">
      <c r="A5" s="521" t="s">
        <v>576</v>
      </c>
      <c r="B5" s="567">
        <v>260633723.61000001</v>
      </c>
      <c r="C5" s="835">
        <f t="shared" ref="C5:C8" si="0">B5/H5</f>
        <v>0.95371560554394097</v>
      </c>
      <c r="D5" s="836">
        <v>11231487.220000001</v>
      </c>
      <c r="E5" s="834">
        <f t="shared" ref="E5:E8" si="1">D5/H5</f>
        <v>4.109845988775318E-2</v>
      </c>
      <c r="F5" s="836">
        <v>1417224.83</v>
      </c>
      <c r="G5" s="834">
        <f t="shared" ref="G5:G8" si="2">F5/H5</f>
        <v>5.1859345683058014E-3</v>
      </c>
      <c r="H5" s="574">
        <f t="shared" ref="H5:H9" si="3">+F5+D5+B5</f>
        <v>273282435.66000003</v>
      </c>
      <c r="I5" s="1269"/>
      <c r="J5" s="1271"/>
      <c r="K5" s="1271"/>
      <c r="L5" s="1270"/>
    </row>
    <row r="6" spans="1:12" s="135" customFormat="1" ht="14.25" customHeight="1">
      <c r="A6" s="521" t="s">
        <v>574</v>
      </c>
      <c r="B6" s="567">
        <v>260482080.38999999</v>
      </c>
      <c r="C6" s="835">
        <f t="shared" si="0"/>
        <v>0.95205469176251423</v>
      </c>
      <c r="D6" s="836">
        <v>11805929.15</v>
      </c>
      <c r="E6" s="834">
        <f t="shared" si="1"/>
        <v>4.3150339635819476E-2</v>
      </c>
      <c r="F6" s="836">
        <v>1311902.99</v>
      </c>
      <c r="G6" s="834">
        <f t="shared" si="2"/>
        <v>4.794968601666315E-3</v>
      </c>
      <c r="H6" s="574">
        <f t="shared" si="3"/>
        <v>273599912.52999997</v>
      </c>
      <c r="I6" s="1269"/>
      <c r="J6" s="1271"/>
      <c r="K6" s="1271"/>
      <c r="L6" s="1270"/>
    </row>
    <row r="7" spans="1:12" s="135" customFormat="1" ht="14.25" customHeight="1">
      <c r="A7" s="521" t="s">
        <v>575</v>
      </c>
      <c r="B7" s="567">
        <v>267983569.22999999</v>
      </c>
      <c r="C7" s="835">
        <f t="shared" si="0"/>
        <v>0.9545079078098081</v>
      </c>
      <c r="D7" s="836">
        <v>11225916.75</v>
      </c>
      <c r="E7" s="834">
        <f t="shared" si="1"/>
        <v>3.9984639136935722E-2</v>
      </c>
      <c r="F7" s="836">
        <v>1546249.03</v>
      </c>
      <c r="G7" s="834">
        <f t="shared" si="2"/>
        <v>5.5074530532561537E-3</v>
      </c>
      <c r="H7" s="574">
        <f t="shared" si="3"/>
        <v>280755735.00999999</v>
      </c>
      <c r="I7" s="1269"/>
      <c r="K7" s="1271"/>
      <c r="L7" s="1270"/>
    </row>
    <row r="8" spans="1:12" s="135" customFormat="1" ht="14.25" customHeight="1">
      <c r="A8" s="521" t="s">
        <v>711</v>
      </c>
      <c r="B8" s="567">
        <v>265285189.87</v>
      </c>
      <c r="C8" s="835">
        <f t="shared" si="0"/>
        <v>0.95253357637502756</v>
      </c>
      <c r="D8" s="836">
        <v>11348212.01</v>
      </c>
      <c r="E8" s="834">
        <f t="shared" si="1"/>
        <v>4.074691458141496E-2</v>
      </c>
      <c r="F8" s="836">
        <v>1871415.64</v>
      </c>
      <c r="G8" s="834">
        <f t="shared" si="2"/>
        <v>6.7195090435576031E-3</v>
      </c>
      <c r="H8" s="574">
        <f t="shared" si="3"/>
        <v>278504817.51999998</v>
      </c>
      <c r="I8" s="1269"/>
      <c r="K8" s="1271"/>
      <c r="L8" s="1270"/>
    </row>
    <row r="9" spans="1:12" s="135" customFormat="1" ht="14.25" customHeight="1">
      <c r="A9" s="521" t="s">
        <v>732</v>
      </c>
      <c r="B9" s="567">
        <v>264604418.80000001</v>
      </c>
      <c r="C9" s="835">
        <v>0.95288850034363559</v>
      </c>
      <c r="D9" s="836">
        <v>11956968.699999999</v>
      </c>
      <c r="E9" s="834">
        <v>4.3059212785900719E-2</v>
      </c>
      <c r="F9" s="836">
        <v>1125265.98</v>
      </c>
      <c r="G9" s="834">
        <v>4.0522868704636738E-3</v>
      </c>
      <c r="H9" s="574">
        <f t="shared" si="3"/>
        <v>277686653.48000002</v>
      </c>
      <c r="I9" s="1269"/>
      <c r="K9" s="1271"/>
      <c r="L9" s="1270"/>
    </row>
    <row r="10" spans="1:12" s="135" customFormat="1" ht="14.25" customHeight="1">
      <c r="A10" s="521" t="s">
        <v>738</v>
      </c>
      <c r="B10" s="567">
        <v>189992092.56999999</v>
      </c>
      <c r="C10" s="835">
        <f t="shared" ref="C10:C16" si="4">B10/H10</f>
        <v>0.936085200120091</v>
      </c>
      <c r="D10" s="836">
        <v>11741328.210000001</v>
      </c>
      <c r="E10" s="834">
        <f t="shared" ref="E10:E16" si="5">D10/H10</f>
        <v>5.784916318601039E-2</v>
      </c>
      <c r="F10" s="836">
        <v>1231109.1000000001</v>
      </c>
      <c r="G10" s="834">
        <f>F10/H10</f>
        <v>6.0656366938985672E-3</v>
      </c>
      <c r="H10" s="574">
        <f>+F10+D10+B10</f>
        <v>202964529.88</v>
      </c>
      <c r="I10" s="1269"/>
      <c r="K10" s="1271"/>
      <c r="L10" s="1270"/>
    </row>
    <row r="11" spans="1:12" s="135" customFormat="1" ht="14.25" customHeight="1">
      <c r="A11" s="521" t="s">
        <v>746</v>
      </c>
      <c r="B11" s="567">
        <v>353354533.29000002</v>
      </c>
      <c r="C11" s="835">
        <f t="shared" si="4"/>
        <v>0.96336755855023604</v>
      </c>
      <c r="D11" s="836">
        <v>11875285.16</v>
      </c>
      <c r="E11" s="834">
        <f t="shared" si="5"/>
        <v>3.2376164429417299E-2</v>
      </c>
      <c r="F11" s="836">
        <v>1561164.03</v>
      </c>
      <c r="G11" s="834">
        <f>F11/H11</f>
        <v>4.2562770203466646E-3</v>
      </c>
      <c r="H11" s="574">
        <f>+F11+D11+B11</f>
        <v>366790982.48000002</v>
      </c>
      <c r="I11" s="1269"/>
      <c r="K11" s="1271"/>
      <c r="L11" s="1270"/>
    </row>
    <row r="12" spans="1:12" s="135" customFormat="1" ht="14.25" customHeight="1">
      <c r="A12" s="521" t="s">
        <v>760</v>
      </c>
      <c r="B12" s="567">
        <v>279764884</v>
      </c>
      <c r="C12" s="835">
        <f t="shared" si="4"/>
        <v>0.95365281200553853</v>
      </c>
      <c r="D12" s="836">
        <v>12104007.859999999</v>
      </c>
      <c r="E12" s="834">
        <f t="shared" si="5"/>
        <v>4.1259721260178385E-2</v>
      </c>
      <c r="F12" s="836">
        <v>1492466.15</v>
      </c>
      <c r="G12" s="834">
        <f t="shared" ref="G12:G16" si="6">F12/H12</f>
        <v>5.087466734283134E-3</v>
      </c>
      <c r="H12" s="574">
        <f t="shared" ref="H12:H16" si="7">+F12+D12+B12</f>
        <v>293361358.00999999</v>
      </c>
      <c r="I12" s="1269"/>
      <c r="K12" s="1271"/>
      <c r="L12" s="1270"/>
    </row>
    <row r="13" spans="1:12" s="135" customFormat="1" ht="14.25" customHeight="1">
      <c r="A13" s="521" t="s">
        <v>769</v>
      </c>
      <c r="B13" s="567">
        <v>281881421.44999999</v>
      </c>
      <c r="C13" s="835">
        <f t="shared" si="4"/>
        <v>0.95081638400643942</v>
      </c>
      <c r="D13" s="836">
        <v>12355560.74</v>
      </c>
      <c r="E13" s="834">
        <f t="shared" si="5"/>
        <v>4.1676636667814446E-2</v>
      </c>
      <c r="F13" s="836">
        <v>2225538.0099999998</v>
      </c>
      <c r="G13" s="834">
        <f t="shared" si="6"/>
        <v>7.5069793257461484E-3</v>
      </c>
      <c r="H13" s="574">
        <f t="shared" si="7"/>
        <v>296462520.19999999</v>
      </c>
      <c r="I13" s="1269"/>
      <c r="K13" s="1271"/>
      <c r="L13" s="1270"/>
    </row>
    <row r="14" spans="1:12" s="135" customFormat="1" ht="14.25" customHeight="1">
      <c r="A14" s="521" t="s">
        <v>779</v>
      </c>
      <c r="B14" s="567">
        <v>282888965.54000002</v>
      </c>
      <c r="C14" s="835">
        <f t="shared" si="4"/>
        <v>0.95390544415976841</v>
      </c>
      <c r="D14" s="836">
        <v>12307096.369999999</v>
      </c>
      <c r="E14" s="834">
        <f t="shared" si="5"/>
        <v>4.1499696556675819E-2</v>
      </c>
      <c r="F14" s="836">
        <v>1362645.53</v>
      </c>
      <c r="G14" s="834">
        <f t="shared" si="6"/>
        <v>4.5948592835558253E-3</v>
      </c>
      <c r="H14" s="574">
        <f t="shared" si="7"/>
        <v>296558707.44</v>
      </c>
      <c r="I14" s="1269"/>
      <c r="K14" s="1271"/>
      <c r="L14" s="1270"/>
    </row>
    <row r="15" spans="1:12" s="135" customFormat="1" ht="14.25" customHeight="1">
      <c r="A15" s="521" t="s">
        <v>783</v>
      </c>
      <c r="B15" s="567">
        <v>293407782.22000003</v>
      </c>
      <c r="C15" s="835">
        <f t="shared" si="4"/>
        <v>0.95363093303481961</v>
      </c>
      <c r="D15" s="836">
        <v>12468251.859999999</v>
      </c>
      <c r="E15" s="834">
        <f t="shared" si="5"/>
        <v>4.0524182980428251E-2</v>
      </c>
      <c r="F15" s="836">
        <v>1798320.91</v>
      </c>
      <c r="G15" s="834">
        <f t="shared" si="6"/>
        <v>5.8448839847521535E-3</v>
      </c>
      <c r="H15" s="574">
        <f t="shared" si="7"/>
        <v>307674354.99000001</v>
      </c>
      <c r="I15" s="1269"/>
      <c r="K15" s="1271"/>
      <c r="L15" s="1270"/>
    </row>
    <row r="16" spans="1:12" s="135" customFormat="1" ht="14.25" customHeight="1">
      <c r="A16" s="521" t="s">
        <v>970</v>
      </c>
      <c r="B16" s="567">
        <v>278623921</v>
      </c>
      <c r="C16" s="835">
        <f t="shared" si="4"/>
        <v>0.95346787488339257</v>
      </c>
      <c r="D16" s="836">
        <v>12752847.9</v>
      </c>
      <c r="E16" s="834">
        <f t="shared" si="5"/>
        <v>4.3641015251968035E-2</v>
      </c>
      <c r="F16" s="836">
        <v>844844.79</v>
      </c>
      <c r="G16" s="834">
        <f t="shared" si="6"/>
        <v>2.8911098646393902E-3</v>
      </c>
      <c r="H16" s="574">
        <f t="shared" si="7"/>
        <v>292221613.69</v>
      </c>
      <c r="I16" s="1269"/>
      <c r="K16" s="1271"/>
      <c r="L16" s="1270"/>
    </row>
    <row r="17" spans="1:12" customFormat="1" ht="12.75" customHeight="1">
      <c r="A17" s="1872" t="s">
        <v>1002</v>
      </c>
      <c r="B17" s="1873">
        <v>317659456.31</v>
      </c>
      <c r="C17" s="1874">
        <f t="shared" ref="C17" si="8">B17/H17</f>
        <v>0.95507577065945837</v>
      </c>
      <c r="D17" s="1875">
        <v>13193620.68</v>
      </c>
      <c r="E17" s="1876">
        <f t="shared" ref="E17" si="9">D17/H17</f>
        <v>3.9667975211927879E-2</v>
      </c>
      <c r="F17" s="1875">
        <v>1748237.03</v>
      </c>
      <c r="G17" s="1876">
        <f t="shared" ref="G17" si="10">F17/H17</f>
        <v>5.2562541286138003E-3</v>
      </c>
      <c r="H17" s="1877">
        <f t="shared" ref="H17" si="11">+F17+D17+B17</f>
        <v>332601314.01999998</v>
      </c>
      <c r="I17" s="69"/>
      <c r="J17" s="99"/>
      <c r="K17" s="98"/>
      <c r="L17" s="75"/>
    </row>
    <row r="18" spans="1:12" customFormat="1">
      <c r="A18" s="70"/>
      <c r="B18" s="70"/>
      <c r="C18" s="69"/>
      <c r="D18" s="69"/>
      <c r="E18" s="69"/>
      <c r="F18" s="69"/>
      <c r="G18" s="69"/>
      <c r="H18" s="69"/>
      <c r="I18" s="69"/>
      <c r="J18" s="69"/>
      <c r="K18" s="69"/>
      <c r="L18" s="69"/>
    </row>
    <row r="19" spans="1:12" customFormat="1">
      <c r="A19" s="70"/>
      <c r="B19" s="70"/>
      <c r="C19" s="69"/>
      <c r="D19" s="69"/>
      <c r="E19" s="69"/>
      <c r="F19" s="69"/>
      <c r="G19" s="69"/>
      <c r="H19" s="69"/>
      <c r="I19" s="69"/>
      <c r="J19" s="69"/>
      <c r="K19" s="69"/>
      <c r="L19" s="69"/>
    </row>
    <row r="20" spans="1:12" customFormat="1">
      <c r="A20" s="70"/>
      <c r="B20" s="70"/>
      <c r="C20" s="69"/>
      <c r="D20" s="69"/>
      <c r="E20" s="69"/>
      <c r="F20" s="69"/>
      <c r="G20" s="69"/>
      <c r="H20" s="69"/>
      <c r="I20" s="69"/>
      <c r="J20" s="69"/>
      <c r="K20" s="69"/>
      <c r="L20" s="69"/>
    </row>
    <row r="21" spans="1:12" customFormat="1">
      <c r="A21" s="70"/>
      <c r="B21" s="70"/>
      <c r="C21" s="69"/>
      <c r="D21" s="69"/>
      <c r="E21" s="69"/>
      <c r="F21" s="69"/>
      <c r="G21" s="69"/>
      <c r="H21" s="69"/>
      <c r="I21" s="69"/>
      <c r="J21" s="69"/>
      <c r="K21" s="69"/>
      <c r="L21" s="69"/>
    </row>
    <row r="22" spans="1:12" customFormat="1">
      <c r="A22" s="70"/>
      <c r="B22" s="70"/>
      <c r="C22" s="69"/>
      <c r="D22" s="69"/>
      <c r="E22" s="69"/>
      <c r="F22" s="69"/>
      <c r="G22" s="69"/>
      <c r="H22" s="69"/>
      <c r="I22" s="69"/>
      <c r="J22" s="69"/>
      <c r="K22" s="69"/>
      <c r="L22" s="69"/>
    </row>
    <row r="23" spans="1:12" customFormat="1">
      <c r="A23" s="70"/>
      <c r="B23" s="70"/>
      <c r="C23" s="69"/>
      <c r="D23" s="69"/>
      <c r="E23" s="69"/>
      <c r="F23" s="69"/>
      <c r="G23" s="69"/>
      <c r="H23" s="69"/>
      <c r="I23" s="69"/>
      <c r="J23" s="69"/>
      <c r="K23" s="69"/>
      <c r="L23" s="69"/>
    </row>
    <row r="24" spans="1:12" customFormat="1">
      <c r="A24" s="70"/>
      <c r="B24" s="70"/>
      <c r="C24" s="69"/>
      <c r="D24" s="69"/>
      <c r="E24" s="69"/>
      <c r="F24" s="69"/>
      <c r="G24" s="69"/>
      <c r="H24" s="69"/>
      <c r="I24" s="69"/>
      <c r="J24" s="69"/>
      <c r="K24" s="69"/>
      <c r="L24" s="69"/>
    </row>
    <row r="25" spans="1:12" customFormat="1">
      <c r="A25" s="70"/>
      <c r="B25" s="70"/>
      <c r="C25" s="69"/>
      <c r="D25" s="69"/>
      <c r="E25" s="69"/>
      <c r="F25" s="69"/>
      <c r="G25" s="69"/>
      <c r="H25" s="69"/>
      <c r="I25" s="69"/>
      <c r="J25" s="69"/>
      <c r="K25" s="69"/>
      <c r="L25" s="69"/>
    </row>
    <row r="26" spans="1:12" customFormat="1">
      <c r="A26" s="70"/>
      <c r="B26" s="70"/>
      <c r="C26" s="69"/>
      <c r="D26" s="69"/>
      <c r="E26" s="69"/>
      <c r="F26" s="69"/>
      <c r="G26" s="69"/>
      <c r="H26" s="69"/>
      <c r="I26" s="69"/>
      <c r="J26" s="69"/>
      <c r="K26" s="69"/>
      <c r="L26" s="69"/>
    </row>
    <row r="27" spans="1:12" customFormat="1">
      <c r="A27" s="70"/>
      <c r="B27" s="70"/>
      <c r="C27" s="69"/>
      <c r="D27" s="69"/>
      <c r="E27" s="69"/>
      <c r="F27" s="69"/>
      <c r="G27" s="69"/>
      <c r="H27" s="69"/>
      <c r="I27" s="69"/>
      <c r="J27" s="69"/>
      <c r="K27" s="69"/>
      <c r="L27" s="69"/>
    </row>
    <row r="28" spans="1:12" customFormat="1">
      <c r="A28" s="70"/>
      <c r="B28" s="70"/>
      <c r="C28" s="69"/>
      <c r="D28" s="69"/>
      <c r="E28" s="69"/>
      <c r="F28" s="69"/>
      <c r="G28" s="69"/>
      <c r="H28" s="69"/>
      <c r="I28" s="69"/>
      <c r="J28" s="69"/>
      <c r="K28" s="69"/>
      <c r="L28" s="69"/>
    </row>
    <row r="29" spans="1:12" customFormat="1">
      <c r="A29" s="70"/>
      <c r="B29" s="70"/>
      <c r="C29" s="69"/>
      <c r="D29" s="69"/>
      <c r="E29" s="69"/>
      <c r="F29" s="69"/>
      <c r="G29" s="69"/>
      <c r="H29" s="69"/>
      <c r="I29" s="69"/>
      <c r="J29" s="69"/>
      <c r="K29" s="69"/>
      <c r="L29" s="69"/>
    </row>
    <row r="30" spans="1:12" customFormat="1">
      <c r="A30" s="70"/>
      <c r="B30" s="70"/>
      <c r="C30" s="69"/>
      <c r="D30" s="69"/>
      <c r="E30" s="69"/>
      <c r="F30" s="69"/>
      <c r="G30" s="69"/>
      <c r="H30" s="69"/>
      <c r="I30" s="69"/>
      <c r="J30" s="69"/>
      <c r="K30" s="69"/>
      <c r="L30" s="69"/>
    </row>
    <row r="31" spans="1:12" customFormat="1">
      <c r="A31" s="70"/>
      <c r="B31" s="70"/>
      <c r="C31" s="69"/>
      <c r="D31" s="69"/>
      <c r="E31" s="69"/>
      <c r="F31" s="69"/>
      <c r="G31" s="69"/>
      <c r="H31" s="69"/>
      <c r="I31" s="69"/>
      <c r="J31" s="69"/>
      <c r="K31" s="69"/>
      <c r="L31" s="69"/>
    </row>
    <row r="32" spans="1:12" customFormat="1">
      <c r="A32" s="70"/>
      <c r="B32" s="70"/>
      <c r="C32" s="69"/>
      <c r="D32" s="69"/>
      <c r="E32" s="69"/>
      <c r="F32" s="69"/>
      <c r="G32" s="69"/>
      <c r="H32" s="69"/>
      <c r="I32" s="69"/>
      <c r="J32" s="69"/>
      <c r="K32" s="69"/>
      <c r="L32" s="69"/>
    </row>
    <row r="33" spans="1:12" customFormat="1">
      <c r="A33" s="70"/>
      <c r="B33" s="70"/>
      <c r="C33" s="69"/>
      <c r="D33" s="69"/>
      <c r="E33" s="69"/>
      <c r="F33" s="69"/>
      <c r="G33" s="69"/>
      <c r="H33" s="69"/>
      <c r="I33" s="69"/>
      <c r="J33" s="69"/>
      <c r="K33" s="69"/>
      <c r="L33" s="69"/>
    </row>
    <row r="34" spans="1:12" customFormat="1">
      <c r="A34" s="70"/>
      <c r="B34" s="70"/>
      <c r="C34" s="69"/>
      <c r="D34" s="69"/>
      <c r="E34" s="69"/>
      <c r="F34" s="69"/>
      <c r="G34" s="69"/>
      <c r="H34" s="69"/>
      <c r="I34" s="69"/>
      <c r="J34" s="69"/>
      <c r="K34" s="69"/>
      <c r="L34" s="69"/>
    </row>
    <row r="35" spans="1:12" customFormat="1">
      <c r="A35" s="70"/>
      <c r="B35" s="70"/>
      <c r="C35" s="69"/>
      <c r="D35" s="69"/>
      <c r="E35" s="69"/>
      <c r="F35" s="69"/>
      <c r="G35" s="69"/>
      <c r="H35" s="69"/>
      <c r="I35" s="69"/>
      <c r="J35" s="69"/>
      <c r="K35" s="69"/>
      <c r="L35" s="69"/>
    </row>
    <row r="36" spans="1:12" customFormat="1">
      <c r="A36" s="70"/>
      <c r="B36" s="70"/>
      <c r="C36" s="69"/>
      <c r="D36" s="69"/>
      <c r="E36" s="69"/>
      <c r="F36" s="69"/>
      <c r="G36" s="69"/>
      <c r="H36" s="69"/>
      <c r="I36" s="69"/>
      <c r="J36" s="69"/>
      <c r="K36" s="69"/>
      <c r="L36" s="69"/>
    </row>
    <row r="37" spans="1:12" customFormat="1">
      <c r="A37" s="70"/>
      <c r="B37" s="70"/>
      <c r="C37" s="69"/>
      <c r="D37" s="69"/>
      <c r="E37" s="69"/>
      <c r="F37" s="69"/>
      <c r="G37" s="69"/>
      <c r="H37" s="69"/>
      <c r="I37" s="69"/>
      <c r="J37" s="69"/>
      <c r="K37" s="69"/>
      <c r="L37" s="69"/>
    </row>
    <row r="38" spans="1:12" customFormat="1">
      <c r="A38" s="70"/>
      <c r="B38" s="70"/>
      <c r="C38" s="69"/>
      <c r="D38" s="69"/>
      <c r="E38" s="69"/>
      <c r="F38" s="69"/>
      <c r="G38" s="69"/>
      <c r="H38" s="69"/>
      <c r="I38" s="69"/>
      <c r="J38" s="69"/>
      <c r="K38" s="69"/>
      <c r="L38" s="69"/>
    </row>
    <row r="39" spans="1:12" customFormat="1">
      <c r="A39" s="70"/>
      <c r="B39" s="70"/>
      <c r="C39" s="69"/>
      <c r="D39" s="69"/>
      <c r="E39" s="69"/>
      <c r="F39" s="69"/>
      <c r="G39" s="69"/>
      <c r="H39" s="69"/>
      <c r="I39" s="69"/>
      <c r="J39" s="69"/>
      <c r="K39" s="69"/>
      <c r="L39" s="69"/>
    </row>
    <row r="40" spans="1:12" customFormat="1">
      <c r="A40" s="70"/>
      <c r="B40" s="70"/>
      <c r="C40" s="69"/>
      <c r="D40" s="69"/>
      <c r="E40" s="69"/>
      <c r="F40" s="69"/>
      <c r="G40" s="69"/>
      <c r="H40" s="69"/>
      <c r="I40" s="69"/>
      <c r="J40" s="69"/>
      <c r="K40" s="69"/>
      <c r="L40" s="69"/>
    </row>
    <row r="41" spans="1:12" customFormat="1">
      <c r="A41" s="70"/>
      <c r="B41" s="70"/>
      <c r="C41" s="69"/>
      <c r="D41" s="69"/>
      <c r="E41" s="69"/>
      <c r="F41" s="69"/>
      <c r="G41" s="69"/>
      <c r="H41" s="69"/>
      <c r="I41" s="69"/>
      <c r="J41" s="69"/>
      <c r="K41" s="69"/>
      <c r="L41" s="69"/>
    </row>
    <row r="42" spans="1:12" customFormat="1">
      <c r="A42" s="70"/>
      <c r="B42" s="70"/>
      <c r="C42" s="69"/>
      <c r="D42" s="69"/>
      <c r="E42" s="69"/>
      <c r="F42" s="69"/>
      <c r="G42" s="69"/>
      <c r="H42" s="69"/>
      <c r="I42" s="69"/>
      <c r="J42" s="69"/>
      <c r="K42" s="69"/>
      <c r="L42" s="69"/>
    </row>
    <row r="43" spans="1:12" customFormat="1">
      <c r="A43" s="70"/>
      <c r="B43" s="70"/>
      <c r="C43" s="69"/>
      <c r="D43" s="69"/>
      <c r="E43" s="69"/>
      <c r="F43" s="69"/>
      <c r="G43" s="69"/>
      <c r="H43" s="69"/>
      <c r="I43" s="69"/>
      <c r="J43" s="69"/>
      <c r="K43" s="69"/>
      <c r="L43" s="69"/>
    </row>
    <row r="44" spans="1:12" customFormat="1">
      <c r="A44" s="70"/>
      <c r="B44" s="70"/>
      <c r="C44" s="69"/>
      <c r="D44" s="69"/>
      <c r="E44" s="69"/>
      <c r="F44" s="69"/>
      <c r="G44" s="69"/>
      <c r="H44" s="69"/>
      <c r="I44" s="69"/>
      <c r="J44" s="69"/>
      <c r="K44" s="69"/>
      <c r="L44" s="69"/>
    </row>
    <row r="45" spans="1:12" customFormat="1">
      <c r="C45" s="23"/>
      <c r="D45" s="23"/>
      <c r="E45" s="23"/>
      <c r="F45" s="23"/>
      <c r="G45" s="23"/>
      <c r="H45" s="23"/>
      <c r="I45" s="23"/>
      <c r="J45" s="23"/>
      <c r="K45" s="23"/>
      <c r="L45" s="23"/>
    </row>
    <row r="46" spans="1:12" customFormat="1">
      <c r="C46" s="23"/>
      <c r="D46" s="23"/>
      <c r="E46" s="23"/>
      <c r="F46" s="23"/>
      <c r="G46" s="23"/>
      <c r="H46" s="23"/>
      <c r="I46" s="23"/>
      <c r="J46" s="23"/>
      <c r="K46" s="23"/>
      <c r="L46" s="23"/>
    </row>
    <row r="47" spans="1:12" customFormat="1">
      <c r="C47" s="23"/>
      <c r="D47" s="23"/>
      <c r="E47" s="23"/>
      <c r="F47" s="23"/>
      <c r="G47" s="23"/>
      <c r="H47" s="23"/>
      <c r="I47" s="23"/>
      <c r="J47" s="23"/>
      <c r="K47" s="23"/>
      <c r="L47" s="23"/>
    </row>
    <row r="48" spans="1:12">
      <c r="C48" s="56"/>
      <c r="D48" s="56"/>
      <c r="E48" s="56"/>
      <c r="F48" s="56"/>
      <c r="G48" s="56"/>
      <c r="H48" s="56"/>
      <c r="I48" s="56"/>
      <c r="J48" s="56"/>
      <c r="K48" s="56"/>
      <c r="L48" s="56"/>
    </row>
    <row r="49" spans="3:12">
      <c r="C49" s="56"/>
      <c r="D49" s="56"/>
      <c r="E49" s="56"/>
      <c r="F49" s="56"/>
      <c r="G49" s="56"/>
      <c r="H49" s="56"/>
      <c r="I49" s="56"/>
      <c r="J49" s="56"/>
      <c r="K49" s="56"/>
      <c r="L49" s="56"/>
    </row>
    <row r="50" spans="3:12">
      <c r="C50" s="56"/>
      <c r="D50" s="56"/>
      <c r="E50" s="56"/>
      <c r="F50" s="56"/>
      <c r="G50" s="56"/>
      <c r="H50" s="56"/>
      <c r="I50" s="56"/>
      <c r="J50" s="56"/>
      <c r="K50" s="56"/>
      <c r="L50" s="56"/>
    </row>
    <row r="51" spans="3:12">
      <c r="C51" s="56"/>
      <c r="D51" s="56"/>
      <c r="E51" s="56"/>
      <c r="F51" s="56"/>
      <c r="G51" s="56"/>
      <c r="H51" s="56"/>
      <c r="I51" s="56"/>
      <c r="J51" s="56"/>
      <c r="K51" s="56"/>
      <c r="L51" s="56"/>
    </row>
    <row r="52" spans="3:12">
      <c r="C52" s="56"/>
      <c r="D52" s="56"/>
      <c r="E52" s="56"/>
      <c r="F52" s="56"/>
      <c r="G52" s="56"/>
      <c r="H52" s="56"/>
      <c r="I52" s="56"/>
      <c r="J52" s="56"/>
      <c r="K52" s="56"/>
      <c r="L52" s="56"/>
    </row>
  </sheetData>
  <mergeCells count="2">
    <mergeCell ref="A1:L1"/>
    <mergeCell ref="B3:H3"/>
  </mergeCells>
  <printOptions horizontalCentered="1" verticalCentered="1"/>
  <pageMargins left="0.4" right="0.4" top="0.25" bottom="0.25" header="0.31496062992126" footer="0.31496062992126"/>
  <pageSetup scale="74" orientation="landscape" r:id="rId1"/>
  <drawing r:id="rId2"/>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9">
    <tabColor theme="6" tint="-0.499984740745262"/>
    <pageSetUpPr fitToPage="1"/>
  </sheetPr>
  <dimension ref="A1"/>
  <sheetViews>
    <sheetView showGridLines="0" view="pageBreakPreview" zoomScaleNormal="100" zoomScaleSheetLayoutView="100" workbookViewId="0">
      <selection activeCell="M31" sqref="M31"/>
    </sheetView>
  </sheetViews>
  <sheetFormatPr baseColWidth="10" defaultColWidth="11.42578125" defaultRowHeight="15"/>
  <cols>
    <col min="1" max="6" width="11.42578125" style="77"/>
    <col min="7" max="7" width="8.85546875" style="77" customWidth="1"/>
    <col min="8" max="16384" width="11.42578125" style="77"/>
  </cols>
  <sheetData/>
  <pageMargins left="0.7" right="0.7" top="0.75" bottom="0.75" header="0.3" footer="0.3"/>
  <pageSetup scale="91" orientation="landscape" r:id="rId1"/>
  <drawing r:id="rId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0">
    <tabColor theme="6" tint="-0.499984740745262"/>
  </sheetPr>
  <dimension ref="A1"/>
  <sheetViews>
    <sheetView showGridLines="0" view="pageBreakPreview" topLeftCell="B1" zoomScaleNormal="100" zoomScaleSheetLayoutView="100" workbookViewId="0">
      <selection activeCell="P16" sqref="P16"/>
    </sheetView>
  </sheetViews>
  <sheetFormatPr baseColWidth="10" defaultColWidth="11.42578125" defaultRowHeight="15"/>
  <cols>
    <col min="1" max="6" width="11.42578125" style="77"/>
    <col min="7" max="7" width="9.42578125" style="77" customWidth="1"/>
    <col min="8" max="16384" width="11.42578125" style="77"/>
  </cols>
  <sheetData/>
  <pageMargins left="0.7" right="0.7" top="0.75" bottom="0.75" header="0.3" footer="0.3"/>
  <pageSetup scale="67" orientation="landscape" r:id="rId1"/>
  <drawing r:id="rId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1">
    <tabColor rgb="FF00B050"/>
    <pageSetUpPr fitToPage="1"/>
  </sheetPr>
  <dimension ref="N42:N56"/>
  <sheetViews>
    <sheetView showGridLines="0" view="pageBreakPreview" zoomScale="85" zoomScaleNormal="100" zoomScaleSheetLayoutView="85" workbookViewId="0"/>
  </sheetViews>
  <sheetFormatPr baseColWidth="10" defaultColWidth="11.42578125" defaultRowHeight="15"/>
  <cols>
    <col min="1" max="6" width="11.42578125" style="77"/>
    <col min="7" max="7" width="9.42578125" style="77" customWidth="1"/>
    <col min="8" max="16384" width="11.42578125" style="77"/>
  </cols>
  <sheetData>
    <row r="42" spans="14:14">
      <c r="N42" s="237"/>
    </row>
    <row r="43" spans="14:14">
      <c r="N43"/>
    </row>
    <row r="44" spans="14:14">
      <c r="N44"/>
    </row>
    <row r="45" spans="14:14">
      <c r="N45"/>
    </row>
    <row r="46" spans="14:14">
      <c r="N46"/>
    </row>
    <row r="47" spans="14:14">
      <c r="N47"/>
    </row>
    <row r="48" spans="14:14">
      <c r="N48"/>
    </row>
    <row r="49" spans="14:14">
      <c r="N49"/>
    </row>
    <row r="50" spans="14:14">
      <c r="N50"/>
    </row>
    <row r="51" spans="14:14">
      <c r="N51"/>
    </row>
    <row r="52" spans="14:14">
      <c r="N52"/>
    </row>
    <row r="53" spans="14:14">
      <c r="N53"/>
    </row>
    <row r="54" spans="14:14">
      <c r="N54"/>
    </row>
    <row r="55" spans="14:14">
      <c r="N55"/>
    </row>
    <row r="56" spans="14:14">
      <c r="N56"/>
    </row>
  </sheetData>
  <pageMargins left="0.7" right="0.7" top="0.75" bottom="0.75" header="0.3" footer="0.3"/>
  <pageSetup scale="77" orientation="landscape"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1 6 " ? > < V i s u a l i z a t i o n L S t a t e   x m l n s : x s i = " h t t p : / / w w w . w 3 . o r g / 2 0 0 1 / X M L S c h e m a - i n s t a n c e "   x m l n s : x s d = " h t t p : / / w w w . w 3 . o r g / 2 0 0 1 / X M L S c h e m a "   x m l n s = " h t t p : / / m i c r o s o f t . d a t a . v i s u a l i z a t i o n . C l i e n t . E x c e l . L S t a t e / 1 . 0 " > < c g > H 4 s I A A A A A A A E A O 1 c y 2 7 b S B b 9 F c J A l q H q R V Z V Y C t w b K c 7 j T h t 2 I 1 g M D t a Y m T O 0 K R B S k k n f 5 N l Y 5 B F o 3 c z i 1 n o g + Y X 5 l R R l E S J g q m X q Y W z i G N F Y l 3 d W / d 1 7 q n 6 3 3 / + e / z 6 9 / v Y + R x m e Z Q m J 0 f U J U d O m P T S f p Q M T o 5 G w 0 8 v 1 d H r 7 v E b / P o + G L 5 P k 7 O g d x c 6 + F C S v / o 9 j 0 6 O 7 o b D h 1 e d z p c v X 9 w v 3 E 2 z Q Y c R Q j t / u 3 x / g 3 f e B y + j J B 8 G S S 8 8 m n 6 q / / i n j r r H 7 / L i A 9 M 3 3 0 e 9 L M 3 T T 0 O 3 H w w D 9 3 O U j 4 I 4 + h Y M I b o 7 C F P e 7 x j 5 8 U n n n y d H r 4 P + f Z S c R / k w i 3 r D k 6 t R m A 3 T F 4 x c x f g w 3 v Q x i E e h c 9 c 7 O f o U x H m I V 3 4 K 0 + s w T + O R e W C + 8 L s T D 6 E e 7 U o h C N G E S i 0 E 5 / 6 R E 0 N t L y V x p V b S l 0 R p J b j 0 o E W 8 / 7 Q Q A Z L i i R R L v E 2 z + 2 A 4 D P u n / X 4 W 5 n m 3 E M u x Q h 1 3 l v 7 7 e P K + t 1 E Y 9 y G S + T L J w I H i X y V R f H I 0 z E b Q a 2 f z / 1 g Q o H j + o 4 / r X o c P 4 3 / f x l E v c M 5 T q B n / S I L j T v n x z o L Y n Y p q u 8 f V 3 / G 9 O t Y a + P m u 3 n o 3 Q W K N Z x c b p J u a T 7 m e L y k h H h O a M C 7 E x H y + d p X H i K c E J b 4 Q H q d N 7 W c F K 3 Q w S F s x 4 I I E p Q k e 2 S n b W r B i U O s b 2 o U D K K k l t E e Z 1 H y i W y V c 4 i u q q c c U Z 4 R T V q N b V u c b C 9 9 s b 8 7 R X V i o q s L u z 2 E W 9 q O 5 3 f 2 Y a s 9 S B D z n G j 7 R 3 C O W 9 f m S u N i g n k Q w R b w h Q i P y l N F G u 1 Q w 6 V P G i f B V b b Q 5 Z I 1 W 9 O 3 0 Q y d O c + e 3 f P y 9 d x f F Q T 7 T 2 m O a v u i N g n 6 a z T 6 w j 8 C D n P F L m r 8 4 4 y 9 O N f 7 d D / H X r 7 1 0 i x y C O C M p 0 4 p R K S W f W h X J S z A P 1 l Y + Z 4 q y x k k E w R M Z v B + 2 E n 9 m i 1 f 9 Z m W S 2 n 3 o o c r 1 q V K S e 9 p H o B F k L i 0 L 7 R G B r M w 9 D 6 6 i a m J P b V 7 G F n V g 9 f E f Z n s a a 7 e i 2 x o p 2 l T y c / K c a L + N 8 i c K F u o e W / s t V K m 1 V e t L z l 2 f c E 2 U x 5 W i C m 5 S J h L i + k w S p g V V 2 p Q 9 d b m 5 1 j + u w 0 E 0 / i t x L s N h l j 6 k c Y Q S P z C + Y m K 7 E b U V f 2 k g V V P / O U M q Q k A t 3 / 5 Y Y q n J 3 9 A 6 9 6 n 0 N F W e 1 J T Q u a j k + Z 6 v U Y r 6 n C i 8 v N Q r r M z e e 1 a t L Y W K N c p v P t 3 y j x q 8 + o n V 8 X 9 N 1 a 7 d L J w H / w h u T b 5 + w 5 N N O w X t C g 6 r K V 9 4 h G r b E B S N H j W u x K g i U v n U p O k a 6 9 V 6 j J U K L t O K Y 8 w W b 2 q k p w 9 x 9 0 F i i y y j v Q 2 b c 8 Z 8 3 6 c + C i u m 9 L Q K Q H c n F I E v a o 7 C C 5 7 X O M r d B B B q / L 0 V k 0 3 X f i K L L U c w o B 0 E Z Z X w P U o V a i i o r Q Q 7 U G O h q S O e o F o z i n S y F M F q f e B m / D 0 B K P T N u Q 7 u o y z 8 1 o 5 i l 4 R o T c O e 6 y n O O a G e m G T g U s X C 1 R R o E k N 2 9 h B q a h P z i i S x 7 y 2 L H D F Z o q q 3 7 l k Q 9 9 f p 3 s 7 S O L 2 / n e + s H 8 u y a 6 c C V C O m f R v Z H 7 Z z i w O 8 c B k M 8 N L G H Z x y Y T W m t c / 9 i l 9 Q l / o b G g 3 d B i S y v X D g T M T b o 3 e Y P F + 7 4 o J J y 7 f N C q H i D a u T + 1 P n j Y s k d G F R y i t Z o 3 F t 7 C l X M 8 Y 1 w B T u M Y 9 r 5 H M T 5 J h w g b w A f 0 E B R y V p H O H O 0 q Q P S M I Y 8 j p 4 i N t p G 5 e F q J p 1 t f U u 8 m G a 7 N U j 3 w R Z c J d u 4 3 u I i w D Y P V R m M I 0 G S F I W Z o x y C g Q F u X 4 V K F a b l E q J 9 u h u q x U + W 7 y p i Z 7 a w S b B 8 6 a o z W z 6 h r 8 h g d s X z p H F K 5 5 X P 0 w x I 4 r H M P 7 z q O f S J s V f k 4 c V g f 8 s w / j H y P m G 3 w Z x A z k X 2 u l i 6 I O p A Q p L q b D r G P K 0 m I Q I M / R h R D K E D W J f b 1 w F I f Z a y V I I 1 c q u M 2 F 9 T o I n 2 n r L F S Y w b i X Q I A v J q F B K e 8 w v 0 V C F o h 0 l v E C O L V D u O u h u R Q U 0 + X L j v / a r X 5 t E r R o n K 1 X 1 2 P 0 p i M f f H 4 C F H B S i f Z k m w 7 B n H C P a 1 C E w B U U v R S g S p / R g t 3 L U I 6 m L d h m z H 8 Z R 1 2 I Q C m M 2 a w z m h G r F I S r r V 8 2 4 O n Z v G Y l r 3 A E F J J d Q H h E e h s s o P 6 b e Y O b L i E D A i z g G m G h k a z R b 6 w 2 V b 7 a / E V p l m a o C u 5 c o t W / H P 5 r X k P s f 6 5 z e Z i 5 6 q s e B h i a 5 x j 6 s W n 9 u n g X f J f 3 w I c R f S S / a o k E R D H F T A v D l Z v I x V y T 5 z N R P h X u u w V O o i N W K i y 5 I U N 1 j e 3 P S t T v O n w N L V L g M v q Z Z g / 2 1 o u D A B N C H / a i W r M C r b I 0 L I I v 7 G L A T t C t A s R r P B 4 1 M a C o h U S u W m 1 / + U M 1 2 O k h 3 G B D M w 3 Y V E E x Z b B r c a r R q 3 O A K 4 Q K k 9 j Q A C w Z q x h Q V Z S 7 w O z O D Y J h G I 0 z 4 d S 1 u b U Y 5 / R x + z d J 9 4 t j d 6 R L V 7 d K 9 i k B / C k E W O A u T Y R b E 4 R q V 1 d s M J L R 1 W t v l / E y Z K x U j q G t 8 l D m + 8 s q J D v V d L o m P 6 h X j Z i U w h a 5 J z 7 X N Z z m x A l 7 w 9 2 g w i t B f t e S l K y S p W m B 1 n L 0 J k 3 B g 2 p n y A 4 9 h e c v q F c S l m L k w I M 6 + 1 A W v x c Q 9 4 N A K S K g H x h 0 a f i J Q b j a r K j / G a T b + l 9 N x M E 4 A 5 N B K 8 F u S o d R P 8 X O 1 Q k / j 2 2 A t K G Z Z o e B F e I D t M W o 0 p T q F + i Z g i Q / U S 3 I i P Y V 5 y V o I / n s Q m 1 L A v + 0 o c 2 7 1 p m r c e Z H O z D A d P D Z E V E k 9 h I N J 9 6 O A C m P 8 h A A r u V p F 3 6 k N q G d 3 Y D E F y W C f O u 3 O L V J V X f e X U T z P 3 X x s X 7 6 B p H H Q D / O 7 5 r 6 + d h X 1 B h h h N u p t Q / S k Y A J J C p 6 c V 4 x P S p S Q c w H 7 o S j W 4 N Y 1 J 3 q W E r U S R G a L V 2 2 3 O n p s u e 3 X N l i B t 1 2 F / c x w r O 2 k 5 T L o p V k B E u a b V 8 I e e L m + A D T k g z A 3 R R p s J a w U O h w K G p 1 Y Z w Q J 6 M u K a S B 6 K + L 4 B 6 q I v X X G q 0 1 k Q L g a S Q 7 V w u / N 4 O w z c v y m t s Q 0 2 R O g X m P O o v F D T l E j k J A M o w L s P A 1 L i 1 p s o 7 Z 4 Q j r 4 C I F a s d 5 0 7 U O 1 1 0 1 k R p / v k k / m y E E v K l D w J n y Y J p D H T f i w u w 7 H P q z a 3 m y O n w C I y k P 7 Z S m i D y M f 0 l G 4 B f J v 0 r k H m h Z D Y j e F Z 5 F F i C u o 5 0 n w 5 Q h F k m l O K 7 X S j f 9 M M 8 f K 1 c r O X Z L h U H f w L 6 N k d z 2 5 f d i u e n K E b k t y x P 6 6 T v u T J D c Y N R q F 1 S I + A H Y U u D Y E w J x S 4 A V O C Z r U R d 8 O y A e V J q r 4 x n h 6 K S C K 9 X 4 2 / m F E a 2 W v 1 c p x q P s N B z 1 M Z 5 P D q p d R F m w x M c T s C s b E L E T w k l Z b B g 5 Q R g j 4 h B r n x 9 Z h T p W y O R P J W r H m s h C H a s o P 6 e f d h Q 7 7 s F 2 F j u J A o s W I P y A t A 5 b Y I j u Z a g k H 2 T w c v E K i K v l 5 K I 6 1 Y B h N A 9 U r 2 p + m g E k p n F O K 1 s o 2 q 5 H i U P f Z R V w 0 O D Z o X B V F F t 2 4 Q g Y q g z / A a k B V 9 c F g n R I N Q D q m B A U H W C 8 4 R m f P L T Z D w C 7 i 8 Y 8 g d 6 6 i 8 Z / t l M l V A Q 7 W j C C R L Q D s m 1 e g F / l D E M U 4 Z b x p o w Q g C e N 1 U E o 0 N 6 z b E m B 6 C b 9 G T g F q D 0 7 u e g O g i 9 i 5 C a P b d g 5 l z B Z / I v P X A K H a x d E X H P r V v h Y G L y h D J S g 8 o P y B G 4 6 z q / Y s Z d 1 c v b b 3 n F q 5 l R A 5 t 3 p 7 S l X u 8 5 R 5 o v 2 n h t s s 3 Q J 1 6 l a X G R g a s 8 R N B g T T Q a Q c W T o F 4 o z U m k s c O D Z n K Z v P m a 1 U L d 5 l U F n / i f x i b a T 0 f B R k Q 3 P d x K Z n X A B c g + T q A x d F O J u W C M Q l i u M 4 B i x n + a + N A 1 k h T y t R r F z 6 U E 2 F 6 o 6 R m / D r 7 R Z z i O d U / q Q X h W C Y t b t K z j 5 s V 4 2 f x c + L 2 e m m z v 8 8 z t 3 2 7 o C 1 o z V Y U 7 v b T / Z h u 9 p P G B 2 F G d C D M N 9 0 O 0 l X 4 2 g f Z m v F i L Q k B 4 D F 6 3 G M 1 E A 3 F S B m g 2 n W F D 6 Y i d R K O p l f / o l S y n K r g T x s 7 q E g B K f q M e 6 a o T I S L B Y f / + H h q B F G B s 0 v b Z n / W n s b U 3 b n V 6 k q 7 x D 5 u 7 / 2 h r u b P 9 m H 7 W r + V F 6 H Y k D k Y O O 6 A f 3 q 8 x 0 x T 3 n B 2 F W Y B Z 8 3 J 1 x r 9 / n o + e b X w S 1 H U T D X c C 4 a V + 1 J w F 3 c 0 A J m o 1 d z Q g I M H l x a g g F K 8 9 H r x M I t Z S a 7 u 2 a E q S L C r u a G P D W e c P p t t A V q j d M E P h U c e C W 6 0 t l 9 V j j c x Q 3 q B l K n R J n R / D S Q k a Y V O x U L V 9 P f 4 R j J d h C n 8 T A Y Z J g c b W M v k G x x d Y N n 7 g S y 8 I 4 d T o I U 6 m P G I H C w F s D C i j N G t V g o u D A z s V o x 3 I I E h 2 r B y w D H j n b V A N i H 7 a p s w c M m k y w U L r + B Z R / h G L t B P + y r 1 B 7 7 3 b T P w D T c 3 C 1 l o j k X O N l S 0 m j M n N K X O N C C 2 L H e 7 W y Q F n M t p 5 T T K e 8 V a W X v r R b m U L f h 2 / B 2 d 0 2 t f d g m e 7 r z z l z 8 u n C z c P f / w o A S y p R Y 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c g > < / V i s u a l i z a t i o n L S t a t e > 
</file>

<file path=customXml/item2.xml>��< ? x m l   v e r s i o n = " 1 . 0 "   e n c o d i n g = " u t f - 1 6 " ? > < V i s u a l i z a t i o n   x m l n s : x s i = " h t t p : / / w w w . w 3 . o r g / 2 0 0 1 / X M L S c h e m a - i n s t a n c e "   x m l n s : x s d = " h t t p : / / w w w . w 3 . o r g / 2 0 0 1 / X M L S c h e m a "   x m l n s = " h t t p : / / m i c r o s o f t . d a t a . v i s u a l i z a t i o n . C l i e n t . E x c e l / 1 . 0 " > < T o u r s > < T o u r   N a m e = " P a s e o   1 "   I d = " { 1 F F C 9 2 3 5 - 0 4 4 D - 4 B 0 A - 8 C 9 F - 8 1 D B B 9 3 C D E D 0 } "   T o u r I d = " 3 1 a 1 1 4 2 b - 0 b b 3 - 4 0 d 7 - b 2 3 2 - 2 3 3 2 a 8 a 6 7 a 2 0 "   X m l V e r = " 1 "   M i n X m l V e r = " 1 " > < D e s c r i p t i o n > L a   d e s c r i p c i � n   d e l   p a s e o   v a   a q u � < / D e s c r i p t i o n > < I m a g e > i V B O R w 0 K G g o A A A A N S U h E U g A A A N Q A A A B 1 C A Y A A A A 2 n s 9 T A A A A A X N S R 0 I A r s 4 c 6 Q A A A A R n Q U 1 B A A C x j w v 8 Y Q U A A A A J c E h Z c w A A A 0 I A A A N C A V k U N I A A A F u v S U R B V H h e 7 b 1 Z k x z Z l e d 3 Y v f Y I 1 d s h S K L b L K 7 1 W N a H v R F Z C Z 9 A E m v M j 3 M y / Q 8 0 W y e 9 F 1 k p o + h k Y 1 a m h l 1 s 5 u s I l k o b L n G v r i H R 4 T r / z s e D g Q S k Z m R Q L E K L O R J O G J z v 3 6 X 8 z / b P f d 6 b j I e J H Y D h e e R l d s l y 5 V y l s v l 1 t / e Q C o t 7 M f 2 + / O c X S y K N l / l + O q T o m J h a Q e 1 x P 6 6 v b R S X p 9 r R c s V 0 r Y l + o s W E 4 v i i e o e 2 n K 1 0 D G 3 f L 5 g e a t b f 9 r W U b G c P s V q W z j P W b x Y e R v b t Y L 9 3 S O z 8 0 n O a i W z Z p B Y v W K W 3 6 H b r t J 8 Y f b H i 5 y d 9 M 2 W K p x 7 3 d O n T 7 c C a h W v b D F Z W K F S s E K 1 s P 7 2 d o r H C 7 s Y r O z F W K C C I Z K U A V f r 3 1 c / M M q A d a G w E I D m t t + Y W L v Y s I N C X k L C r F T M q 3 1 6 j 9 C 4 w v 1 J k t h 8 G d o k 6 j r A V s l S 3 + a s k C / a Y l m w 4 b R u U V T W e Q V 7 v F e 2 g 1 b B 4 m X O g q L O + k g M j M a J T U d L i 5 K c P R 8 V b L L M / + D 9 d k 9 3 o 1 s B B a 0 i g S p a W r k l s X s H W s a S 9 g J W J G k 7 j X M 2 j C T R J e n R W t 3 J + q Q f h B K r F E M B q S u t s b D j R t M K y 7 o l k b R p s e j t a x Q T K 6 p 5 A K o Q S H B c A Q P A A k z z x c x G 8 w u 1 a e o a u 5 y v W a 2 w b 7 N J a O 1 2 x 4 r F g r 4 H q B + B J o 2 I C 7 K p B J n q k k g K 9 f o r e z 4 t 2 m i R t 1 C A v c f V p 0 m 7 A W q + s m U o 8 6 g J x 6 2 / v A u t G Q R w r S S 6 Z U D Z 1 6 c 5 6 0 3 f a i r 4 r y K p X i 0 l V p O Z 9 L o v b f Y 9 c U 0 x H 1 t Q n t i T z m v r V J u 2 V 3 t s y / l S Q E p s q f q M B C w p Y K v l l p a o r R C M n M c e 3 N L e h U x A g A V o C v m S 5 Z O S T a d T W 6 1 W F g Q V g U o m s n 7 b P H a l l Y Q Q F k G + m G r L f C B w 6 n U 6 H t t 0 Z j a L A j c p e 8 u i t P 6 7 5 X K b a n 5 l T Z m 0 g r V N F j k b r / K 2 / K B B u 6 c P o Z 0 A l c i I R 1 r m M Y 3 u Y P Z t U i J 0 w C j F q v w V M c s o N P t G f t Z A o H I / Q 6 g 7 b s s P q a Y 8 / H / + I e e + w / d B h b w k f X 5 p X x 2 9 t s N 6 3 Z q V A x c Q t K t Q L 8 p H M h u K W a V c r C l A r 2 S j r h Z i Q z E y / t V t / I j 2 W i 6 l v e Z z g U p A V V v 5 r l g o W L l S d v 9 r V 3 C t w p X F o 9 h K H Q E V Q I v w 6 0 5 H f / Q + r O c P J A g a 1 o 0 K N p D J O V K 9 K 0 V p M w E n k S / 3 V W N h e 5 2 8 R a u J j W c z m w 7 r 9 l 3 c v A f V D 0 Q 7 A Q p C S 8 X j 2 A e Z A 5 / q L m P E 9 U j f A h K 3 I J N F d / 3 d i Z x v m S + / O E r c c S + L d / O S 8 s P z 2 H 7 X L 1 q x L i 2 h 7 4 c z S e j 5 u q A r B H 9 S 1 m 2 U y y U C a 9 9 + e d Q X q L 6 0 5 X T p A i I v 3 w k C V C f D n B 0 0 E v d / A B v n 8 J q X E C n A 3 O m p 1 x I a i i M W s O I 4 9 v 7 h c 1 4 m Y L m C 5 i r K j 3 s r k L a B C 0 A t Z g s r d 8 r v 9 O 8 g P L d J 3 L N m + c D q u T 2 b T w R c + Y D h U M J C v p 9 w n A K u K R C 3 8 t a d v p L f 1 7 N 8 V L P 5 u G 3 P o w O b q g G 3 A f q e P o 5 2 B h T E g C H Z A Q f 2 W H l f q m V H e q M R x J x I f k D w e 5 l 9 o f y r / / J J 4 s B Y y k 9 b D G M x U 8 X m I 5 m H 4 v K C z M x B n H c z p y h Q z O S L X Y 7 N / b K S G P + o g U m X A i b S b 2 O Z b z P x M g D J a D 4 P 5 c / F 1 m z k 7 a 8 f D e x J + 9 i W 4 6 U V G 9 K W I H Z N A 2 n N 5 9 2 c / f q B N J S u H 0 x z F s 2 W 1 i 6 s r J w s r C R t d p v G Q j O F Y W i L R W z V a t X b y X e j 0 d B a L a n g D Q J c + f y 7 K H U g 6 5 4 u u N Z g z 0 i 1 0 v / S c v r j n P k g t s q e N G D 5 3 f P m q 5 l d T p 6 r b 9 e O 6 q J k k 4 u v 7 F k c p N r y y j 3 v 6 f u j O w F q k 2 I x P l T a N V C h u 8 R i A H w p 1 E 5 e W q o / S S w W c x z v y c 4 X 4 C T I 3 U / L Q t g A z H 0 3 3 Q P J + r L n x b g m G Y r 5 U R q H A t R x C + 2 T h q d h Y A D 1 v C v z T d + N p 7 G d X g x t M J 6 I Q U v 2 5 Y O p P W r W r L U 8 E H D f 9 w k x R S m b s l q B S T P K F 5 E J + K A p A M Q C u R j Z I 5 5 r 3 8 Z J L 9 l 7 N F I U R a 6 h 6 j I v A Q z f h e H M v y d g k S Q r 9 7 M A H F p r U 2 u 4 v 6 p 7 e L + + / f o 9 Q v s A r G q 5 5 W V u E g G T 7 v S F h b E A p T I S + V L 5 w Q P 7 U 9 S y M K m p r h 9 m t t / T 7 f T B g F r J X p / 3 5 e w f S E v d M P C b h A k F o N A M T r o O B n K z S l I W E 2 y z L O 4 R Y 9 J I U s P E C / 1 4 O s p Z I D + n L J 4 A P C 1 8 r v U 1 A A F f q C f N M p c J 9 O W + T K D i 3 A a 9 r r 1 + / d I W q m q l c W g P Z N Z 1 c g 8 l 3 a / X s J R N u b x 2 p R 3 R X k f N x O e X K D y a y D R T v a l y U S Z X Q f V 3 Q Z C X p o x k 8 k l D A a i C H D O P E A p U v K Z l J z Y X u F Z 6 L Z V K 7 5 i C C J E k 0 v f t 9 w V V d j 0 A H M o E j J Z T 2 6 8 9 t k L u 7 b m c s 1 j O p a l 7 6 o u u L R L Z y v K v y m H H Z r k D e x 3 W B L j C n Q I + Z W n G U m 7 l / Z G X J c C l k c q c J / f A v E o f D C h n C g E K R i I i l m m V a 0 l 3 m U u r F W X y X T V R b i J A h V 8 B L y G I u Q / X u 0 b I a r 6 + 9 U T m 3 r e X O S t p n G E Y J k e / 3 J N W j E Z 2 8 v r E V j k 5 7 P t t a 5 X a F t R r V i S s K E p Z J C W k P k S I P I z H L v 0 r h b q 0 n r S p A L R a F d 3 U B L D M N 5 U F o J I Y r i w n R r y m A j A 9 5 2 7 y 1 a o 1 + T d F a S m V u o 7 a Z f d K t V Y o s z Y N f g A S 7 p U X o 5 p M V 5 9 M 5 / t 1 f Q h 6 L J c L N 9 k A H 3 N j / d k r 6 1 Q f W 6 U o q S L y M c F / m 0 d + l 3 g R C X Q z V a l g Q b 4 u 4 S W f q 1 i X U M p b L w Q Q N 4 8 Z m j R Q e 3 5 W j 6 x V k y B U H R l m j Y j 1 Z n l 7 N Q 4 8 i i i o r a + 4 p w 8 G l J O s t / A y z a S 4 D S T J Q p J T p g y A g r n u S v h v D i x e 5 S C V G i W P G j K W O Y I L 0 h I J 8 1 6 S 7 s W C / B D 9 M J O p 0 2 y K i W Z j u 7 i 4 s I v z C z s 6 P r K 9 8 p 7 V D s X s a + 0 x E 3 A A D 2 W 1 g y P / b h x d 2 j j u i Y E K V q / s W b X Y s G E 0 F V M d 6 D Q x v J Q C 2 i m S e Q m 4 w G a t L N C F s c 2 m Y m o B r F a u y i w l E K A G c K i n A R T a F s H A e 4 C C K R g J X E Q E l 2 h s m Z i V Z s V K g b R X o e j 1 W S w W N p 1 M p A 1 L V q l U v M x x 3 P U y O t U H X i d v y 3 T q 5 e U L e d d 8 W c S x F t R 8 v o 3 z Q g H 2 b J i a s 2 B K Q 2 O T R d 5 m x s R x C m G u 0 a D Z k + L M f v W 0 a E G D e 7 5 t y F J l 9 Y c r m e G J v Z q X 9 Q 3 f 3 1 N u P B o k 3 k 8 f Q u p z j / y J s 2 4 L p z v z i 3 Y J Q 9 9 E D H T c S y N o c B W + D C Y j Q H M p n 4 F V j E H o m 7 p N 5 E u 8 f P H S r 9 n b 2 7 N i V L T q f m B F o Q J G H U 4 v Z B 5 d 6 F q Z i E F b g k L S e z W V R p s 7 Y 1 Y E p n b l 0 E Y y o x q A q 9 T U v Q S U d U M I g M h V U 1 n y f x Z z Z + q 6 N G C u W J F p K j 9 H 5 c p i 8 j q 6 Q N B 5 a B + m E B x U A l 8 4 m / n 7 n I T A Q n 5 j o a 7 + V P G A B 4 0 E 8 M a j s Z u I a I 4 C Z q L a 1 o 9 e y Y 9 8 K n D L M J P W m 1 G O + i g I C E C 8 F X L e N / r z f t L f Q o A g U s h 9 q P 9 k n E j r 6 H U p I E o r F Q S m Y h J b o z i 1 4 y / 2 r I Q E u U K U 1 T u d 2 W + H J R v F 5 f W 3 n z f l / p 9 v h s k v j 1 N f 4 E O I E C / a x y d 9 r y G P D G o A i / V 0 D u p j C Q D h i 2 W m n 0 t T M Y V L 0 I 1 2 + H 2 Z U N b f 8 + c v r F o L b K + 9 Z 7 l I J 8 m E Q d M V s d / E Q K P w w i b h y O Y y 1 w r y G u q 1 p t V q V Z / P g Q G b l X 2 7 m D y X D 1 F Q X 1 W k t T p W L 3 f 8 s 9 9 L V Q i l W Z Y y s + b h T J q x K T D C r D l p u 9 T v q x E J V x X p L w + P h + o 7 m Y x M D 2 B i o l m C Q i A t J Y Z u 5 G 0 R S 9 u F U 9 W j 7 v f A N 6 v V p G k E w P F 0 K J 8 y t E V + Z o / a f y V N W n T h g B k J c d 7 V C G J G 3 k 8 o I M C 1 N t W p U y z t 6 N F + 1 Y k O X U g 4 Y D a 2 9 9 q u 7 b b R r B f a n 6 T t n o 1 S s / N z p / y z r t k / v 2 L Q 1 9 / c k d x s g p u u I W c e D d T 3 B S Y I J n C / T W D y z 0 h f G O M K / 6 C d n H n E 1 E E 1 s L n s s 1 C O V r E s n y K o W k 1 a h N d q U L f D 1 l N 7 t P + V t a o H 8 q 1 S U 7 A q X 2 s / e G r 7 1 a d y y m U i J m W Z S z O B r 2 e X o 1 c C 4 M A W 8 m v m i 9 B m 8 6 7 A c y k m l l 9 Z Y F J I E l 7 1 q U j O d G q J D c N c O k 0 A w 6 o f i o 2 C l T r k O U b W P + u J e V N f C s Q l u V j m 3 I W N F x c 2 W L y 2 k 8 t n Y n b 5 Z A K J B z B 0 E J D A l z m o f + F g Q o M R W e S g z S 5 k R J v B E I j P n E O 9 M z B B A L t Q M Z l 2 J l N T Y y b t T D Z I r S F N S x 9 e Q 3 M J g t 7 k e m H 6 u V H h v / + f / v 4 3 h I o v x j l 1 o H w D C S L C 0 T f 0 4 X s E a D C N M g Z / Q x p H T D 0 k o Z t 6 P z C 5 9 p K G w i f J l w r W H / R t O p h a u V q 2 R q s h x i d g k I K O V 9 K I a k F T V y 6 l G c a W i y U E / E + S e D q T + V Y V I 8 a u 2 e b S L r P 5 W H 7 V h U x B m Y x h 1 8 a z v o 3 D S 5 t G Y 1 s K W P g / J N E W V D a Z 5 0 F J f s f E 7 H K C u U g G h 7 S C N A D B k e H 5 Q H o x s J x M r n w d / 2 / k G g h t l B R X 1 q o d y G + r e D 0 9 o B F N p C X b M k d r N N W 1 0 2 Q 8 8 t / I 0 E h N Q 5 U v 8 P B d B r J Y G j g M I 3 9 P W R y Y n I t 4 4 e d m P h 2 D V y N K q b I 4 t o G K M k b 9 0 F 6 G 0 q o y s e 9 J Y / o / / M 9 / / x v e x B K q 3 a n Z 2 S h N + Q E b H L e Z g j 5 Q m Q m W a Y S s b 3 m 7 / r 1 A n D v 7 / g c k D 5 Y Q u 5 B f R A T t 7 O z M W v t i x C D 1 T T a J u h b y M v i K 0 l q V h r S X z C s x G H l 6 + l H a o W y V f F 3 t U b 9 I S 8 R L M i I k M O T T I D S W 4 k M S W Z d i 4 J V M s d l i K N 9 q I E 3 X k E 8 W C X z P B a p Y 4 K r I I i A r 3 a y c Z 9 5 K m q B V s 0 p V j r + E W k 6 / l Z d 1 a x Q O r N 0 8 U l 2 a f u 9 i I d U E 3 G 8 S D d w X c 1 9 x A z D l U m p X A i i + n 4 z H b j o i X N C C g A Z B Q h R S p 6 f l q e 5 E B / G / I N p W L l e 8 D N 7 7 m F 4 h g D 7 r T m y 2 L N l J S L b 9 + o f P n N 4 A K i P G i H k c J k 9 J 9 5 E w 9 z D 0 V e W T E Y O x k H M L I / H e z T / 9 S 8 0 X n a D D J 3 P 1 L 8 t N + 6 E J 7 Y l p u i r I 3 O F P z F Q J y m K a 8 l Z m 8 d C 0 N I v / p g O p j T 9 F g I C j U W s 5 w y V 5 O f W 5 v J W s 6 l o r X 1 T 7 E U Z q J m 0 l z E + g o S Z f a y F N N I z O 1 b + h B c W S T L W q N A w g J d + v 4 s x c l X l V q o u J y c i Q S Y v f m c h E r F Q C Z + y M 8 L e S 3 M r q 1 Z a V i h X X T o A G q s o s p F 2 A i 7 k u 2 l 2 V Y C A d a q n z A J N H C f X H d X z v Y 6 S x I 7 x P u z L N d Z 1 m g g i 8 5 G R K N w 7 q 7 i P O V M w 9 p j T u 6 9 d 3 C K a Q M L P X g 5 z 9 9 j X g Y h D X P 1 4 h z D 1 A R D j c l z 1 I Y p L J j a l H m B y Q O W 0 f l x + E 8 F m o W 7 U e W G e v Y 8 O h f B 8 x 0 5 L w l g g G j Z e h M 3 9 G M B J M i u S u B D B 0 y R k s P Y p W k 9 Y 4 b D 6 x 4 8 5 T e 3 j 4 p R 3 v P x E w A q u U A 4 F M m i T B N F O J u k U U s 5 6 q 5 + X S t y s P 6 q d R y c y E y z R B x s D 4 N 6 W 2 v k P B T s X 4 Y 2 l C h B W / 6 Z R 6 R a A u V f 1 6 r g X 0 h N Q 3 g Y D g K E l j I V D q j Y a b c J k Q S c P v Z W 9 f W i Z 1 S a O J h P B 5 B Z T X E e N O G Q j b p / u J v 9 7 T N Y D a J L L B W T l 6 K o 3 1 H q j 0 G d A w q 0 / Y H K l M x M o z y n F 4 d c F S 2 k v D 5 X M v P z Z h w s B s b 9 c s p W D C D 7 q c v P B I 3 w o E i G C m W K D j H J j w q u m D h C 8 X A m n w p k z E w F r V Q 9 u r P 7 B O 7 d i a 5 U O r 5 f a k t / a s J r N t N p m K Q c W A u U D X 1 N 1 s J E s C p u V I J 3 d J S U L D v e 1 k Z 3 y y S o R P t A t Z I w R 4 C v m y G D h I + 1 / f z + e R B d V U g w K o j P D h M P G g D H g l o p q 6 B x r R A x 0 O s o p n d X C Q D u X R S e o l o F 9 H + K H T 2 d D G 3 U G 6 F O Z 6 7 H 1 W d C u g 6 C c y E L 7 r p m k 9 j P d E Q o 1 A R h y h n T T A V 0 w 5 j 8 K h s W r p U d T x Y 2 q o j G C q 9 C i 4 4 w 0 z z u K R B x L w c c a s y p W m y g j 8 w N S b Q L q O O K c Z 7 F u j u i e / 5 8 D 2 G w + s F R x a k G + I 6 2 X W r Z r W K j 6 0 I G n b Q v 2 G F h j L v 4 G x Y W A + p 3 7 N u 5 y J 6 V w M i h 6 o y M n 8 H l 9 G F g 3 n r i G y + m E F A P p N E 4 3 X k r 7 L T E G I 7 / x 3 H Q C N K Q K E T N Y v X O / A 0 y s g B 1 D X a a q i N F + 1 1 b C k K K B P R l a Q T 3 V P O w A K o j / 7 0 l S / P c n Z f 3 y R s 3 9 4 l r N X A z l g Z C d o M O d 9 2 e f S V B s W k x O D 5 7 7 E R n j 2 x y T q A + M h i f s 9 Q t U L S f q K B y G I N G C K X Y 6 f C V h v z T P 3 C 7 c w 1 D Z i T o q g A J O q m I m E 5 P F / i M 4 1 G x 2 p Q z G u Y R Y n F s 5 C f Z 8 y c 7 / f c z + K 9 8 7 w V 4 j v Z E D b o r S 0 b j W 0 F 4 u x g B V a 2 J t b S P Q R n 0 j n b F 5 L n U l V A i T v U n o e 9 8 b v 2 6 T l K r a h h M s k H P p Q z m Z p 1 g X 9 t G k O Q 5 R R U f s a a l e 9 k V g r 9 4 H z L j 8 x 2 g l Q E C o d 8 + 9 U / h T x h h B f V l c H h / I v m r L h Z Y p g / n 3 K B J P h M 0 w 8 k 6 G + N t u q d l T / u T 1 s / U q f 2 F R m 7 m H w h T S W 0 x V G Z c O W V c L G L U j + 7 U D b P B / C J I M p m U e q 1 x s O t k Z T p q K A g J l 2 c C A T U b / h m 1 2 9 N q N a S e a Y / L O f d T p W D c r W F Q M v Z Z 5 O u z N b 9 l Y W X 8 b u t 8 6 7 c 5 u d h p 5 n u c A 8 v F I m G o e 6 M A 9 F H Q B c B j r M 3 d l 8 6 O u u C O f j f 0 0 m Y / / t m q Z K C B S s o b o 3 y q z D v u a k z 4 h 2 B l R G g O m 4 m f g e E Z i C m H K E y z H r W D H K I s J P k Q B T N i e D G Q S g Y G g I h g N Y D 1 u / t C / a f + M L E A k q w I a p O U R I e i V T t 2 / P B / 9 s 3 / X / y V 4 O / 8 X 6 s 1 M x Y S Z E U p 8 o j G Y O W u 5 F O h G Z C 5 2 9 f d d a M C 5 + T H Z s + 3 w d A Q I n d e + B t O p K V R + W Y y u 2 5 B f t 6 3 r 5 s U R b c 7 I I K o c y / 4 K 8 N N j M I 3 G 0 w S 9 V H 1 A O Z i b B k 1 I x D Y t n l E h H J z n 5 d f n I k l L k 7 W Z x 5 G 0 E 8 B 7 s V 2 w v / 9 a 8 / F x p Z 0 D B X I G c Y 5 I d A N L f P U q s I b 8 4 I 0 w 7 o J R F o j 4 l g t G n Y q K e z L z J Z J K C x C X z u 8 0 n E R Y T k L w 4 o p W 0 B L A R Q B j P u 9 a d v X J g c W C 8 E d j A F M o Y d T T u 2 l n v O + s P z z 2 s z H d o o C w Y k j F 2 C t K 3 9 + Y e 1 2 m m j D L G 5 7 y i B N h e q S i L Y S x D U D A A 1 I X E S n v y t W r U W z X X W J E O R l B o F e q c K E 1 1 i j R 4 z M d h m h J S z 4 g y i E R G y 4 l M 9 L S 9 4 7 D v q V m 3 1 Q 8 / r 1 o p + U Y 3 E q v r b z 9 P 2 h l Q 9 P 3 T v c T + 6 o H Z z w / Z c 2 7 9 w w a x a F D c h a j 7 J C g z 8 U a j s Z 2 f n c t v 6 t t 0 M n 0 T O r 6 O S b g u i 3 I B h D A e u T Z a M H O 7 p t w 6 h w 8 T a T i 7 t P 7 k w k 6 6 L 2 y 2 H N p o I Z M x N / d Q 9 d V g w c e S a 9 h F b P n F 0 m Q k 2 s K 1 J 2 a l T D 1 p R 4 / e S T v i + x C J K z f K 7 g e y a 1 U 8 l a k q Y A E u 8 h w 3 x 4 n 9 B 2 f Z C l 8 R G S G 9 0 b k t c 2 m g h G y K L A K 6 j Y o a + 6 O a 2 X 6 R D W J + C A Z Y W a 0 8 t k o p n Y z + V G h n Q E G Y e 4 / a i X X U c d v 5 A 0 C t 3 3 4 C h I b o C U S n p 6 c e U S O 0 / O j x I z s + P v Y 5 m G 1 M n j J s O u E J E M i r G 8 0 v 1 z 7 T W 0 r X I 5 3 Y x f i 5 X Y y + s 4 u + t F d + Y T k p k l x J Q M 6 N b J 5 M L F y O J O 1 7 v h w d z f a h B F N T N 1 K H S J J l X q z T a t q Q e o E o E a 0 h v I 6 p C c A Q C j k m j + v S x v W 8 z E S B o r y 0 S l v 2 o v D k E + 5 r I k O k W d m z o I h v m b I F 5 h 8 J s p i t 0 S y U q c z c 3 X Y / G R P z 4 E H J v m z J V 8 z f r Z 0 M w + Z x G 5 U K c 9 u v n 9 t e / V T W R D q P 9 q n Q e 5 k S 1 x F B C d Y X D W Z S 7 z I n S P r c b D u m 3 k p S k M 0 i 8 a k + B V p g 6 s n 0 Q j O R 6 d B u t 3 W 0 3 J / J t B Q E s 0 J 8 B k x I e c x B o p N L i z y F a J m s f Z g N w r R C c i / F m C u 1 v y B L s S C b G N 9 j m c Q C 3 d Q 1 2 C w e + n o r z K p s 2 c c u v k l G m x q T V C c A 5 G 2 Q K X k p z X J Y b W g 8 U r O S c D e B B E x N 0 o N 8 Y l f m J W X Q N q 6 t q i 8 w I e P R w q c 1 a D f 1 Y m 6 L 3 M C g 1 F D 9 Z K K q / e 3 g 2 K + P 4 s i G 0 s I I C A / l 5 9 m W 4 N 0 2 0 F / l s v p 0 t r R B X P A U N v / + G p T w N a u g v 5 L F 8 7 C V H s c 6 s H 4 Q 3 q w x I 1 s / k 9 H 5 3 E q / 9 e y w + c o a 1 Y G N o 4 6 N Z n v 6 / d P g N 2 h n Q E H k n r F f A + B i d 6 D N f s K E w C n 2 L P D v K a v 8 4 0 n 1 U F 1 9 z k U m E N E 1 B t c n Q N e M z e 8 w a n Z A S O X e 5 N y m q w u L V u M 1 m L J h f Z c c j D p w Y 8 R j 7 p e k D J T 6 N u k h E 0 t l z J c z M e T Y s 7 j L + c A B h z b w N K d r / t x c W w L y q c 9 V Q U w C V 8 r y 9 Q r p e q q + 6 r t f J v S f 1 h K f L Q W U 7 s u a M D Q t d e T g 9 3 L J f V 5 M v 3 g a p 2 v Z V G X q T Y J w u V g R Q G t W q 7 Q F 2 n R d F Y A m A T g k P 1 F H L P O X H M W r Y A G E l T x C Z m k 9 W c j U w V v i Z c s P l 5 8 V S P A 0 p C Q f t e R C H J s 0 T Q o i f H J e 2 7 K A D n y v E L M H O o d s f V Z H 1 y s T + 6 X O P 9 D F A P x V 7 6 n K L Q p 4 M v 8 q A j o B l R W + 5 r t 1 + i E p 9 7 / / + + F 2 T r l C p J a w I n V f j Q d M B 3 p 9 p y 9 V y m K c L g n I B u h T I M A 0 H A z t 2 z 9 9 6 1 L 5 S O Y e E b 5 2 i 8 1 N p J H E r P g b r I Z F w r N q F v / h Y v T S l o W Z M 5 M v Y U d k b i H S l 1 x D S d A U A 0 n u H X J w 8 j A B m e v S Y t V i y / Z q D 3 3 + p 1 X Z d 4 b e J B i S O l 6 c n 6 e C Q F x J Z o N H D W W m M X j / 0 D + 1 / 7 p 1 6 H m F m V A A P A C Z 5 F j y + / h M o A S z N / P r I F Z c s 1 y F q Y / r i D K Z N 5 v O J i 4 0 w s X Y S s W y m F / 1 V V s Q I p t B l n C E H y f T U 0 L j T 6 e h J d J 6 V a m b h 3 I X 9 g Q W g J X 1 5 h U 8 O k 2 i v p v U Z K F g g k J j y Z K F h F J T d S 2 4 B Z D Y c J q C t F Z h c e S J f X N a 1 X d o r B + P + X b W U E i P v 3 2 U 2 B d 7 A G t L R + g z T M d 8 F M v R r 2 P A H 5 r c 3 N E f p s 9 o O L K L i 3 M x I w m l r A l K U 3 8 I o 7 N e i t w 0 T C b 8 D 6 6 Z x z i 8 + C 6 p z M n T 6 C v N w i 8 i V o H 1 g 3 S G 4 W 8 j l e i 7 z z K f x Z Z f + F h T H Z E 0 W K O 8 7 0 B / Q 7 z V 7 Q E F h M Y J K m k I n v P 4 e a y 2 8 L 4 s g N F e l o t k D E 4 b + Y 2 6 A 4 x q U E 2 j e 1 y o A 4 t i O Z O m k v n H K 6 Z 7 t m v t J q H R 6 U P W l h U S m Z d W l s a M V A 8 B U f V z T S 3 i u u m c T P t Q x U / V n r E 9 3 l / a g / Y q T Q b W 7 9 R F / / z Y R t 3 J C 5 v E X e n u o o M K Y l l R I K 3 q Y y D i l c R t X I + 5 + u R V 3 + x y 3 F C f X i 8 Y f g j a G V A 0 q B X I / l Y j r s N K 5 u Q W k N L X n P N D E 8 y E A 4 9 2 Y g 0 U n w e D v k v c 8 W g k k A 0 9 N L w o T G 2 Z k 1 k o 0 w k t Q 9 i Y 5 F K s P R f 6 b i 6 l J h N j S j m Q M x L / Z P K 5 S 6 G v 0 W i 7 U 2 o a Q s y F s c Q + h U l K v O d e / p 3 + o X W y 9 v A 9 w Z K 6 7 n c Z z 6 0 r M y i S 3 1 Q R 2 I q q T F p b a W k J C M x E h A f p S D B 9 V n 9 e s S h Y r 1 a o S s O x I F S m I G Y 7 5 2 X T I A g K Q E p f Y W 5 S H z R d F M 4 c q G 5 O 6 t A 7 + X W x x c n M R u M T + a C x 5 z y G 8 V R A G 6 i + + H F F a Z i i 8 9 G 6 G u 8 Q G f S c h 0 n p W S w 3 E B v x P O v m Z f 7 V Z B b e b h 3 8 u W k n Q B F j w M 7 F l m U u 6 j p + W U n C M R D Y 5 5 8 S w T Q w Q l m + A 4 4 8 0 n 0 6 n d l Q g I J d W q 2 m L X J E 5 I Z u h s H k 0 0 X f J T U m j g S / A w v s Z N q K / 1 O m h C t S 1 u U c j / L p + 4 x h 7 0 K Y e 0 G x I c a V 9 q F c k f t f A g L 7 + g E K 1 j S R 3 J u Z b N 3 w l f z a v h 1 V W n Y Y N G w s c x V Q N W S S e a V E B C N 8 o a I Y P 6 2 b / M c N U D n R D H 1 m F y v 8 t m W Y C s d M a x E V p D z u 6 8 t h p J n w z T D 9 W J e F z x T p 3 k O B d y 5 z r y E d V s r J Z 0 1 7 y u u w l I C K F p G d j y t 2 P p I P u c j p c 8 7 9 c j a M A R w I r 7 L K b O C / C Y h Z H e l 2 L 2 m j y o z H + c j s 6 z O V L 8 3 5 K d B O P h S A e t w x + 8 X R y g G 1 l d Q R + F B s b n + X b c J + a I I 5 o i j 0 S N 6 Z / B J W 4 j 5 + 8 t g a b V a d x j a I T j X 8 + T f L O V w B 6 b 9 c w h 4 P a U Q P k w l Z n M e 6 Y B z 1 O + c t Z o l M K D G l O s z 9 r s 3 R 3 4 E A U b 2 8 Z 3 v V R z 7 B D P l q W j H j o N / z 3 D n q g m b A 7 C P 6 y A 6 x q S / W s M P G z 2 w g 5 p 6 L K x 8 H q e / h 2 o P a 6 h W N u 5 j H r t 3 Q V J l 5 6 u D V P 9 e 2 a 2 I j U / Z 4 L / t e I W g q t B C / 8 J 8 3 m g + u 0 Q A g 5 U v v W 5 x b W l t C i 2 0 p y k H Z o 4 L z O P Q V x m x B E A u Z J + N f C v R t v y + R P K x T S s O w Y R t s f C I 2 G a X 7 C I R B B D c h T L y m u o Z z u I i V E H / S 8 a n Q z k E J g M Q W x Y 8 6 2 1 0 + l h U w A L 6 j 6 i c T 5 X u f c k n q S z A / 9 f z 5 c 2 f Y n / / 8 5 9 Z p t y V 1 8 z L 1 + p K W f Q 1 m 3 h 3 j d O 4 o s V p R E k V A G 8 8 G F u Q a N m K T l B x L 1 B e W S E M x u I C V + V 6 S h h 1 U O / h T V w k t 1 Q k e + g M N K J P 6 e Y K q / D z 2 k q A + m F w A g n 0 l 8 D d 4 b h X Z H W y B F q t u M 1 3 z u F J / 4 2 9 A g I W y P O I p L Q K o f I M a k Y f w d W q W L I s g o C 1 o 3 G y H X M w 9 A I B Z n 5 m B r q 2 J b r p W W 9 m F g F O S d d I S o K g 7 c 2 9 E N 9 U T t o g W a Z Q w m d j r 0 V 9 L M 7 W 8 j G 1 E t Q E a t W f B K 6 T i / Q u 6 F F 5 k 0 x s E P S s g W O D 4 q d D O g K L K + / X E f v U w 3 f Y 4 a 0 K 2 G y w 5 f K w y z b a / + l Q J Q M F Y 5 + c X d n Z 6 5 t L + i 6 d P r F 6 r p 4 y k P + x 3 m k B 0 L c s O Y P k 5 j M E m L b T V z 8 v N b T A 7 0 3 c b D 7 v S 6 S r e N z z J / I 4 N v r 6 V Y O 5 m + c h a F f Y H Z K c j 9 u y b W a 3 e c B D A q b 5 P h c w t 6 s A c F 0 G N T v D A r 5 V B a C f h x O o y y T q Y f S K i g b S N d j N 9 4 G X q Y J I Y f w x w U h 6 g R d g Q n g e 8 P l e n + h M V 5 d 7 e l k 1 7 P + O c 9 V c X 0 v x s h t k u y Q w U O C k f 8 H L v 0 b Q n M A 0 s 0 j W v B 7 + W s E q D L B 9 D 3 q 8 q b y c G / o H o T v N Q o e z d 7 l h M p x a g d p e + A Y u Y b b 3 X H v a 2 S z M 0 1 E a / f 0 q E P 0 I q E j l 9 w 8 H A m v K f O v 6 g t F R a I 4 X T r c H U T r C E R p O Y R G M x c P w 2 F + M R u q 6 i B S Q l c c A x / 4 j y w e Q Q v j e + F f z 3 D h P e Q k j 9 X C I R z I P V Z m J s M T q L A N 1 M I x i B 7 8 J N R d S 1 K O T W S 2 3 X U A l + h C q N B / Z y O r K c n B I Y 3 M 9 V H Q A L d Y f B + T q o 1 q z R Y L O a 1 B / j P s x h M f H r I N J 7 F i R S D z Q c 9 + X V l 7 R w w A i 0 T 3 / q J p s s 5 3 5 O I A A j i G h L r 3 / p Z S 8 L U 5 l 7 M 2 m s m o 2 i A / 2 e 9 v d P j X b W U F f p 7 x 6 u 7 G g V W X C c 2 v o Q p g A P B E B K 5 8 p i z I o c W J k A W B S f A m H u 9 L r k 8 0 3 s 8 v I y T U V 6 9 M j n p D J A Q W 4 e r Q M B + C 8 4 3 7 5 Q T 0 z j E 8 J i G s 4 n B B 0 t x n Y x f W 7 x e r m H O / Q + N w X D S W K p H 0 h m h Y m v E l K c x F s n v T i D 6 t 9 K g q t W k U / U e u J R L j R M B q J t x H X 4 R w A m 2 6 7 5 U u b X S O 0 8 l J Z i X z / M R J g 8 z Q J J 5 9 t c e K h c 1 8 J U I w O H / r L 6 p u 1 J z c 5 q E N h k z o L M r g A s 4 A n I l k + n A E q l w M b y M 6 s C d k P 3 9 7 a o r M H o 0 g a x / F I e A q f 7 j s K O n Q 6 f S v t L a N x A P E 0 F S k D q X x D t B C j G k s A d g p Z + Y m f R v 2 3 N r d P J p 5 O 4 V 8 j t b x 0 s O u S V J f I / 9 i J D B n g 0 H L u Z 9 + r V K z s + P r L 9 g w N r N Z s + S b r J 8 J h 6 m C o A C u c f k w g f A e Z n / g o g A E Y 0 B s G J k 9 E f f L I z I y S z R 7 5 Y V a t 2 F 7 P 5 k 4 0 u y C a E X Q u K E D o 5 M R l R s 1 q 5 I R A 0 9 S q g M 8 9 z C 2 H K T W X m T c c T A S d w c E E v p B N + 3 T q w S N + T q I t w A B y A C Y G Q a a b b a B 6 l + X y c P w 1 H N o 1 k u r G z L k 7 W U s I C b K h t Y U 5 a W x q z p v c r a d h A I C M t i O R i J r 2 J V F y M 2 n Y 6 2 F d d d I n 4 i C m K x J f K O I z 9 O z 5 3 a m d q e 8 H 6 k 7 b M w 9 R 0 / U u g W w E F i B 6 2 E k 8 D I c J C t K U 4 j a 3 V E K P c 5 i + p Z H a W R W O 9 e e L G j 0 B u 6 o g p h s O R f f P 1 N 9 Z q t + z J k y f W W J s 4 m 2 B i W N N s 7 d C / D y r p R i h 8 v z 7 B i d 8 y E + h y 9 l J m z L m / h 3 h d C l A L A c a 1 g E / 4 p t e k 5 p / M L 3 y M U L + v u x B g d R p H 1 q k / c O k P k D b r d R O x w v h 8 9 M o K Y r y j 9 h d + H c G x P 4 r 5 f 1 F t 2 m J j H z 5 A k W V c 7 F o + d Q W M + F 8 Z I C e L S 9 / w M 7 + s W K l Q t l j m Z a Q 6 J 0 k s L 0 7 3 K 5 C l v r J y o e Y m o 6 S F F S v 4 e B X r C V T z E C 2 5 0 K G + W l W s k F t Y r P o v V i X / / H T / 1 F q y A E 6 H d X v e b Q m 8 u 9 X 1 x 6 Z b A U U Y 8 7 / 9 i l n u 9 D M m A H u L 8 8 j K X b Q O e x + w k p R N W v w B Y j 9 w v 8 A I L N n o 9 / s 2 l q R m f / A v f / a l 7 3 E e i L G u E u Y P 5 g 2 m E f 4 F k t y j Y N c Q Q G P h 4 c X k O 1 2 b x n j B l Z t f A p V / R Q + r 3 R T j W Q h i Z J J p l / L Q 3 f f S d z B l t d K 2 o / o X u l + W D 3 g 7 s Y L 4 d P y t L 1 v P i x E P d X 2 t K m 2 k 3 1 5 E E / t Z 0 F Q d F m r 7 S E A K 0 i y L L F N i T e v q 3 U i 0 B 2 A B T O r G N m Z o q 9 k 4 9 P s B n p n 8 L c q p 5 R d u B s b S Y m z + y X S D J w 9 X E E I C u 3 h C F q l / J p k 2 a 2 u a h y f A F z t 2 I G F X L b V 8 f u q 7 b s 7 6 U / W Z K s r O u 1 k o / S q l 2 m 2 3 f v t z 0 a 1 B C Q Q q + V d o J 9 4 T H m c E f M u w H e q O R A Z 4 H l Z H Y q 8 Z 6 s 9 K G v R Q o M B s m 0 1 D O 5 W Z N 1 m v g 3 r 4 8 K G 1 O 2 0 H U 1 Y P m C Q 7 A B R S 2 M P T O g f / 5 S Z K 1 x G N x T y z N 4 C i 2 D T / j 1 d 9 o f c q z p J Y r 9 x D / h W R Q F l D 6 l C v r m c H H N Q f u 3 a i X r v 2 E f X 0 B w V o U G J x q U c m W R 6 v v 6 E A c F i p 6 f Z r X 0 k 3 T S N 3 7 5 b N 1 g a 9 S U 6 M m q b z b C P q Q x l + E L s W 4 y Y 6 n 1 c W K 7 p p q u 8 T a c B m u S 4 B 3 B T P y A K Q C U i w h L k o b y t / I F j v Z T F L Y 9 I J K f G 2 V e 3 Y f v 1 A g p w t o P P q F x I K e P Z y 4 p n p 1 I 8 n V f L E E w D k p u J 6 7 N i J t 1 R S 2 6 X l t h H z X E X 5 c t U S u 1 m x Y + 5 u f X w X u h V Q a r c v 2 R j M 0 g a D I 3 N p s x u g I A A F k O A 3 n g C Y B i q + / 8 Z A S N H x e G o T I n l 6 H f T 6 b v + z d O P w 8 N C X b 8 A A m 2 D K Q O T M K K Z D G v N 9 t v X x T a S W O U P X i i 2 d y 2 6 w b / f 3 y 4 C R R f / 8 l j o A W q a t M l C R o 9 e s k n b E j 2 + v v Y 0 S d S r a Q G 9 k j r N W a u r r s r j Z U A x z V C F n g Q g f O Y s L a d x 0 i + b N 8 v / Z 9 1 4 U M D S k Z M R c S + t 6 Q f Q R w R 3 2 w s D H Z E 6 L 4 M 1 E f U h O I Y / x Q d O y d y B B H O b 2 0 F K 6 t f O B 5 I b z g B / r M g F f u 3 r 8 B k w Q v z j f 6 X y W D Z G N T o I 2 4 H n Y m u q z / D u Z m / k c f c A T L U c C S k F 9 g r Z L K Q X q 3 A 4 a P Z V / o n 6 + 1 H v 6 m b 3 q G Z v 0 / t 8 H 7 R Q 2 R 8 V O p H r Z U b Y o J g j E f M X q 7 j Y 4 5 B 1 H Z E O V d x N w S z D j Y 4 l B 7 v c H v p i Q p 2 0 M B g M P j / M k j K P j Q 2 u 2 Z M J t + C Y w l g N J Z i G L 8 l i c B 2 P j 5 H s S q R j k t j b y O / N C R Z l s Z E a T R c 6 8 U E b 8 z o G W Q L C k / p S u 0 e H 7 A y J Y J G n Z a o x 9 8 q L 5 T O e m u X o 3 g R m A E m E c h h d W L + 1 5 I I J k V X k y 7 p d V C A j k 1 Q Z 9 I I x N k m w o v 5 D 2 e n 1 g e B 0 I y m c y q Q D S Q f 3 m 1 L J N w v R n S Q k 7 O 2 F C 0 l c k 5 Y 6 Y 2 x I Y y C e E 1 G o H / T T u q 8 Z p E G b F Z J T q A B + n g g Y w V 6 S J H l p N Z l 4 G p m 1 E 3 b C W O p 4 K V 7 C O + G g / i G U q L 6 x d W 9 i T / Z o 9 b M v M l 3 W y I o l X F 8 B 2 D 9 t z / / 5 A Z n y 1 z H h F A n B P 5 i X 1 I O C E S c l 6 s o X q q 0 o y X t T x j n T n s D m q 9 2 9 q c + s c i z H F F B 9 C 0 f n c y v v f b + Q P c J B N P u g P 7 f d f / 9 7 D 4 Q A p i 2 Y R i C D L n I n d 7 P w s c w A w w V x E 7 n j l N 0 w 9 r r s r Y f a x k r c f n q 6 / u Z 7 c z 5 J G F U 9 5 x j r + F I v 8 9 o L H 1 m 7 u b b m / t J C 0 E Y s V 0 U p o A F K V 0 E w n v T + J c a q + X Z n 7 Y z K 7 y D L 4 x 9 G F / b q + Z 1 h y t A v / k B 4 o B 4 H 9 s V u 0 c Z j z N U e P 2 q k k 3 4 W 8 7 y R 4 h s O h z 1 f 5 + i r 1 G x S J I V / O x s 6 Q X 9 b U / w I H 0 U C 2 E O h P z / w 6 r o d n v c 1 q o h S 8 M 2 8 j 6 N h h 8 6 l r q m 3 k 9 5 V A o L + c 2 f 1 f z g U J w M S c Z b w z o K p 7 R e l 4 u 9 x K 3 7 4 h r I n u 9 L X A N 9 B v N Q m e J 3 Y x L N n z S 1 2 v P s z a d B e 6 0 8 Q u R B I i C 8 A K k c w H n s / 0 A a B A g r J 5 C E G K D 5 E C 2 w j m J C / v D 9 / 8 w c G A m U d g Y T Q a p W A R A 2 V z L x B a i Y M s B L 6 v 8 v h O X Z c B 8 E M 6 E 0 q l K 7 t C s b f d z b L K w + v y p 3 z 5 R 4 E A h T S X l W R W N 9 + Y m 5 v 9 s 5 C / N p Z G K n l W O m u n i g L X 1 L U a U c x G v e W a i c W B g K 2 g a z s y b 7 + e D u y w r E G D k c X J t J t y M d + f 9 3 L 2 q w c k p O 4 + D t n c l C / a v B I x L K r O e + y o p L 7 8 b j q y l t p R 1 H v 2 4 I i X 8 j O l Q z k X H i C R W F V S H / i l r m V J u i 3 L 5 L s a C G J 8 M V n x i x G C t I F 6 Q J T H b w D O y 1 4 f 7 j u q W t v A B O G v M j X B A / R q x Y Z r c p t d 2 O O D s v q w J D 9 N f t b N Q / g e 3 R l Q d E A v y p s / T 2 q 6 s I A o D V 9 6 p b f U e g s x A O T 9 E a R w p v E W r 3 / c k W g n w p 1 b c i n 3 Z l E b + y 0 A n p 9 / 9 X P 3 m R h w B s B X s f L E D T r N r 1 0 6 4 J D Y 6 W a U b x f d f Q x 5 t C s e e Z 4 d N d s G q l R C q / 1 E A d O u 8 w l g + o X f i j L 5 8 D 0 w p T b 7 l E 1 i W P V L n h 9 P e j 8 f P b P e 5 M Q G w 7 5 v / R W t h g K d 2 i O G z K Q 8 j E 2 2 x H k 4 s Y J 8 D V K K m D 9 z z S z P f r 4 g P z M 1 A b e N A f W B Y G i O r O 7 M 0 f m q Y U z T D U B l l P p R B T u X T 9 f W e T R 0 r j p 7 b p + + 5 3 4 e s G D / C f 0 G q J j n 4 1 l b Z a k s M k D e l K k q 4 B s j J L k / Y 8 n 1 A J o f P b t E P M Q y F c q g P j 7 O W 9 q z S Q h X B C B 7 0 c O L p F y 1 5 G s 3 a k w / F H w N 4 G y d B f / + K G 6 n O w M K Q j B M h d 7 h P G / R V D a 5 G k G M w v e S u K U R T j r H k y 5 l f r F 0 3 p M t 1 z X 2 T r y l D J 7 0 Q F L k c C Z 1 v w 6 j l i R h w 1 h l y t R 5 d N z x P b o x 4 S B 8 K g e V p J 9 3 t o A D o 7 s m Q p L D d G K M q 0 z x Q e T V J w w u T V G Q V h B t L q F n 8 A m n + 7 o j 1 R v 3 C U l N t I v I I J G z Q i 7 d A J P q c K 1 r X D H j Q l z H C l k k K x v H T F h f h F 0 n K g q Q A K U i I N b K p C L J 0 V h T R Z q s G 0 s T i 3 m q x T S A w D H H m V / N r C F v f 1 M b w r R v w Z O C P t X m 6 X w W 5 7 k g k u D y f k M g b i G 0 1 X k 0 s w N p r G g x 8 W T Z u u p G / Z i f Y s W v B 1 U S m a 9 Y a m K f N D i 0 c q 2 B l v K 6 S E j x S r Y K A R B M T B 8 7 H 0 c R 9 d R B G 6 g n p t 8 2 k F 8 l x o n r u C d g p e z M b G Q s W E j L d B G B C 8 L 1 a x a 9 k Q r / 6 7 / + N 7 9 h 0 0 q V e 2 c i h X S 0 K t h 8 p Y G S M v f Q + h 1 M B w + h Y z K m Q s p D 6 0 m E 2 t G / G 0 x J G s f D C 8 g 4 7 k 7 S h z B z T G I 5 4 K r E f i t l G j o U a U o n I 7 0 A F s 9 f Y j B g b C Y c m X h m n 7 r c Q g e 8 u b 4 t G p Q l C 9 T j L k B j k I j 6 8 W R 2 n s 2 L + c V I A G D B y B k 1 A x N C 9 G p m O i H m 5 T K 2 O C d T b g k T j h x E 1 M t D 6 p b 3 Z 0 6 N f S c m I p L U 0 4 z n W T E p z G N K A f J m n X l P p I 9 n H u 4 F 6 a N C + Y 7 M 8 I p M T f Y 4 J / o H O Q O r j p i Q 9 B l 9 5 J / 1 H s b z + u u V P L + M c a 8 j W K o 3 D 9 0 E x O x D c w I m N o F h 8 S D C j I e D s 7 u S B 6 3 W B w s t 8 6 t y a l a y 6 6 4 s j 2 y B p A N J 7 w E b 7 2 F + D o Q O Q Z E s 0 f e m e m X E W N F e 2 s m D I V g r x / V Z 3 / E C T w M q 9 v M n l / U 2 K v x v / + 7 f / I b Y v u o s S a 8 b r H / Y l T g / E h O Q j t Q q q c H 4 V R u D e R v B s B 5 G h 3 E B o / 4 t J y D s e o 3 H f A L S o y U F h L b s T / P + B E b S + P f r b N q v k 9 Y N Q f K z d J v N H s 9 P z n V t y Y q J w K Z b E F V b 2 d J K 8 q F K 6 j n q j c b 0 x X X q a B i V 1 a v O g D c A f D u p P S q P 5 R g w E h K X Z / P y n C j 2 r C B 7 v S w T F J + n X T 1 Q P e Q D 6 B o Y l t 8 5 x E 4 u v d n M J S 8 R z u J D N N P m t m Y w B A q Q e 9 U q L X f s r 0 b J q D m y o h u H 1 s S 0 X W s U r 5 + 0 d v q g g r f + C Q y G O Z U 9 K w r C z A J A M C s H n 6 + a p F c J H y a S d s G X C + h 3 B M J G 3 T C P W f Z P S N + t B A m i d v V I b d i X u Z i O B 2 D n G u 7 N e Z j 1 P I w c 0 x X w O b j W R x Z t d G D e U K + M A B Q E q 9 D u D J y b 1 / K W y G e S 6 9 t g x t y V h N s N l B u P + 2 h 1 o S + d 4 G N G u i 9 T a i T z l O 9 3 J R z c r + q x P d 5 X 5 3 / k E o 4 s u w J m K T X I l 0 v t 4 m 1 l 4 k c 5 m K Y y 4 W Q H H 7 d 1 j Q b K J 6 D X 5 + u j T N S p v T p 9 6 c + H O t g / 8 A H C y S e U T C e S + I m T j 0 b T b T U o X C 6 A y c 9 g i Q p r n n i s K K b q d X W 5 j Z y B Z H q N Z 0 N d X r B 6 j d W 5 e W c 0 X 9 w 4 O 1 P / n 1 s c C c k i t J e H 2 X U O U p 0 l H S N J d L Q W f Q M h t X n I N a C q N e p q / 8 9 8 s e F V w r f o C V A X 0 h h 1 a a M j M i b U L w C p e 3 n p W f d o K R h o X X Q K m H V D q Q O M u k m 7 M O 1 3 0 6 F M v q r f c x v R b j S t 3 0 f / 2 E f C / U t 8 J v m 4 t J P 9 N A A K b Y V Z s T T Q k E Q Y b w P 1 T Z S 1 j X L Z b s 7 7 G T 7 Q v a 7 S T M D + / 1 7 N r D t q u + C 7 j h x Q 6 / d O d C Z S H 2 n / h 3 O z M 5 l W u 1 K z n N i v 6 n O f I y h 3 t n f g z q Q 6 w M i e C 6 g G 4 M C X G p I g 9 d T 8 2 S Q m D N k c v 7 C O G v p r p l H W r R t P J n Z y c u K / P 3 w o 0 6 h W 9 4 F 8 2 5 F V a Y 3 3 O 9 J J Z T D I G b g Y b L S q 7 8 N w h 0 e d A q h R 1 B U j B x r E N B M j m 2 Q m d Y l 9 L B j c B f d B A a l c n g L K Q 7 Y 5 h 7 + 0 O e t G i Q h D L 6 R 9 h U 8 / b 7 / + 0 A 5 q T / w 3 f C 5 o 0 5 9 a q A 6 n 0 d T G i 7 l 9 U a 5 Z K O a k 7 Z n 5 d p U 5 r 3 6 + C / F o 1 N + P + / a 3 L U n Z H S g 1 J 1 O z m I f i 8 W A F D 0 C o X o w R 4 K K 9 a F J 8 O A e U x m x b v X e h D F B u F U h D w Q v Z Q + m u E g L p 5 e C P N o k q d j F 6 6 o 9 z 2 k Z v 9 e + a q B c C m P m m / + q L N N 1 j 1 7 q O 5 c d c S m 0 v J d 7 n F 3 O P n G y M / d 2 I e k j T V Q 7 F d P s y F 6 Q C 2 b O C 5 S G u R d Y H Q F u M F l a q y g z h U Z q 6 J j M d / a C F O p B k M C 8 d l 0 n g V M q j k f A b U v 9 g K 1 G c A M q D 5 C o H F a s e V 1 1 z Y h q G F 6 H N e a z M e e g H d d o k n j m V 7 R p L Y K E f n v n C R O 7 r C / p Q n y J M Q 3 L X O t U H V q s 2 v T 3 0 u / t U B D F o q 5 d 9 p U N 1 D n g B O z B b d 3 Q i / / J b a U L d a 3 Z q 3 e l L Y x / A T K M x L / S o I o m v s s 5 D e V U q G w 0 N w 7 o W 0 k 0 3 j 4 8 h f B r M v e z e N x F 9 T / 2 J v F 7 6 z l T p Z p w O G J U D U R / A A 8 O T O j a d T t x U u 9 r n H 0 S 3 t F V Q l u m e t 6 8 O 9 u 2 / + f L 6 3 Z M L / / b f / p t r o 3 x o e C 7 E 8 S d 0 u A v N B K q 9 d s 4 a 8 m X Y m k q 9 m d q 0 V 8 y F u x B A A h Q 8 a Q L + Y 2 G j B w 0 E W G b d W Y J d J P P i h l s g 1 c i c Q A s x 4 Y v k 8 + i R B h K H l C y J z P b O B v A m A m D k M 6 I x m U / j v Q c b Z G q 6 x F R Z + m S D 8 F S g 6 j t T n Q 2 + s 0 g m F 0 E H e X a q i 3 w 3 J L C Y H B + r U d 6 T a c f S d a T x O i C y Z I c g t X c t u f 3 e a m f G 7 K n k 1 v f i K Z Z k 8 Z 6 l + y T s E g 4 e z L o S d F 2 P q p E v S D 0 8 4 q n y z i b p j k 8 5 M T L M 6 + D c o e 2 7 0 l x C a r S I b V / m 5 U 1 E n Q A F J l 7 a r p x r H + p C X 2 6 S / 7 6 u p 3 r d g y b 0 F 0 f W J 5 t E 2 d u + h 9 S 7 q U X A + O s V P n D f U D x y 9 R o m g W s a I + b I 8 O H Z q H M k K 0 5 d p 3 u s T x L d C C g I H B C W B l S 7 k M b J I y K s A V r g 8 M 7 U I N 2 V c j K G v Q u h 5 R K B B 6 Y l S A F 4 M L f c l 9 F n z D s O O v l a U o P p e B Y V N l s t X x t U W j u f d B 6 d i L S 7 K h F 3 J c q h b Q 5 q E W a q W M T m y d T 3 l 5 v F E z n Z N R u O 5 T u p L p K x D q B s M n m z T 3 x e R L 5 c V c A i 2 k U 5 n p + H F J a 2 4 n O a e P v 2 G s y R t A g B X A B J p y H U h l V e 4 A k d j L l 8 4 n M 7 O s M m Z I m H Q 2 v L p M K i R / M V d W S S 3 t u z U a c P I U r y p f j y n a 7 z n 5 x o l u p H I A S m Z i x Y J E m / Z K b e V f K 6 i c + w T A D M I k J A 6 T y C S A i 1 z S M S / + j V r 3 M m 9 L c p 6 W v A R F C G P m S q J d P W V w m z O d u E l C L Y 8 4 L g F / s M g g + A B e V P B r L f x 2 m e n s / r p E r l D V E H 0 L g x f r c S 5 Z B w + U 8 n O f v 9 s G Q n s 6 I / P t Q f r U K w Y E f y R X r M c 6 1 B l J G H 2 1 W h N 2 H 3 m 0 h t Y a A Y J B 8 w d R g 5 d J C H X t c M T S e + y a 3 7 C H K t R S A l F q B G Y h K 1 G x B N o 5 E Y u W 7 T p Y C l V + w 0 7 r n t f k S 7 i A i y W p f 1 W J i 7 H G Q X s L Q e J q J d v O K L + W J O m X z M 7 r f r B 9 Z q 8 E j S R 8 Y m k c z V 4 G O O J 2 M b T M 8 l V X u + D w W 5 d V U J v J 8 1 O 9 b P E Y 4 G f G m G P v 1 0 n f n L P f k t + 5 3 P 2 b F J a H + 0 0 6 H q f x N x H h q T p f k E G j I B h + m 3 r d x N I h C D M E 3 Y Y o l u h C e u H v q e 5 5 b x M M A F c 5 4 S G q 7 t d a R 8 k e Y 2 V m R G Z t p p F 1 L R v g r j r 4 4 T + 5 U O 4 g Y E p f O / E 9 P / i 5 j / n 1 8 J A D p + q 4 N t m c 5 H 6 W Q W b h C P A 7 1 R A 2 w h U M v 1 Q z l v Z 6 F U s w Y P A B C W j v v y H Z h v u o l g G F 8 v t I M G u o b o P A a G n D O S Z C H m M 5 i p 3 y R 1 u z q V 5 Q 0 3 D + A u R C 7 f 3 K Y W l c Z m J U m 9 Z d s K M f u Y i 0 F W d b u Y f G F R c i w / I F 3 a z r 2 3 E e V M Y z E / + w N q 9 I j 2 Z a d S R e p J f Z 0 x S B g Q s W N v n T V V z S e 2 1 z i 0 / d a x 7 T c J w D R l O c j k H f X s v P t C 4 O p 7 d G 2 V z C 3 Q u P B I H A I a c 5 v 4 d l 8 8 Z B s m p + y r 5 P f d Y E h / l X j O 3 m d E y D z t 2 Z u J M c J M p Y 3 4 R v i 6 Z K 7 o W w f t d e M B W J K C z t I N C l I X C D K s l q s H J j n b T P N A Q B 5 m 4 d M i q i t 8 Q R A C 7 Q S g t p l 5 u x A g 4 i E H / 8 U j A e t B Y o X / 7 n / 8 + 9 + w t g T N x M G C r o G 0 1 a V M P C J 8 7 V r i k 6 j T j 9 i q C X U 4 J l u d l K U 4 b 4 2 q O l q I W 0 7 V k W r 0 1 o b o K 5 c m U t d 0 z F 2 J g Z i F M + t e d P 3 Z U M x f E B p u N O r v r I X i l X N 5 d d 8 C K X U F c H c h U o 7 O J 9 / 5 f n Q M O O o p C X W P W e D Z J Z W A V J + i f F P C 9 N f 3 K f U R 2 z o Q 6 Q v 2 Q / e H W m N a e H e o X P X P U i Z 1 n r Q l C a u g U l e 5 R + 6 b I S D Q g O l k a s s n i e f y 3 8 T + n u 4 T V G q u 8 d B i U z H Y 6 3 B s 4 7 B n Z V U 5 K F X d F M o E D / f J + g s m n 8 k 8 Z u k G c G H S F c b E B 2 V u K P N l + M u y J L J r t 5 F H K b l W D I 2 G c n N L d Y D R H W D X M P q c B 3 d L M 7 H f O a F u T D V A 9 h 7 p K 6 8 P / q j 6 a D 6 Q B j Z Z K / L v s F b Q 4 N y H e 9 9 U z 5 u I y z I T 8 D 1 O R S B I Q 7 7 R L v / 0 M u 9 z U 9 v l x G 5 E e T 1 p u d c y L 5 / 1 8 / Y f T 4 p 2 s i h b p M 6 L L i Q J O W E b U d N r J F R G 1 0 k w B p 6 H B J y c v b a Z m L s k w V C o S o r m 5 z J J e z 4 f N F + w y 6 k 6 m A i f m M o d 8 4 + g S I 7 r 2 e S Z O 7 A 8 n Y L A w H j Z s 1 J D 4 F F / d s p D 2 6 + / l h Y Z i P H W R v c 1 R B Y B W Q 8 P m r + 0 B 4 1 f a K B S 5 k b A o J H m 6 s 8 F a / Y k o g E G P i u T x J i L m 4 Q / x h M 0 K A v C D W B + K 1 d Y e Z C C C O B X 9 Z b 9 u n U o x j y 0 S 4 F 2 J S H A n B T b V L N d N W Y g w M m O W C D g K f A 4 8 W g X D y D I Z G T b g E 2 t g u 8 0 9 f h / S n w P g J h Q 5 9 U F p v o d s z W d A 0 u F m 1 9 / A 3 P z M z t s 4 V c T V H L Q 3 S C c I C 9 X f 0 S O o 6 4 6 U G Y w W R F M X S B E P x R M m 0 T 8 5 N Z c P r S X 2 v 2 9 E Z 2 B J j w f S w P O C o 5 q 1 l c V 8 J E 2 O m U x l h y Z L P y x l l f 9 J K r D Y J B d z n I N f 8 B Y N E / t b n 2 P 2 c A g s e y d Z x p Z c S 5 G S q N f I 5 k 7 o 7 B r g 9 m F T e W Y 8 0 x c 5 m s i c W i 0 H K t s / I l 0 b u g u n Y w 2 O R 9 / q 3 t g H 6 c D C L P g v 8 R y m l f s + p M A C z F N S R J S f / F y 7 g B A q m 8 j 1 W D 9 m y Q x y z b m 4 7 R e 0 n x F l p M L / 8 x T Y V 4 V S j z W R T 4 X D 0 y 7 U l 7 q K y x s E g 0 l p X W N G F C 1 k 9 A c + 9 I F 9 l O v e J v Z 0 z 0 W E M p W k + 8 D s y G 5 A R R B A z Q J O W 8 e t p Z W y H 7 3 8 t R e 7 u H 1 4 4 8 x 0 3 d j a f 2 6 K o q v 5 G C S A A v D y M / j G g C K V o K p s 4 i e j + 0 s X W H N b 6 6 1 N k n X u X 9 a A p x p M v R t 4 0 U f c G 6 q o d X 6 i b h I Q 0 U q W p 5 5 v t t 8 8 R 3 p g 5 J j v y 9 i w 8 x H h 2 Q m I 3 X T y V I 6 B f + K S F l l X x 0 q N b 1 J A P x 8 K C a d j W 3 Y 7 3 k o f D q Z + Z J 3 9 k 0 g 2 3 w 2 S 5 d u M H B I p e P j B x b U K U u m C 4 c k O u r e n y Y h a U z U a z L R t Q s 2 t B 8 6 Y 3 g o W o z h f p W G I S X V x f l E 9 Z V W 4 z V j j E k 4 8 E f g 4 E d k g A d M b C e 2 y i + s 2 q j K v J K Z R e 5 j f u r Z D u y U R E 7 b d e t / M k J b s c 9 3 v G I 2 U Y P P L k F q R + p b 5 d M 8 v u D Y 9 o K H f u 5 V g p l h X J 7 D u 0 h C v y 4 j U p o I 1 x P B i l X 3 U K A p S e v 5 A 9 w E U j f F 1 F f M K d F W 3 7 u P 5 F Q J L Q 7 u 7 8 y s M q N 5 u o G m 7 + W n v n y t / t 8 D 9 S o X h i Y v D 7 O a A A D A J L 0 J X 9 G j n W g Z y t E f / Q m Y e B R P B q q s n 9 G A A J s p m S h J l 9 7 o J / 2 m o V E d O O 8 9 0 m 9 c R 3 n 0 h R 8 S c E F b l k N J v p X 8 K s i 1 H E P N Q X m U t a W 4 m + h H A x S x / L 9 5 m D 5 v i s C D B y l U e Q Z o 3 m U B o j p q i 9 T 4 9 i J n / / n Z 3 L r d v s X j C 5 k b N S v J g B 0 M L 8 S 4 P O c p F B O n s + k M X l W + w v H B I 2 s 3 D s Q U m A Z 5 K x c D a 1 Y P f E O T R q X j m 9 p X g 7 p v 8 E g d J l O i Y E P f B y F e R N I M 8 j 9 k H j o j S / o D G j e D Z B 6 5 5 N N v 5 6 M X Y l o m G V M w 4 e t w p O u c J G F Z l i 4 z q 1 p o y 3 / M 2 V K m J 9 q n J m a + D V A Q p h u L C c u F u k c A c / K D V j I b A Y f / V m r 7 H M k 2 c k C p n g Q c e M L I p n k E A 7 O F M 8 C S i J B G k W 8 i T V K V C Z Z N I 3 A + / h Q A Y 3 y u a g 1 n P H E 0 j + Z B i 9 I H f R 7 P I + H R U L O 5 N 6 Y Z 2 f C s A P A 1 T w I K v l i z m e 6 J 6 O V R L R 0 O H v U h 4 8 d 7 6 s D v f I d g m I c a W w n O M k J S v / M A B c C W A W + T + E z 7 P c i i c 1 i y T x 1 o E 9 q y U q 1 4 t g u T 9 I T X m a b x n Y E l D N 0 V o T 5 3 0 F 4 / G q B w 4 j w q o n 6 k E d j E N I y O o W G e Y n S F k P w E T U 7 6 8 o / G o Q Y v 1 v U a q L K 0 W S N n p a p M h w o 7 r c p n q D U t q J X T l b r V w L U R D M f y A Q 4 m U B l Y J B s B C / w P E k v R I q W y 7 O o 8 i + T E u P J e M J U m c t g j D Q A m g w N J g + g D r w L Q V q F M x q Q g 7 q H + K h M w Y Y 5 h y m Y P D 9 A Q u e 9 R t Z b 7 W J V K X d q h 4 4 D Y l Q C z a y z V l z 3 8 M B k R E C U d a L F t 5 H 0 K q N R O z 1 X T / d A M + t b / 3 M + S u S h 2 t J G 0 + 1 g a u q H z y g I A 9 a a d K a j W 2 u g K 0 0 I I G t o 3 j U e + / / t Y 3 1 W X a M + i Q C O w b 5 i H 3 m 8 C B 1 q K P D 0 v V + V n l P 3 O K w I L A s j U 1 Z 9 C w u 9 S 1 o 2 9 h p d L Y I H z 0 E I Q 4 A U 8 O t 3 b z i t B D u 7 / 1 l 8 C U O y x I a G B t m X 9 k S 7 3 S X q i y q L V N L U 2 S P j e l X 4 0 Q K m / p C E E L F Q 4 G 7 e I 6 Z g v W M p 3 I q 3 n T f r Q B v G R V P r e T C b F U i a K N M t o L E Z e d Q W i g u 1 3 H k j y 8 W R 0 + V J F S a R 8 K H t Z T r F A B + P B O I V E n S c g u W m k O r w b Z Y K x A o G N x 2 E 2 r R Y 0 x R B 1 g U 1 S T B 0 / m 4 8 0 C K H 7 X L V q X c x Z 8 w E B r D W d x + t c r L R 2 e 7 y + m X S D Q T S S 0 k h N 1 z R M V u c W A o b g x Y B u M t R 1 h K S F c a g v 6 5 4 w F x E M C A g m g d E 2 2 y g D P Q G N V u P Q r 4 n F k W S 0 Q / h n A C I o q D 2 q 5 3 y 1 s J E A h z Z n r i p l w J T S q Q W a c u V e M p 3 R Y p Q 1 D e W b 6 V 4 B 0 c S A v m k 4 0 3 N N d i A Y a A c d R U D C N d Q G c Q 7 f Z S Y e Y 0 O f 4 i 9 X N E b 5 p c z S V p o N n w E 9 8 6 H x X b E W s C I Y n 1 Q 7 r V w r Z o C i T 0 g 3 y 6 K T f I d A Z x z 8 3 g C Y d i J I N u Z A b y J f u / Z 9 A Q o T j m e n 8 q q + c m T f R D D d k 6 Y Y X U 5 R s Z H O I T i I x B Q r k k N l A q K 1 f C I Y z U t D a Z x O I V o Y J w w C a T n 6 Q s 5 1 z o b G E 9 t r s s e b t U N 1 r H w B O d o E C f B V 2 O 5 r 0 S v Y R V c d J 5 O Q c p B 4 P K u V D m T 1 6 R s 7 n g 5 V B f 1 V g 0 U 0 j C 2 x M B + r l Z a 0 m B h Z 7 7 N 9 x j m K 0 h b z 1 V T 3 m / m a H 3 w S N I L P 1 o t v k Z h + n q c b V S y y i U 1 X A 1 + + k J O A c F + A S u 1 A 1 A s m S e u G 2 Z P W + z o C T H N p c / r W d 8 I V A 6 O B m e C F 0 b i 2 W d l 3 L e e + E p p M I O + J 2 c 5 Z X i + N T A Y / G s h N W b 2 X o h Y S V a L 4 P I w n n g X P S m X 3 Q R N Z D q W W t e v 7 1 p a l g C D b r J 9 H A g G u G J 4 l I u 6 L 6 b 6 b 5 O f r H 8 D j f A A F S B A o y U S 8 t p / 6 P y 5 D 1 k W n 4 5 C a q Y B w K g F I F J O M E c D k w B V Q K J u D M e a Z V Z i M m V n 5 p p 5 i Y M w + + N R N 9 h 2 I n Z 0 + G l D c n 0 T a X 7 c X 9 m W w s K d H r F a V 5 o l i a + A z C G R V + R G B B u F R d S k N o A G Q K V A v J f a 0 E l t Z Y C K d y B s p a Y 5 6 z d R u C j I 1 R g 3 j 2 V N I l Z w 6 h M W E L I p k g R z B h V j a K p F U X L I E X D q C v c T b y S M T v 1 o l h y a R R J a f c 9 k P 7 I + z h k c X + x M x m K 7 J y b z B y Y a h r w 5 q R t 7 5 + g 1 g s d c D D 3 X O M i z e H P p D C 9 b F m E T N 3 K x k f 7 p q W 4 x 1 J J + k K Y 0 k x l q q A y S 5 Z w s N d j K 1 Z W H u y b K 5 q b 5 X m z A 9 K O 8 6 k q 7 x e 3 v Y W Z 8 5 1 0 0 6 / W V 1 u U o w F y F t z L 3 M B w L w h P V 1 t e 3 V n 2 g 8 W E e V t g N Q M X n Y 0 f k t A X a k v n v J k h O k v P z I + V Q + T G / h A m 8 x J B q 7 t H g W y 2 c a e / m U h c 8 4 z F X s Y Y 1 d j N 7 W y T X D 2 g e l H q z 6 z Z j 8 K l E X w J R p K U y 0 g v q w L K Y q N 9 5 O D 3 i 9 J Y w A U 5 J P T d n h 5 N J G 8 Y W u i + V n y / y X A A S 4 G X E N 9 0 d z A l Q + c / 0 7 d Z U w h H b V U K w k + O C H B W R E W t K / O l 5 Y 3 U W W h I E 0 C 6 r S l 2 / o d T H l e 0 l n 7 F D V d a F B G E 7 0 W d 9 2 9 m V m 3 f C w 5 E 1 i I B Z D a R l S k f i M t q o W 7 F I d / J + e y b S L + l a a / 9 5 a B 7 E / k f B R 9 V / Z 7 y 5 y Y m S z n z f k Z 6 n j f n t R s v P 1 J v V I 2 e J y Y g e F s T 2 u l 2 z / o C k n 9 / 0 Q / c c Q j O C v u h f v 2 b o 4 n I T u / 7 B 1 8 7 I Y r p l J t r c Y v L E 8 S j U F 9 d g Y 2 E g a e C n V g C b q z l 5 Z p S A h U W x Y N B O T S X C 9 2 W R m L W U 5 Y M a M 2 P w E j Y a 5 R J S O 8 2 A u J q H x u 9 z 8 X R P 9 D F g H / b 6 u m V u 9 k e 7 9 z p T w 6 8 n Q K j L L a 5 L 4 h W X B S i 0 x o c x u 2 m C S T / M h K R s w q n x h a c X v c h P f F / C w L e 6 Q 1 U F C M 5 H G p Z h + O O x b Z 0 9 t 3 d g x a R u h 5 Y k c I h B o I 8 5 Z c B B c O 0 7 d y U v r j k 4 F c P n k q s f B 3 i M J j C M H z n s E f w q o P M w b M G W 7 X v l P 0 q D s z Y / V 5 P 7 V D s Q e 9 x + l o W j S X i 2 x L 8 S w j D / 7 l 5 P 5 4 H N H q o h X R k z P 4 U m t O k g B q X e K V t O B J t q V Y D D S S 0 q k k e g o 1 Z D 2 M h s k H a e r k o 1 D A W 4 Z 2 G L U t U 6 9 4 b 7 K T I Z V d x 7 Y y b R k r 8 Y F + Q W S Y B u M x n q d 2 a q g M U L 6 z a W z 8 R t 0 x o a I y R j T v 1 I n Y 3 5 i j l K f 2 0 w 0 P 2 c N D B Y z n v d e + R P O w 3 A i p p L J p n F y y S q T C J M S c y m U 1 g x z Y w c Y S 9 / Z K e h s + q 1 8 k q F r F E x K g I B 5 t c p J Y k u g Y c r M J u n K V 0 g s n d 6 X W 6 / b 8 k b K S z N 4 v f S H S b w t D Q t Q 4 e z D w E z s u u + h 8 3 j U 5 3 w Q W T 0 s u 5 C Y y w 8 L Z 2 L 2 f u T z O n n 1 Z a U d W H l P J q W E w m G z Y S 9 m Y 2 t G 0 r p Y H x p v T H g Y F a B U q g L G u g + 5 Z / o m P a i H / 6 O u i Q 6 W n 4 N X t j A Q j z m I 0 0 v f I c y 3 0 b S r B u e s 3 m r Y Q f 2 h z G w J 0 S 3 n Q q n m Y 7 e l N F M j G y / G m W g f 5 t 6 u Q p a g l w M q K + O u x H 2 + O m J h I X f X Z 8 w V O u g D y 7 s T c R s B l m U I p b m k l 3 y S s n w C N i Q 5 r B 3 7 7 H 2 9 R R R H j C a E L H I a R P l d P N n h D W k Q c 3 I k 5 z L D u l H J B n L S Z 1 M x t M z B R D 5 H T m U T K i d 8 6 o m 6 o a S s w I S k Z Y 0 S 0 b u b Q A W T u G Z F C s 4 m N u h 1 1 W e g S P d V N Y g A M o A F m Y r N / K G x k U l + U b J 5 g T k q t a f I I 0 A B S c 7 9 w D W n 6 R q + E k A S M f N 6 3 w k G f T i 9 9 C d 6 e F q R T g J E M A s 7 4 u J 8 4 / i g m W B m 6 u X M q v q / Y S L I y x c k Y V j d D o e d + R v 3 T d R u z D W 6 U F 6 l V d k V V v V d R P r e B Z E E J x u g u g l P O X n 1 + 8 r y E q I 1 b H 8 1 v R h I k G K t S B h G o Y Q Y A o o 0 N G k w k l 1 J K v a F n E T 3 9 M 9 X G 6 h 8 W c d y B y R M J V Q J Y o E / 5 i i 9 7 o C Q F 7 W X J G Q y P N r N j j T T A w k q a T V + 5 5 T N d o q 4 B 9 o P r c Q k t Y 8 N 5 6 7 B R F s p e F e T z 4 N e / 8 u / / v v f N C u J / A M G V u W p Q A T x L l Q P z H 5 1 r I J g H H X Q X T T O 9 0 H q T q 9 v S Y N W K s c e 2 j 5 6 s G / V d s 1 q z a r V 5 D t 1 a h U d M l 3 K 0 k M C D I 9 G Y Y f Q t H P F d O u U n r w Y N 1 4 U b B i X b I j P V u p L Y p F Q S y A h N U t Y o c s i w 6 I 0 L p c D M M q 5 K s F g V o / I S W O Q Z j M d T z 0 h l S 2 S 2 Q m I y V 3 J W J M c t 8 I K T Z u 3 V k E d K T O q n F S l O e S n 5 Q P P e i i Z t C 7 T A 0 n F I 4 9 I Q f L z K v q t S H 4 f X K h W M O n L h p L 4 c f z O 5 D R p V Y C K q B f A I a y / 4 E n 3 A k K 2 g 1 H m v 2 w y W / a Z 3 6 F I p i L E M o m F t M V i L r 9 T f b W K 8 2 5 y 9 1 S P c a 5 s Y 7 W l J + b p i x H 7 4 c K P U O + H q g d 5 i x H T D e J Y G e g m p S X / m s A N e 1 j E z s A l A Q a h j A b u j S 6 t v E q D J N k U C o z t T 3 H R P 1 Y u + F Y J A h s W A y Y m + x M S Y S R E 3 q z L j 6 3 I l x N m 0 Y h L a U Y N y R t w Y Z 2 Q X Y O g 8 Y 1 d 2 D V W A g M + p l z f o E d 9 w D 3 v t P H Q R a + v L l K n S R q o v 3 z p x c t + u o y D r X k h t u 1 i 4 a B b P D q I E 1 T L i f 1 C 2 u l R W 8 y j y i K 5 y Z O 6 S W L / O Y h 7 k 1 U x k R 1 8 c X F h S V G 9 p i q w 7 q m l o 1 Z L J / E W y 7 m d j V / b + d B s H H U s j O v 6 j k W G K g S B o N 7 m K E j q k 2 e 3 V z u 1 d n 1 k 1 a B m R 4 2 n H m r O m M 4 B o w 5 3 v 0 D t L l U F D O x s / a y S / D d s f g / X 6 v e R N M e 8 I h N N v o N H / d T X p b L M V z F h X g O p g q 3 T l F b N d f Q b m s N v 4 2 W 5 0 H B Q o N U k 8 Z G e q j T + t V j C u s v n + j 9 l e L R m U Y B s l Y / d n O N 8 w s T u b O t 3 t N w w u p A P 1 r T i q u K R P x 7 G x j k e u t 9 o X 6 h 7 z g S A U G 3 I I R j 0 n a + Q H c e 2 n 6 9 Z X c c g K t o f E v l X A g O N 9 z S p P B q M M d C h a 5 i A L s h v 2 p e i O G 6 q f h I + r w b S u D L f f i F g H O w V b K n + R l u w H g n B R e J t b 9 C V 5 d N K + 1 3 X r K T F F q W i W p q 3 u d q 5 W O Q t G i / 1 X n 1 X T e y w s X R N T V o Z 2 T L 4 h o e N x 2 7 S o t U g + s d 9 J P U f k 8 2 M E U K v I R c B A Y d C A E D 0 O d b P h 9 B 7 e 0 r I B L V v L 1 N t x R a 9 F M t q X b Z Q U p s c a G z a X p d W 8 + x a n Q D T I C X w b / y C H 5 J U e 3 c g V b l x b 2 y j w c j i Y u y q 3 B + o J l B V g j S C 5 w w 1 u 1 R / V m U a s F N S U Z + b s j 4 k G X M a h K J M x 9 J Q b Z 9 Z k B + J 2 S W 9 5 H Q f d b 7 w O S n s b L 8 X D C Z G Q 7 q x K W V O k j r o y J l R 2 3 2 + R 4 P F n A h a g P U v k + L F G 6 Z n P R N U Y v D o Z K e c r w Z 9 2 P y l v 4 e 4 D 4 y d M T m A 6 o 3 M v u u l Y + D b W x U T q 6 7 O b N k 8 8 U 1 k u I a n H w b W s Q 7 z T d n + 7 P y p n H R J y F C C c y r t 1 1 J l c 5 4 p z u a O g M 6 Z T d S V C Y 1 W a T g Q x f x q D 6 u j L 3 u R L Y b y r w S m S A w 7 k U a d u Y b P W O j 6 w a + W l / b L o 6 W s h Z X 9 5 5 d F C Z m C N Q S 6 n 7 M H S V s m t k D H H G A 0 S u x 8 m r e u g 3 Q p 3 0 3 a Q + B O 1 F e R A B u q z p J X G r N U w K u L B N b E f r a 3 s m Z F o F t N 3 U f l 0 U W H r U e + u S l m J s R j d S I J Y J a y L 9 f B D o R W j Q h g S b 6 + h N w N T d i J 3 g M U B H A Y R z R R R p y E y u S V 3 z J F x C A S 0 s Z 5 K 8 h W / j E J z T A f z 2 1 w O b S R p B V M v X + w 7 4 + v c e k n S Z e p c k w h J P D l h G x z J P 5 M 7 R 6 I q Z i v k S Q T o x D B C g o N D S h Z y T L F J M k J 9 2 a z 7 h m z y 9 6 x S p N d U C X F B x N C H B 7 a Z a + / a D m S d h r L / B I z h j i 5 u r f u w a X p w X / 0 Z 8 E e t 3 7 t E 7 T b C C b 6 h + 9 y 1 p U v A R N x W V 4 g q i W x P a 2 / 0 l g J 4 A U J k s J U W r Y s J n t s j R p p P W l U M y P p O t f W + F o w F P 3 Q a E h Y S E M B K J K K v 5 0 M b S 8 I r F 0 i U 4 R 7 r + y 8 P 7 f f n U g 7 s J m o f I V E k v 8 9 x r m B q G 9 d v v a h r J 7 z c d 4 m c 0 o 2 q 6 m 3 D n N T q 8 o c D S U K e t K c M z l p 7 P m 4 5 j b 5 Z m J 7 F U C 7 t x E W t 6 x H F / D V k t p T U r s i W R g t 1 p 2 x u 5 V M + d B s H E o o 6 N 7 p V E 5 k T Z 1 3 2 G a O U W M p X v f 5 N d 1 n M + p 5 V 9 o K q L u Q m 1 y T h Z X 3 3 s 4 L / N g 0 n 8 R 2 9 u 2 p z J Z Q R 2 S t T s u D F N W q A C J G 2 V z v 5 H 5 C O r a S e m v 1 I U q l e j p T T x I n G o l v e W V P C o D A g X l C 5 K k k T b W Q 3 T y N J h b I 9 s f x X o l J 5 r W x z F B J T m m z S O D 1 e T Z J W + k S z x N M d M 9 s 4 n C v + l j H Q 3 9 / l Q D U / / s 8 z d K / S l / s f 2 0 N + Y i F u c Z A / t h S 9 9 u v P 7 J 6 9 d 1 n B 2 e E e T U c o Y m l W c l r U z s 8 E 0 F E 0 i l B n L L 8 l k x g R D J T f / s y s d P R + 2 X d l S j y H W D o Q / r E C w k b j U t u W 3 h 7 R 8 p 6 h j 0 7 i H D k 5 N s R L k d Q c E 8 / 1 u e s J E z 9 k T j t v P 3 i W M K z O J Z w f e Z g O q w / 1 b m y u n S s Z F K Q F J D u c K u x 0 j h X S w 8 F S j j k f f p e A M X x Y z 7 y c x s x P z M 6 H 9 m g N 7 R J I q Z W K / 3 Z U J W K s c C w 3 q h L q r 0 v B J D g P C K G v e 2 w w + k c j w Z J K x H x 8 j k c D X w 6 S G l u G S D L G J O M 9 2 a j 5 Y D h s T Y 8 + d z L l S n o a U 7 0 F + a c D n y 7 c l C y R p D m 9 l F 2 J 3 i c m j O p s P R B 4 z i T K f S P r 9 l o 0 Y t 7 h 1 q 1 S / m y 3 1 p O J l h + G l i l 3 J C p 2 3 l n X m W T M E s x V 1 n J D M N l T 2 q k s S y b 8 Y n 1 9 a J O z K q v T 3 A D E A J / G c S 4 E K S g A w F p u z Y V E F Y 2 m N b U n r R d L k i 9 R T l r V X P 2 6 w c S v s t v p L 2 J z V 9 P o / B Q f v j P 7 H H H 7 M v 9 9 A F w m b X G 2 H w v g G L f B x 5 M v R W y P x a p V f F I T v U k t I U k d h j P r N f r y W e Y S W M 1 7 c H R A 5 k E b Q f B J j E X d D r + g w a i 6 B t L t o J D N / 9 g Q g i 5 B J N y H Y N C S B r T k q x n m B N A t V Q u p h 3 7 N q T h b l 2 3 1 n b Y 7 J i m f s h J b t Q 6 t t 9 g 2 Q U B h 5 X 8 O v k P U n p k g t A I x h 1 X i 3 0 / t o E J e t R 5 K Y 3 E n n 7 s B p W z + u p A J k 3 L q q 0 g 3 R H 3 a h R S f w g J 6 s M 8 E w m q m L P k F x K 2 Z p 4 v C y 6 x / 9 y / / + N 2 I P + l U L 0 S y W e U K x D K w J T Q u U o 0 9 V F 7 Z v X g O 4 1 T O l 7 X 0 W z e s B e 9 v 1 I n p m v 5 C N y x g 3 E 2 R r f u e r Q L L Q k R q l K 7 5 j z 9 I K T 6 4 G i S b 1 d I U P 3 Y / n n r j y 5 l F U 2 k R Z q e R w a e n M G k 0 l H z v d l L i 2 U m u s r X K 0 v P W b j n E S x A K m 3 E + Q D q j f T X C 7 u Z j m Y D m U v p P u G E p t n H A V D 5 A s Z F R a / s Y l S w k h x w C g N U S F D W M 2 F q R D I d / 0 X a 4 E w D M 5 G g J L O e Y x J d 7 z 9 A D 5 o F O 2 5 W 5 f O R T x h q H O T f l D Q m s n z y Y i C m s g D I m w i s X l w g 0 A 5 9 J L z O R K i f L 8 c 8 y 6 4 m o v j 8 U n 7 b j j t e f a o U L 4 s 2 i y t v t N N V o m v H U d E t h 2 p 5 p L 6 5 o b P V Y 4 P Z k c 6 V f y w P g c 2 N z k Y 5 O x 2 w 0 Z G z w s c R g 0 Q G A 7 F + 3 9 j y U y K 1 j k A J 7 A D o 2 Y 0 0 X M r M C d g v 7 k w O / g v f C L I 3 O / H X S x 2 z + K 2 E 4 u F m w + j c Q 8 1 z m Q L s U Q H z o Z F Y L E e g 4 W I c 2 r c X S 0 m t x C 5 m s t t L z G s I w A I g P h k a r D + t 2 4 v L A 3 v e P b S X 3 Q P r z + S D 4 d j r H o A N G 3 0 u j f G i b 5 K i N 4 N n k 9 C Q 5 d z C 9 m t l C 6 S R a q U 9 a S Z p X f 3 N V g M b F 8 8 t K c v + l y a K p 7 p P i N B Q 4 f o H o D A x M Y H R T q Q l E Q U T J p 2 Y Q v n j e R r i / h y I h 1 0 P w n 1 p 5 L 3 1 N + 8 T 5 1 y O H 0 m 7 v 6 v l M I u X 6 z H 7 a E D B r a n N L V D J 9 C P i J / f h k y A A H g 9 l B k n b k C k x G P e t F E i z S G P h s w z D r o N l G J 3 5 N s g c S O 1 N I t W H J x K O f X 6 D 1 a j p m h 6 A N Z 6 O 7 K Q 3 s h c X c 0 n x o o 2 i f d u r P / I J W X w o w D S R i d A d P 9 R r y 6 Z R W d K t J m n W l j a r 6 J w 0 l N 0 P B / a 7 s 6 U 9 k z b Y F U w Q f k J R G j G h 7 t K Q R C D J d K 8 G T W k + g W I 5 s U V e d W 6 o z t I 8 z J v N + 3 P f 6 R Z T 3 Y l Y y 0 z 1 m C X e J 2 h m J D U b 8 3 y n + r C 3 y O d C q 1 V B 4 / h I / b A 9 w D b V G I 5 m 1 w M O + n h A i T I t x Y w 2 f g H 7 j D P j / G O S R x 8 F p p x c O 6 J e w 8 l Q z D W x S l A S q I r S W P p e g G O y L / M n r i O 0 C K l A c D t m H k s 9 M B e D c u D P e C V j p F q b e x p W N g G M 1 k G 2 T y N S i t 4 N h c / m J X v V 7 Q h c T T s f t + 1 3 J x 1 7 1 W c J + v q E O 9 A k z t v X Y v z L W d c I P B M m r l e b q t O e 8 Z T D 7 B l V T D y T X 8 e B + Q u w w p P I L Y t i p e j L w X N B G n i 4 l M n J k w 3 / k v 2 m D 6 W 5 T P P x N V p q O N u / 1 m z M 6 K O D E l c J k 4 I U D j R V q b U O v c J Z 3 E U H T E x 4 2 R / c L M 3 G c g z A x 8 C 6 7 h T h R P v s e I T z n l 4 K s 4 n v p R 1 k 5 z b S J F k v j 7 Q S H X k B 2 p c w q 2 y f 5 d a 5 O N c L m U S D w d B e v P r O l r K P m x 0 m O 2 W O c a 6 U K a 7 R m w M z S H 6 g 1 / k K L V X H R p 6 l G X L 4 q + l a K N d 8 D s b E R v M L a Y d 0 s V 9 K S P y 5 r 9 3 6 + o x 1 W W / L p I 9 Y r 4 V z k y N U n H 9 3 r m h X c v N N 9 6 H k o D S z J / v P 5 I A X b L + a a s m U 8 j J l 1 D a 9 Y 0 J e y l X v E z F O Y p H G i S 3 d o M k s t J A M g 6 B h z 7 p F e y 0 N d R d t + V O i U j G y p / u / k 6 / 7 r n p + 3 v 2 1 B G R z / W k 7 f e + A A h P / + D J n T T H M f m V p J / I L G D K k H c c k K d h E j j m y k I e 0 V W W K Y Z 9 M 5 F M 0 J E y b F Z 3 H Y I c r 6 8 Y y U / B F d B 0 Z H J R N N O V X l V C O u F h J 4 A S U R T n l R K g A a 6 V T T h m N m + q Y T q b 2 8 s V L N 9 P 2 D j o s 1 H K / i B w y 3 0 Q l 5 W u 4 0 3 c S Q m d n g E I b + Q a T I k B T K 7 a t s u p 4 9 g X 5 f d l 5 z F U M Z D Z 2 x M j 4 L 5 t E n f / v Z + x z u P 5 i g 6 j n N v D e n c g y 4 G H U K 3 u 8 1 7 U v O n U r 5 R r 2 e r S U p k H i r t u j F 6 a b e I 1 p t 7 5 j L R t j c T G M d b 1 8 r D y b n j B p + 3 3 U 6 y + T C E q 0 q l 3 1 z Y X 6 d S b + I 6 k 6 J z P 4 S 4 / y 3 U S 5 w b B P V s d O 5 B J L / U x X 8 5 b P H D A N g 0 Q 5 f P 5 P L / K 6 u T 7 r O y J F 3 z d x r w f 1 l a S x X o U R m I Q A Y y p 9 3 x J Z 1 f 3 + w M 7 O z n y u h c f Y s O M O m / f 3 w l f y g 9 i 4 P 6 0 g g F n N / a 1 r K 2 8 n Z a L t x P T M G 7 H 5 f p B v W y P Q U W 0 7 S C F / K n s S + + 5 B V 4 n + + J e z R P 6 R 2 F b v / x x E l k Q z Y G l H W Y w w k G Q t W H / a k Y N d 0 z 0 3 e + R 6 Y p 6 M 4 I V P r m b R y 8 + Q c r m V l Q u k J D F e R H I J L J H z K S H j f X l z f + b + 8 d t B s l e X h B N v k H D J c d 0 l M 2 n A k a Q d v w M U w o Z o D g 5 y y 3 i q I C H h 3 i R n 3 5 z / + U 0 G g M V 9 q 6 X 0 8 S J f 7 E u L b F h P J E m + f v n a R u O R 7 e 3 t 2 d H x k f w e g g G J H M y B 7 / B K h r a b q W I m 6 i s r z s F D Y A W 3 S o r T i e 9 R J n l p 1 3 K + Y Y 8 P v x K Q U y 2 F x q u V e K 7 t d m c 2 l O b 8 D 8 8 S D 8 3 e 0 6 d N 5 H M + 6 v x J v F 6 X S d x w I U W w Y s E j S v V 6 G + X + j / 9 r m J D o 6 v l N O l j K w Y Q V u V F Z O B 6 Q A S Z i 7 Y R R H U R i s E 2 n F Z B x X l m A Y j d T z v 8 h C W 3 4 q J P Y E x 3 Z s 3 u Y M 7 o 4 v / S n b h B I O D g 8 s E 4 7 1 S y E x 8 8 m f 1 I b 0 o q m 4 B f U s l e B i j 3 1 H G D 4 W m C B R o p q p Z Y 9 P v i F m 3 1 8 R 8 i 9 H R x f C y j o 9 2 d T + 8 N 5 5 t f c 0 6 d K B W m k / c a J 7 d X O x M d 5 + c H M X x U k F G s y k 5 m 3 J G W s K o F c 9 + + v 0 j t L 4 G F C N B X A Q v K / B V T i A G G C k c x z B P i n S G g s l u T / 4 o g c r V T r s N k l W z K f n c r H 2 e v Y 8 Z G 0 V F C R o 3 7 u y 8 k B z z Z y r U U E k O C F T E H 2 1 + M G a C w i e Y 8 6 v / T U J B J N 8 Z / I w W M S + D r 6 + n x o 3 5 x l A Y t 7 + p Q J E / q o / V I u x V B j m k Z r 0 U 4 A D M A B s t 7 k g Q 2 m B + k F G 3 T j n h I U x I 8 A L Z X c f x m E b / X X D 9 K n L 9 K C 8 W h s z 5 5 9 5 9 k R a K l 6 v e q T u e z U g 8 l 3 L e l y f C y A R f u z q G A 5 K N t x 8 6 k / X J k n F D K J W y t 3 1 F / 0 2 P s E O P / D d 1 O 7 H N / s 0 N 7 T p 0 P F w t w q 8 q W C M r v N s g a L 1 d P 4 V E s J V F L + e Q z U o / X Z b + l G 7 z P D 0 F 8 S m C D S d v 7 5 J F 0 o i Y 9 D 4 i f b i / F I G / a O Y O + 4 V u X A t Q o 5 d t e S 8 O F h d J Z c L H P G x i i c j p k 4 n F + q k 0 l 8 x f 8 M r g U T N A i l x W b p f N A 9 / W X Q Q r 7 T Z N 5 0 T d S f H o u n W j L z m j Y O O z 5 R 3 5 0 c r 8 9 8 l 3 6 y 4 R x S Z w b i d + a X m c i s N W o y / 0 L f f / v 1 8 B s P S G C i E U z Y h f I y + X j M C x n n + G M A k j 0 f m n o t X b O G C W I / v m 8 v C 9 J 0 P 9 m u / k k T 2 u l q p J T v t v l P 0 E 9 2 l P H z S J / 5 0 1 l i o / H c x s O x t d t k g Q M y M h / G A t W 3 k k K 9 9 R X b S C p e o P M 9 + N R / 0 2 h s D 1 t f 2 X 7 t i f F 4 m F Q r X a + Z 5 s t Y v l N o 5 y P m d e 7 p c 6 C f t N g k g P L N 6 c p + + y K 2 l 5 e h 5 d m + u B q s f 7 2 Z y P 4 m m r c X P L J y T p q J O a h S w z d H Y S t l f r + J W O V 6 O l x 4 S t F i d a + d P h f 6 y Y 8 0 6 r k b l u 1 y d W z n U U O + 5 P W h 7 Y z Q P G w m u V d 9 5 C Z h 2 R r W K B x a p 3 n o P t l N / l J G w 2 h h L / p F C + O N i b F 7 + s n T T x 5 Q L P o r V + t W r u 1 Z b 9 6 w r 8 8 q v u v R T R k E b p 7 p 5 5 w V j A y K o j R U o 7 p n P P u V H L 7 b 0 o W m 8 5 W 9 6 O X k w N 5 P 5 H 5 u 9 F n Y I r 6 V V K k s 7 V S w 8 3 H J L o a P H V T X + T / g h c f o k 8 v H X J a n G C V M + j J p T c o E J 2 0 / 2 I f g Z E R S b P H e 1 P s M 6 b M c c e Y U 4 v i p H T V + Y V X 5 S e + T k C F U k a J E y J 2 D J R 7 s S M o r B 1 k Y i 0 W a t r R J k / n c X v b x o e 7 B 9 D n S Z z n q Q G A q 3 y Z e t g S o x n t z U S y y 4 9 E k s 7 j v 2 o n l G u y 7 g L Y C T C z k A 1 x s M s / n D F T x M r Z v z i Y y 9 a 4 P o 9 / T T 5 s + W z F K m h K a a J s / B M B 4 J E u j c u h m H 6 D i l S d X s D E k O y B B A A x w O d B 0 f H v J o 0 H 3 / b d 7 + j z p s w Q U G P L M + D x A Y D H U u 8 R m k 5 1 a u h N R R o C K P f 1 Y C 8 X 2 X H W 2 3 i q V U l A t E n v Z M 3 t 2 W f W o 4 j 1 9 v v R Z j j 4 W 2 s X Y 7 I 8 X M x t H Q z f x N g k g s d f D J q H J A B X + V P o 0 P K J 9 m H k r e 9 5 N 7 P d n B b 2 / e W 7 q n n 7 6 9 N m K U 5 a e s D 3 W K H q / C 9 g / o j 8 7 t c X q / U 0 P f R 5 K 9 i J P u x h E f X v R m 9 u z i 5 X A 9 G 5 w 4 p 4 + T / q s 7 Z P 5 M r B w X r O r y 7 0 9 K B E P / B G P V z U V N F 9 E d j G 9 t O 5 s q t e 8 R b 7 w 7 H 1 f 7 J 4 + P / p s A c V C s U p x t t 6 L 4 X 3 t w p L w c d R L d z v a o N 7 s 3 L 7 r n d t J v 2 x n o y c C U 0 e m 4 P 0 E 7 j 2 l 9 N k C i k V k e / V T X 0 R 2 H c X L 0 G b R Q O Z h u m Y K M / D 3 p 3 n 7 9 u K h D W b p M 6 b Y C f Z e O 9 1 T R p 8 l o A o C U 6 v a s 1 q Z J 8 e z H L 7 m 6 1 0 w A Z e e l v 8 W I O O 4 L 7 P u h Z 2 O / y S N d G b 9 y b 5 M Q p Z G 7 5 Z k e 0 + f F 3 3 0 U + D / M o l F g Z E V i 7 H F i 7 L A Q c I s I E p k B k Z 2 1 H x h Q W V s B b Y 4 2 y A 0 0 r O L v z G e 5 H A f H r + n b f S Z c k X O t R G b F r I / w F u N x K N Q A 3 s 9 + L k N p k e u i T a J X U X x v T 7 n P e v u 6 W a 6 F 7 N b a L k q 2 i j s O L g 2 C a 2 G z 3 V T p v o 9 f d 5 0 D 6 h r i C 2 j r u 4 S G p Q n 7 n / d 0 z 1 d R / e A u o Y I V k Q x z 3 h 6 m / 2 w k O a a + L K P e 7 q n 7 X Q P q G s p J w C x W + j b F b e j 6 Y G x L e 8 9 3 d N 1 d A + o G y i K a 2 7 2 4 T O h q S 6 n 2 x 8 o f U / 3 l N E 9 o K 5 Q P r e 0 v f q 5 1 S s j n 5 P y + a l F Y N 0 t T 6 6 7 p 3 u 6 S v e A u k L 1 Y G i H z Z d 2 0 H j l j z I Z R 2 0 7 G 3 1 h / e m h f r 2 P 7 t 3 T z X Q P q H c o s U a l L 9 g w 1 5 2 z U j 7 2 u a i p t N R 1 G x v e 0 z 1 t 0 j 2 g r h C P 7 7 w c P b Z z H W z F e 0 / 3 d B e 6 B 9 Q 7 l L P + 5 M h 6 0 6 N 1 M O K + e + 7 p b n T P M V c I 0 + 4 + T + + e P p Q + W 8 5 h + T q P M L 0 P M 9 z T 9 0 d m / z 8 z N B p J H p H K y A A A A A B J R U 5 E r k J g g g = = < / I m a g e > < / T o u r > < / T o u r s > < / V i s u a l i z a t i o n > 
</file>

<file path=customXml/item3.xml>��< ? x m l   v e r s i o n = " 1 . 0 "   e n c o d i n g = " u t f - 1 6 " ? > < T o u r   x m l n s : x s i = " h t t p : / / w w w . w 3 . o r g / 2 0 0 1 / X M L S c h e m a - i n s t a n c e "   x m l n s : x s d = " h t t p : / / w w w . w 3 . o r g / 2 0 0 1 / X M L S c h e m a "   N a m e = " P a s e o   1 "   D e s c r i p t i o n = " L a   d e s c r i p c i � n   d e l   p a s e o   v a   a q u � "   x m l n s = " h t t p : / / m i c r o s o f t . d a t a . v i s u a l i z a t i o n . e n g i n e . t o u r s / 1 . 0 " > < S c e n e s > < S c e n e > < T r a n s i t i o n > M o v e T o < / T r a n s i t i o n > < E f f e c t > S t a t i o n < / E f f e c t > < T h e m e > B i n g R o a d < / T h e m e > < T h e m e W i t h L a b e l > f a l s e < / T h e m e W i t h L a b e l > < F l a t M o d e E n a b l e d > t r u e < / F l a t M o d e E n a b l e d > < D u r a t i o n > 6 0 0 0 0 0 0 0 < / D u r a t i o n > < T r a n s i t i o n D u r a t i o n > 3 0 0 0 0 0 0 0 < / T r a n s i t i o n D u r a t i o n > < S p e e d > 0 . 5 < / S p e e d > < F r a m e > < C a m e r a > < L a t i t u d e > 1 8 . 6 6 3 8 1 7 5 7 2 7 7 5 9 5 5 < / L a t i t u d e > < L o n g i t u d e > - 7 0 . 7 3 4 9 5 7 4 6 3 5 6 5 2 < / L o n g i t u d e > < R o t a t i o n > 0 < / R o t a t i o n > < P i v o t A n g l e > 0 < / P i v o t A n g l e > < D i s t a n c e > 0 . 0 8 0 5 3 0 6 3 6 7 9 9 9 9 9 9 8 6 < / D i s t a n c e > < / C a m e r a > < I m a g e > i V B O R w 0 K G g o A A A A N S U h E U g A A A N Q A A A B 1 C A Y A A A A 2 n s 9 T A A A A A X N S R 0 I A r s 4 c 6 Q A A A A R n Q U 1 B A A C x j w v 8 Y Q U A A A A J c E h Z c w A A A 0 I A A A N C A V k U N I A A A F u v S U R B V H h e 7 b 1 Z k x z Z l e d 3 Y v f Y I 1 d s h S K L b L K 7 1 W N a H v R F Z C Z 9 A E m v M j 3 M y / Q 8 0 W y e 9 F 1 k p o + h k Y 1 a m h l 1 s 5 u s I l k o b L n G v r i H R 4 T r / z s e D g Q S k Z m R Q L E K L O R J O G J z v 3 6 X 8 z / b P f d 6 b j I e J H Y D h e e R l d s l y 5 V y l s v l 1 t / e Q C o t 7 M f 2 + / O c X S y K N l / l + O q T o m J h a Q e 1 x P 6 6 v b R S X p 9 r R c s V 0 r Y l + o s W E 4 v i i e o e 2 n K 1 0 D G 3 f L 5 g e a t b f 9 r W U b G c P s V q W z j P W b x Y e R v b t Y L 9 3 S O z 8 0 n O a i W z Z p B Y v W K W 3 6 H b r t J 8 Y f b H i 5 y d 9 M 2 W K p x 7 3 d O n T 7 c C a h W v b D F Z W K F S s E K 1 s P 7 2 d o r H C 7 s Y r O z F W K C C I Z K U A V f r 3 1 c / M M q A d a G w E I D m t t + Y W L v Y s I N C X k L C r F T M q 3 1 6 j 9 C 4 w v 1 J k t h 8 G d o k 6 j r A V s l S 3 + a s k C / a Y l m w 4 b R u U V T W e Q V 7 v F e 2 g 1 b B 4 m X O g q L O + k g M j M a J T U d L i 5 K c P R 8 V b L L M / + D 9 d k 9 3 o 1 s B B a 0 i g S p a W r k l s X s H W s a S 9 g J W J G k 7 j X M 2 j C T R J e n R W t 3 J + q Q f h B K r F E M B q S u t s b D j R t M K y 7 o l k b R p s e j t a x Q T K 6 p 5 A K o Q S H B c A Q P A A k z z x c x G 8 w u 1 a e o a u 5 y v W a 2 w b 7 N J a O 1 2 x 4 r F g r 4 H q B + B J o 2 I C 7 K p B J n q k k g K 9 f o r e z 4 t 2 m i R t 1 C A v c f V p 0 m 7 A W q + s m U o 8 6 g J x 6 2 / v A u t G Q R w r S S 6 Z U D Z 1 6 c 5 6 0 3 f a i r 4 r y K p X i 0 l V p O Z 9 L o v b f Y 9 c U 0 x H 1 t Q n t i T z m v r V J u 2 V 3 t s y / l S Q E p s q f q M B C w p Y K v l l p a o r R C M n M c e 3 N L e h U x A g A V o C v m S 5 Z O S T a d T W 6 1 W F g Q V g U o m s n 7 b P H a l l Y Q Q F k G + m G r L f C B w 6 n U 6 H t t 0 Z j a L A j c p e 8 u i t P 6 7 5 X K b a n 5 l T Z m 0 g r V N F j k b r / K 2 / K B B u 6 c P o Z 0 A l c i I R 1 r m M Y 3 u Y P Z t U i J 0 w C j F q v w V M c s o N P t G f t Z A o H I / Q 6 g 7 b s s P q a Y 8 / H / + I e e + w / d B h b w k f X 5 p X x 2 9 t s N 6 3 Z q V A x c Q t K t Q L 8 p H M h u K W a V c r C l A r 2 S j r h Z i Q z E y / t V t / I j 2 W i 6 l v e Z z g U p A V V v 5 r l g o W L l S d v 9 r V 3 C t w p X F o 9 h K H Q E V Q I v w 6 0 5 H f / Q + r O c P J A g a 1 o 0 K N p D J O V K 9 K 0 V p M w E n k S / 3 V W N h e 5 2 8 R a u J j W c z m w 7 r 9 l 3 c v A f V D 0 Q 7 A Q p C S 8 X j 2 A e Z A 5 / q L m P E 9 U j f A h K 3 I J N F d / 3 d i Z x v m S + / O E r c c S + L d / O S 8 s P z 2 H 7 X L 1 q x L i 2 h 7 4 c z S e j 5 u q A r B H 9 S 1 m 2 U y y U C a 9 9 + e d Q X q L 6 0 5 X T p A i I v 3 w k C V C f D n B 0 0 E v d / A B v n 8 J q X E C n A 3 O m p 1 x I a i i M W s O I 4 9 v 7 h c 1 4 m Y L m C 5 i r K j 3 s r k L a B C 0 A t Z g s r d 8 r v 9 O 8 g P L d J 3 L N m + c D q u T 2 b T w R c + Y D h U M J C v p 9 w n A K u K R C 3 8 t a d v p L f 1 7 N 8 V L P 5 u G 3 P o w O b q g G 3 A f q e P o 5 2 B h T E g C H Z A Q f 2 W H l f q m V H e q M R x J x I f k D w e 5 l 9 o f y r / / J J 4 s B Y y k 9 b D G M x U 8 X m I 5 m H 4 v K C z M x B n H c z p y h Q z O S L X Y 7 N / b K S G P + o g U m X A i b S b 2 O Z b z P x M g D J a D 4 P 5 c / F 1 m z k 7 a 8 f D e x J + 9 i W 4 6 U V G 9 K W I H Z N A 2 n N 5 9 2 c / f q B N J S u H 0 x z F s 2 W 1 i 6 s r J w s r C R t d p v G Q j O F Y W i L R W z V a t X b y X e j 0 d B a L a n g D Q J c + f y 7 K H U g 6 5 4 u u N Z g z 0 i 1 0 v / S c v r j n P k g t s q e N G D 5 3 f P m q 5 l d T p 6 r b 9 e O 6 q J k k 4 u v 7 F k c p N r y y j 3 v 6 f u j O w F q k 2 I x P l T a N V C h u 8 R i A H w p 1 E 5 e W q o / S S w W c x z v y c 4 X 4 C T I 3 U / L Q t g A z H 0 3 3 Q P J + r L n x b g m G Y r 5 U R q H A t R x C + 2 T h q d h Y A D 1 v C v z T d + N p 7 G d X g x t M J 6 I Q U v 2 5 Y O p P W r W r L U 8 E H D f 9 w k x R S m b s l q B S T P K F 5 E J + K A p A M Q C u R j Z I 5 5 r 3 8 Z J L 9 l 7 N F I U R a 6 h 6 j I v A Q z f h e H M v y d g k S Q r 9 7 M A H F p r U 2 u 4 v 6 p 7 e L + + / f o 9 Q v s A r G q 5 5 W V u E g G T 7 v S F h b E A p T I S + V L 5 w Q P 7 U 9 S y M K m p r h 9 m t t / T 7 f T B g F r J X p / 3 5 e w f S E v d M P C b h A k F o N A M T r o O B n K z S l I W E 2 y z L O 4 R Y 9 J I U s P E C / 1 4 O s p Z I D + n L J 4 A P C 1 8 r v U 1 A A F f q C f N M p c J 9 O W + T K D i 3 A a 9 r r 1 + / d I W q m q l c W g P Z N Z 1 c g 8 l 3 a / X s J R N u b x 2 p R 3 R X k f N x O e X K D y a y D R T v a l y U S Z X Q f V 3 Q Z C X p o x k 8 k l D A a i C H D O P E A p U v K Z l J z Y X u F Z 6 L Z V K 7 5 i C C J E k 0 v f t 9 w V V d j 0 A H M o E j J Z T 2 6 8 9 t k L u 7 b m c s 1 j O p a l 7 6 o u u L R L Z y v K v y m H H Z r k D e x 3 W B L j C n Q I + Z W n G U m 7 l / Z G X J c C l k c q c J / f A v E o f D C h n C g E K R i I i l m m V a 0 l 3 m U u r F W X y X T V R b i J A h V 8 B L y G I u Q / X u 0 b I a r 6 + 9 U T m 3 r e X O S t p n G E Y J k e / 3 J N W j E Z 2 8 v r E V j k 5 7 P t t a 5 X a F t R r V i S s K E p Z J C W k P k S I P I z H L v 0 r h b q 0 n r S p A L R a F d 3 U B L D M N 5 U F o J I Y r i w n R r y m A j A 9 5 2 7 y 1 a o 1 + T d F a S m V u o 7 a Z f d K t V Y o s z Y N f g A S 7 p U X o 5 p M V 5 9 M 5 / t 1 f Q h 6 L J c L N 9 k A H 3 N j / d k r 6 1 Q f W 6 U o q S L y M c F / m 0 d + l 3 g R C X Q z V a l g Q b 4 u 4 S W f q 1 i X U M p b L w Q Q N 4 8 Z m j R Q e 3 5 W j 6 x V k y B U H R l m j Y j 1 Z n l 7 N Q 4 8 i i i o r a + 4 p w 8 G l J O s t / A y z a S 4 D S T J Q p J T p g y A g r n u S v h v D i x e 5 S C V G i W P G j K W O Y I L 0 h I J 8 1 6 S 7 s W C / B D 9 M J O p 0 2 y K i W Z j u 7 i 4 s I v z C z s 6 P r K 9 8 p 7 V D s X s a + 0 x E 3 A A D 2 W 1 g y P / b h x d 2 j j u i Y E K V q / s W b X Y s G E 0 F V M d 6 D Q x v J Q C 2 i m S e Q m 4 w G a t L N C F s c 2 m Y m o B r F a u y i w l E K A G c K i n A R T a F s H A e 4 C C K R g J X E Q E l 2 h s m Z i V Z s V K g b R X o e j 1 W S w W N p 1 M p A 1 L V q l U v M x x 3 P U y O t U H X i d v y 3 T q 5 e U L e d d 8 W c S x F t R 8 v o 3 z Q g H 2 b J i a s 2 B K Q 2 O T R d 5 m x s R x C m G u 0 a D Z k + L M f v W 0 a E G D e 7 5 t y F J l 9 Y c r m e G J v Z q X 9 Q 3 f 3 1 N u P B o k 3 k 8 f Q u p z j / y J s 2 4 L p z v z i 3 Y J Q 9 9 E D H T c S y N o c B W + D C Y j Q H M p n 4 F V j E H o m 7 p N 5 E u 8 f P H S r 9 n b 2 7 N i V L T q f m B F o Q J G H U 4 v Z B 5 d 6 F q Z i E F b g k L S e z W V R p s 7 Y 1 Y E p n b l 0 E Y y o x q A q 9 T U v Q S U d U M I g M h V U 1 n y f x Z z Z + q 6 N G C u W J F p K j 9 H 5 c p i 8 j q 6 Q N B 5 a B + m E B x U A l 8 4 m / n 7 n I T A Q n 5 j o a 7 + V P G A B 4 0 E 8 M a j s Z u I a I 4 C Z q L a 1 o 9 e y Y 9 8 K n D L M J P W m 1 G O + i g I C E C 8 F X L e N / r z f t L f Q o A g U s h 9 q P 9 k n E j r 6 H U p I E o r F Q S m Y h J b o z i 1 4 y / 2 r I Q E u U K U 1 T u d 2 W + H J R v F 5 f W 3 n z f l / p 9 v h s k v j 1 N f 4 E O I E C / a x y d 9 r y G P D G o A i / V 0 D u p j C Q D h i 2 W m n 0 t T M Y V L 0 I 1 2 + H 2 Z U N b f 8 + c v r F o L b K + 9 Z 7 l I J 8 m E Q d M V s d / E Q K P w w i b h y O Y y 1 w r y G u q 1 p t V q V Z / P g Q G b l X 2 7 m D y X D 1 F Q X 1 W k t T p W L 3 f 8 s 9 9 L V Q i l W Z Y y s + b h T J q x K T D C r D l p u 9 T v q x E J V x X p L w + P h + o 7 m Y x M D 2 B i o l m C Q i A t J Y Z u 5 G 0 R S 9 u F U 9 W j 7 v f A N 6 v V p G k E w P F 0 K J 8 y t E V + Z o / a f y V N W n T h g B k J c d 7 V C G J G 3 k 8 o I M C 1 N t W p U y z t 6 N F + 1 Y k O X U g 4 Y D a 2 9 9 q u 7 b b R r B f a n 6 T t n o 1 S s / N z p / y z r t k / v 2 L Q 1 9 / c k d x s g p u u I W c e D d T 3 B S Y I J n C / T W D y z 0 h f G O M K / 6 C d n H n E 1 E E 1 s L n s s 1 C O V r E s n y K o W k 1 a h N d q U L f D 1 l N 7 t P + V t a o H 8 q 1 S U 7 A q X 2 s / e G r 7 1 a d y y m U i J m W Z S z O B r 2 e X o 1 c C 4 M A W 8 m v m i 9 B m 8 6 7 A c y k m l l 9 Z Y F J I E l 7 1 q U j O d G q J D c N c O k 0 A w 6 o f i o 2 C l T r k O U b W P + u J e V N f C s Q l u V j m 3 I W N F x c 2 W L y 2 k 8 t n Y n b 5 Z A K J B z B 0 E J D A l z m o f + F g Q o M R W e S g z S 5 k R J v B E I j P n E O 9 M z B B A L t Q M Z l 2 J l N T Y y b t T D Z I r S F N S x 9 e Q 3 M J g t 7 k e m H 6 u V H h v / + f / v 4 3 h I o v x j l 1 o H w D C S L C 0 T f 0 4 X s E a D C N M g Z / Q x p H T D 0 k o Z t 6 P z C 5 9 p K G w i f J l w r W H / R t O p h a u V q 2 R q s h x i d g k I K O V 9 K I a k F T V y 6 l G c a W i y U E / E + S e D q T + V Y V I 8 a u 2 e b S L r P 5 W H 7 V h U x B m Y x h 1 8 a z v o 3 D S 5 t G Y 1 s K W P g / J N E W V D a Z 5 0 F J f s f E 7 H K C u U g G h 7 S C N A D B k e H 5 Q H o x s J x M r n w d / 2 / k G g h t l B R X 1 q o d y G + r e D 0 9 o B F N p C X b M k d r N N W 1 0 2 Q 8 8 t / I 0 E h N Q 5 U v 8 P B d B r J Y G j g M I 3 9 P W R y Y n I t 4 4 e d m P h 2 D V y N K q b I 4 t o G K M k b 9 0 F 6 G 0 q o y s e 9 J Y / o / / M 9 / / x v e x B K q 3 a n Z 2 S h N + Q E b H L e Z g j 5 Q m Q m W a Y S s b 3 m 7 / r 1 A n D v 7 / g c k D 5 Y Q u 5 B f R A T t 7 O z M W v t i x C D 1 T T a J u h b y M v i K 0 l q V h r S X z C s x G H l 6 + l H a o W y V f F 3 t U b 9 I S 8 R L M i I k M O T T I D S W 4 k M S W Z d i 4 J V M s d l i K N 9 q I E 3 X k E 8 W C X z P B a p Y 4 K r I I i A r 3 a y c Z 9 5 K m q B V s 0 p V j r + E W k 6 / l Z d 1 a x Q O r N 0 8 U l 2 a f u 9 i I d U E 3 G 8 S D d w X c 1 9 x A z D l U m p X A i i + n 4 z H b j o i X N C C g A Z B Q h R S p 6 f l q e 5 E B / G / I N p W L l e 8 D N 7 7 m F 4 h g D 7 r T m y 2 L N l J S L b 9 + o f P n N 4 A K i P G i H k c J k 9 J 9 5 E w 9 z D 0 V e W T E Y O x k H M L I / H e z T / 9 S 8 0 X n a D D J 3 P 1 L 8 t N + 6 E J 7 Y l p u i r I 3 O F P z F Q J y m K a 8 l Z m 8 d C 0 N I v / p g O p j T 9 F g I C j U W s 5 w y V 5 O f W 5 v J W s 6 l o r X 1 T 7 E U Z q J m 0 l z E + g o S Z f a y F N N I z O 1 b + h B c W S T L W q N A w g J d + v 4 s x c l X l V q o u J y c i Q S Y v f m c h E r F Q C Z + y M 8 L e S 3 M r q 1 Z a V i h X X T o A G q s o s p F 2 A i 7 k u 2 l 2 V Y C A d a q n z A J N H C f X H d X z v Y 6 S x I 7 x P u z L N d Z 1 m g g i 8 5 G R K N w 7 q 7 i P O V M w 9 p j T u 6 9 d 3 C K a Q M L P X g 5 z 9 9 j X g Y h D X P 1 4 h z D 1 A R D j c l z 1 I Y p L J j a l H m B y Q O W 0 f l x + E 8 F m o W 7 U e W G e v Y 8 O h f B 8 x 0 5 L w l g g G j Z e h M 3 9 G M B J M i u S u B D B 0 y R k s P Y p W k 9 Y 4 b D 6 x 4 8 5 T e 3 j 4 p R 3 v P x E w A q u U A 4 F M m i T B N F O J u k U U s 5 6 q 5 + X S t y s P 6 q d R y c y E y z R B x s D 4 N 6 W 2 v k P B T s X 4 Y 2 l C h B W / 6 Z R 6 R a A u V f 1 6 r g X 0 h N Q 3 g Y D g K E l j I V D q j Y a b c J k Q S c P v Z W 9 f W i Z 1 S a O J h P B 5 B Z T X E e N O G Q j b p / u J v 9 7 T N Y D a J L L B W T l 6 K o 3 1 H q j 0 G d A w q 0 / Y H K l M x M o z y n F 4 d c F S 2 k v D 5 X M v P z Z h w s B s b 9 c s p W D C D 7 q c v P B I 3 w o E i G C m W K D j H J j w q u m D h C 8 X A m n w p k z E w F r V Q 9 u r P 7 B O 7 d i a 5 U O r 5 f a k t / a s J r N t N p m K Q c W A u U D X 1 N 1 s J E s C p u V I J 3 d J S U L D v e 1 k Z 3 y y S o R P t A t Z I w R 4 C v m y G D h I + 1 / f z + e R B d V U g w K o j P D h M P G g D H g l o p q 6 B x r R A x 0 O s o p n d X C Q D u X R S e o l o F 9 H + K H T 2 d D G 3 U G 6 F O Z 6 7 H 1 W d C u g 6 C c y E L 7 r p m k 9 j P d E Q o 1 A R h y h n T T A V 0 w 5 j 8 K h s W r p U d T x Y 2 q o j G C q 9 C i 4 4 w 0 z z u K R B x L w c c a s y p W m y g j 8 w N S b Q L q O O K c Z 7 F u j u i e / 5 8 D 2 G w + s F R x a k G + I 6 2 X W r Z r W K j 6 0 I G n b Q v 2 G F h j L v 4 G x Y W A + p 3 7 N u 5 y J 6 V w M i h 6 o y M n 8 H l 9 G F g 3 n r i G y + m E F A P p N E 4 3 X k r 7 L T E G I 7 / x 3 H Q C N K Q K E T N Y v X O / A 0 y s g B 1 D X a a q i N F + 1 1 b C k K K B P R l a Q T 3 V P O w A K o j / 7 0 l S / P c n Z f 3 y R s 3 9 4 l r N X A z l g Z C d o M O d 9 2 e f S V B s W k x O D 5 7 7 E R n j 2 x y T q A + M h i f s 9 Q t U L S f q K B y G I N G C K X Y 6 f C V h v z T P 3 C 7 c w 1 D Z i T o q g A J O q m I m E 5 P F / i M 4 1 G x 2 p Q z G u Y R Y n F s 5 C f Z 8 y c 7 / f c z + K 9 8 7 w V 4 j v Z E D b o r S 0 b j W 0 F 4 u x g B V a 2 J t b S P Q R n 0 j n b F 5 L n U l V A i T v U n o e 9 8 b v 2 6 T l K r a h h M s k H P p Q z m Z p 1 g X 9 t G k O Q 5 R R U f s a a l e 9 k V g r 9 4 H z L j 8 x 2 g l Q E C o d 8 + 9 U / h T x h h B f V l c H h / I v m r L h Z Y p g / n 3 K B J P h M 0 w 8 k 6 G + N t u q d l T / u T 1 s / U q f 2 F R m 7 m H w h T S W 0 x V G Z c O W V c L G L U j + 7 U D b P B / C J I M p m U e q 1 x s O t k Z T p q K A g J l 2 c C A T U b / h m 1 2 9 N q N a S e a Y / L O f d T p W D c r W F Q M v Z Z 5 O u z N b 9 l Y W X 8 b u t 8 6 7 c 5 u d h p 5 n u c A 8 v F I m G o e 6 M A 9 F H Q B c B j r M 3 d l 8 6 O u u C O f j f 0 0 m Y / / t m q Z K C B S s o b o 3 y q z D v u a k z 4 h 2 B l R G g O m 4 m f g e E Z i C m H K E y z H r W D H K I s J P k Q B T N i e D G Q S g Y G g I h g N Y D 1 u / t C / a f + M L E A k q w I a p O U R I e i V T t 2 / P B / 9 s 3 / X / y V 4 O / 8 X 6 s 1 M x Y S Z E U p 8 o j G Y O W u 5 F O h G Z C 5 2 9 f d d a M C 5 + T H Z s + 3 w d A Q I n d e + B t O p K V R + W Y y u 2 5 B f t 6 3 r 5 s U R b c 7 I I K o c y / 4 K 8 N N j M I 3 G 0 w S 9 V H 1 A O Z i b B k 1 I x D Y t n l E h H J z n 5 d f n I k l L k 7 W Z x 5 G 0 E 8 B 7 s V 2 w v / 9 a 8 / F x p Z 0 D B X I G c Y 5 I d A N L f P U q s I b 8 4 I 0 w 7 o J R F o j 4 l g t G n Y q K e z L z J Z J K C x C X z u 8 0 n E R Y T k L w 4 o p W 0 B L A R Q B j P u 9 a d v X J g c W C 8 E d j A F M o Y d T T u 2 l n v O + s P z z 2 s z H d o o C w Y k j F 2 C t K 3 9 + Y e 1 2 m m j D L G 5 7 y i B N h e q S i L Y S x D U D A A 1 I X E S n v y t W r U W z X X W J E O R l B o F e q c K E 1 1 i j R 4 z M d h m h J S z 4 g y i E R G y 4 l M 9 L S 9 4 7 D v q V m 3 1 Q 8 / r 1 o p + U Y 3 E q v r b z 9 P 2 h l Q 9 P 3 T v c T + 6 o H Z z w / Z c 2 7 9 w w a x a F D c h a j 7 J C g z 8 U a j s Z 2 f n c t v 6 t t 0 M n 0 T O r 6 O S b g u i 3 I B h D A e u T Z a M H O 7 p t w 6 h w 8 T a T i 7 t P 7 k w k 6 6 L 2 y 2 H N p o I Z M x N / d Q 9 d V g w c e S a 9 h F b P n F 0 m Q k 2 s K 1 J 2 a l T D 1 p R 4 / e S T v i + x C J K z f K 7 g e y a 1 U 8 l a k q Y A E u 8 h w 3 x 4 n 9 B 2 f Z C l 8 R G S G 9 0 b k t c 2 m g h G y K L A K 6 j Y o a + 6 O a 2 X 6 R D W J + C A Z Y W a 0 8 t k o p n Y z + V G h n Q E G Y e 4 / a i X X U c d v 5 A 0 C t 3 3 4 C h I b o C U S n p 6 c e U S O 0 / O j x I z s + P v Y 5 m G 1 M n j J s O u E J E M i r G 8 0 v 1 z 7 T W 0 r X I 5 3 Y x f i 5 X Y y + s 4 u + t F d + Y T k p k l x J Q M 6 N b J 5 M L F y O J O 1 7 v h w d z f a h B F N T N 1 K H S J J l X q z T a t q Q e o E o E a 0 h v I 6 p C c A Q C j k m j + v S x v W 8 z E S B o r y 0 S l v 2 o v D k E + 5 r I k O k W d m z o I h v m b I F 5 h 8 J s p i t 0 S y U q c z c 3 X Y / G R P z 4 E H J v m z J V 8 z f r Z 0 M w + Z x G 5 U K c 9 u v n 9 t e / V T W R D q P 9 q n Q e 5 k S 1 x F B C d Y X D W Z S 7 z I n S P r c b D u m 3 k p S k M 0 i 8 a k + B V p g 6 s n 0 Q j O R 6 d B u t 3 W 0 3 J / J t B Q E s 0 J 8 B k x I e c x B o p N L i z y F a J m s f Z g N w r R C c i / F m C u 1 v y B L s S C b G N 9 j m c Q C 3 d Q 1 2 C w e + n o r z K p s 2 c c u v k l G m x q T V C c A 5 G 2 Q K X k p z X J Y b W g 8 U r O S c D e B B E x N 0 o N 8 Y l f m J W X Q N q 6 t q i 8 w I e P R w q c 1 a D f 1 Y m 6 L 3 M C g 1 F D 9 Z K K q / e 3 g 2 K + P 4 s i G 0 s I I C A / l 5 9 m W 4 N 0 2 0 F / l s v p 0 t r R B X P A U N v / + G p T w N a u g v 5 L F 8 7 C V H s c 6 s H 4 Q 3 q w x I 1 s / k 9 H 5 3 E q / 9 e y w + c o a 1 Y G N o 4 6 N Z n v 6 / d P g N 2 h n Q E H k n r F f A + B i d 6 D N f s K E w C n 2 L P D v K a v 8 4 0 n 1 U F 1 9 z k U m E N E 1 B t c n Q N e M z e 8 w a n Z A S O X e 5 N y m q w u L V u M 1 m L J h f Z c c j D p w Y 8 R j 7 p e k D J T 6 N u k h E 0 t l z J c z M e T Y s 7 j L + c A B h z b w N K d r / t x c W w L y q c 9 V Q U w C V 8 r y 9 Q r p e q q + 6 r t f J v S f 1 h K f L Q W U 7 s u a M D Q t d e T g 9 3 L J f V 5 M v 3 g a p 2 v Z V G X q T Y J w u V g R Q G t W q 7 Q F 2 n R d F Y A m A T g k P 1 F H L P O X H M W r Y A G E l T x C Z m k 9 W c j U w V v i Z c s P l 5 8 V S P A 0 p C Q f t e R C H J s 0 T Q o i f H J e 2 7 K A D n y v E L M H O o d s f V Z H 1 y s T + 6 X O P 9 D F A P x V 7 6 n K L Q p 4 M v 8 q A j o B l R W + 5 r t 1 + i E p 9 7 / / + + F 2 T r l C p J a w I n V f j Q d M B 3 p 9 p y 9 V y m K c L g n I B u h T I M A 0 H A z t 2 z 9 9 6 1 L 5 S O Y e E b 5 2 i 8 1 N p J H E r P g b r I Z F w r N q F v / h Y v T S l o W Z M 5 M v Y U d k b i H S l 1 x D S d A U A 0 n u H X J w 8 j A B m e v S Y t V i y / Z q D 3 3 + p 1 X Z d 4 b e J B i S O l 6 c n 6 e C Q F x J Z o N H D W W m M X j / 0 D + 1 / 7 p 1 6 H m F m V A A P A C Z 5 F j y + / h M o A S z N / P r I F Z c s 1 y F q Y / r i D K Z N 5 v O J i 4 0 w s X Y S s W y m F / 1 V V s Q I p t B l n C E H y f T U 0 L j T 6 e h J d J 6 V a m b h 3 I X 9 g Q W g J X 1 5 h U 8 O k 2 i v p v U Z K F g g k J j y Z K F h F J T d S 2 4 B Z D Y c J q C t F Z h c e S J f X N a 1 X d o r B + P + X b W U E i P v 3 2 U 2 B d 7 A G t L R + g z T M d 8 F M v R r 2 P A H 5 r c 3 N E f p s 9 o O L K L i 3 M x I w m l r A l K U 3 8 I o 7 N e i t w 0 T C b 8 D 6 6 Z x z i 8 + C 6 p z M n T 6 C v N w i 8 i V o H 1 g 3 S G 4 W 8 j l e i 7 z z K f x Z Z f + F h T H Z E 0 W K O 8 7 0 B / Q 7 z V 7 Q E F h M Y J K m k I n v P 4 e a y 2 8 L 4 s g N F e l o t k D E 4 b + Y 2 6 A 4 x q U E 2 j e 1 y o A 4 t i O Z O m k v n H K 6 Z 7 t m v t J q H R 6 U P W l h U S m Z d W l s a M V A 8 B U f V z T S 3 i u u m c T P t Q x U / V n r E 9 3 l / a g / Y q T Q b W 7 9 R F / / z Y R t 3 J C 5 v E X e n u o o M K Y l l R I K 3 q Y y D i l c R t X I + 5 + u R V 3 + x y 3 F C f X i 8 Y f g j a G V A 0 q B X I / l Y j r s N K 5 u Q W k N L X n P N D E 8 y E A 4 9 2 Y g 0 U n w e D v k v c 8 W g k k A 0 9 N L w o T G 2 Z k 1 k o 0 w k t Q 9 i Y 5 F K s P R f 6 b i 6 l J h N j S j m Q M x L / Z P K 5 S 6 G v 0 W i 7 U 2 o a Q s y F s c Q + h U l K v O d e / p 3 + o X W y 9 v A 9 w Z K 6 7 n c Z z 6 0 r M y i S 3 1 Q R 2 I q q T F p b a W k J C M x E h A f p S D B 9 V n 9 e s S h Y r 1 a o S s O x I F S m I G Y 7 5 2 X T I A g K Q E p f Y W 5 S H z R d F M 4 c q G 5 O 6 t A 7 + X W x x c n M R u M T + a C x 5 z y G 8 V R A G 6 i + + H F F a Z i i 8 9 G 6 G u 8 Q G f S c h 0 n p W S w 3 E B v x P O v m Z f 7 V Z B b e b h 3 8 u W k n Q B F j w M 7 F l m U u 6 j p + W U n C M R D Y 5 5 8 S w T Q w Q l m + A 4 4 8 0 n 0 6 n d l Q g I J d W q 2 m L X J E 5 I Z u h s H k 0 0 X f J T U m j g S / A w v s Z N q K / 1 O m h C t S 1 u U c j / L p + 4 x h 7 0 K Y e 0 G x I c a V 9 q F c k f t f A g L 7 + g E K 1 j S R 3 J u Z b N 3 w l f z a v h 1 V W n Y Y N G w s c x V Q N W S S e a V E B C N 8 o a I Y P 6 2 b / M c N U D n R D H 1 m F y v 8 t m W Y C s d M a x E V p D z u 6 8 t h p J n w z T D 9 W J e F z x T p 3 k O B d y 5 z r y E d V s r J Z 0 1 7 y u u w l I C K F p G d j y t 2 P p I P u c j p c 8 7 9 c j a M A R w I r 7 L K b O C / C Y h Z H e l 2 L 2 m j y o z H + c j s 6 z O V L 8 3 5 K d B O P h S A e t w x + 8 X R y g G 1 l d Q R + F B s b n + X b c J + a I I 5 o i j 0 S N 6 Z / B J W 4 j 5 + 8 t g a b V a d x j a I T j X 8 + T f L O V w B 6 b 9 c w h 4 P a U Q P k w l Z n M e 6 Y B z 1 O + c t Z o l M K D G l O s z 9 r s 3 R 3 4 E A U b 2 8 Z 3 v V R z 7 B D P l q W j H j o N / z 3 D n q g m b A 7 C P 6 y A 6 x q S / W s M P G z 2 w g 5 p 6 L K x 8 H q e / h 2 o P a 6 h W N u 5 j H r t 3 Q V J l 5 6 u D V P 9 e 2 a 2 I j U / Z 4 L / t e I W g q t B C / 8 J 8 3 m g + u 0 Q A g 5 U v v W 5 x b W l t C i 2 0 p y k H Z o 4 L z O P Q V x m x B E A u Z J + N f C v R t v y + R P K x T S s O w Y R t s f C I 2 G a X 7 C I R B B D c h T L y m u o Z z u I i V E H / S 8 a n Q z k E J g M Q W x Y 8 6 2 1 0 + l h U w A L 6 j 6 i c T 5 X u f c k n q S z A / 9 f z 5 c 2 f Y n / / 8 5 9 Z p t y V 1 8 z L 1 + p K W f Q 1 m 3 h 3 j d O 4 o s V p R E k V A G 8 8 G F u Q a N m K T l B x L 1 B e W S E M x u I C V + V 6 S h h 1 U O / h T V w k t 1 Q k e + g M N K J P 6 e Y K q / D z 2 k q A + m F w A g n 0 l 8 D d 4 b h X Z H W y B F q t u M 1 3 z u F J / 4 2 9 A g I W y P O I p L Q K o f I M a k Y f w d W q W L I s g o C 1 o 3 G y H X M w 9 A I B Z n 5 m B r q 2 J b r p W W 9 m F g F O S d d I S o K g 7 c 2 9 E N 9 U T t o g W a Z Q w m d j r 0 V 9 L M 7 W 8 j G 1 E t Q E a t W f B K 6 T i / Q u 6 F F 5 k 0 x s E P S s g W O D 4 q d D O g K L K + / X E f v U w 3 f Y 4 a 0 K 2 G y w 5 f K w y z b a / + l Q J Q M F Y 5 + c X d n Z 6 5 t L + i 6 d P r F 6 r p 4 y k P + x 3 m k B 0 L c s O Y P k 5 j M E m L b T V z 8 v N b T A 7 0 3 c b D 7 v S 6 S r e N z z J / I 4 N v r 6 V Y O 5 m + c h a F f Y H Z K c j 9 u y b W a 3 e c B D A q b 5 P h c w t 6 s A c F 0 G N T v D A r 5 V B a C f h x O o y y T q Y f S K i g b S N d j N 9 4 G X q Y J I Y f w x w U h 6 g R d g Q n g e 8 P l e n + h M V 5 d 7 e l k 1 7 P + O c 9 V c X 0 v x s h t k u y Q w U O C k f 8 H L v 0 b Q n M A 0 s 0 j W v B 7 + W s E q D L B 9 D 3 q 8 q b y c G / o H o T v N Q o e z d 7 l h M p x a g d p e + A Y u Y b b 3 X H v a 2 S z M 0 1 E a / f 0 q E P 0 I q E j l 9 w 8 H A m v K f O v 6 g t F R a I 4 X T r c H U T r C E R p O Y R G M x c P w 2 F + M R u q 6 i B S Q l c c A x / 4 j y w e Q Q v j e + F f z 3 D h P e Q k j 9 X C I R z I P V Z m J s M T q L A N 1 M I x i B 7 8 J N R d S 1 K O T W S 2 3 X U A l + h C q N B / Z y O r K c n B I Y 3 M 9 V H Q A L d Y f B + T q o 1 q z R Y L O a 1 B / j P s x h M f H r I N J 7 F i R S D z Q c 9 + X V l 7 R w w A i 0 T 3 / q J p s s 5 3 5 O I A A j i G h L r 3 / p Z S 8 L U 5 l 7 M 2 m s m o 2 i A / 2 e 9 v d P j X b W U F f p 7 x 6 u 7 G g V W X C c 2 v o Q p g A P B E B K 5 8 p i z I o c W J k A W B S f A m H u 9 L r k 8 0 3 s 8 v I y T U V 6 9 M j n p D J A Q W 4 e r Q M B + C 8 4 3 7 5 Q T 0 z j E 8 J i G s 4 n B B 0 t x n Y x f W 7 x e r m H O / Q + N w X D S W K p H 0 h m h Y m v E l K c x F s n v T i D 6 t 9 K g q t W k U / U e u J R L j R M B q J t x H X 4 R w A m 2 6 7 5 U u b X S O 0 8 l J Z i X z / M R J g 8 z Q J J 5 9 t c e K h c 1 8 J U I w O H / r L 6 p u 1 J z c 5 q E N h k z o L M r g A s 4 A n I l k + n A E q l w M b y M 6 s C d k P 3 9 7 a o r M H o 0 g a x / F I e A q f 7 j s K O n Q 6 f S v t L a N x A P E 0 F S k D q X x D t B C j G k s A d g p Z + Y m f R v 2 3 N r d P J p 5 O 4 V 8 j t b x 0 s O u S V J f I / 9 i J D B n g 0 H L u Z 9 + r V K z s + P r L 9 g w N r N Z s + S b r J 8 J h 6 m C o A C u c f k w g f A e Z n / g o g A E Y 0 B s G J k 9 E f f L I z I y S z R 7 5 Y V a t 2 F 7 P 5 k 4 0 u y C a E X Q u K E D o 5 M R l R s 1 q 5 I R A 0 9 S q g M 8 9 z C 2 H K T W X m T c c T A S d w c E E v p B N + 3 T q w S N + T q I t w A B y A C Y G Q a a b b a B 6 l + X y c P w 1 H N o 1 k u r G z L k 7 W U s I C b K h t Y U 5 a W x q z p v c r a d h A I C M t i O R i J r 2 J V F y M 2 n Y 6 2 F d d d I n 4 i C m K x J f K O I z 9 O z 5 3 a m d q e 8 H 6 k 7 b M w 9 R 0 / U u g W w E F i B 6 2 E k 8 D I c J C t K U 4 j a 3 V E K P c 5 i + p Z H a W R W O 9 e e L G j 0 B u 6 o g p h s O R f f P 1 N 9 Z q t + z J k y f W W J s 4 m 2 B i W N N s 7 d C / D y r p R i h 8 v z 7 B i d 8 y E + h y 9 l J m z L m / h 3 h d C l A L A c a 1 g E / 4 p t e k 5 p / M L 3 y M U L + v u x B g d R p H 1 q k / c O k P k D b r d R O x w v h 8 9 M o K Y r y j 9 h d + H c G x P 4 r 5 f 1 F t 2 m J j H z 5 A k W V c 7 F o + d Q W M + F 8 Z I C e L S 9 / w M 7 + s W K l Q t l j m Z a Q 6 J 0 k s L 0 7 3 K 5 C l v r J y o e Y m o 6 S F F S v 4 e B X r C V T z E C 2 5 0 K G + W l W s k F t Y r P o v V i X / / H T / 1 F q y A E 6 H d X v e b Q m 8 u 9 X 1 x 6 Z b A U U Y 8 7 / 9 i l n u 9 D M m A H u L 8 8 j K X b Q O e x + w k p R N W v w B Y j 9 w v 8 A I L N n o 9 / s 2 l q R m f / A v f / a l 7 3 E e i L G u E u Y P 5 g 2 m E f 4 F k t y j Y N c Q Q G P h 4 c X k O 1 2 b x n j B l Z t f A p V / R Q + r 3 R T j W Q h i Z J J p l / L Q 3 f f S d z B l t d K 2 o / o X u l + W D 3 g 7 s Y L 4 d P y t L 1 v P i x E P d X 2 t K m 2 k 3 1 5 E E / t Z 0 F Q d F m r 7 S E A K 0 i y L L F N i T e v q 3 U i 0 B 2 A B T O r G N m Z o q 9 k 4 9 P s B n p n 8 L c q p 5 R d u B s b S Y m z + y X S D J w 9 X E E I C u 3 h C F q l / J p k 2 a 2 u a h y f A F z t 2 I G F X L b V 8 f u q 7 b s 7 6 U / W Z K s r O u 1 k o / S q l 2 m 2 3 f v t z 0 a 1 B C Q Q q + V d o J 9 4 T H m c E f M u w H e q O R A Z 4 H l Z H Y q 8 Z 6 s 9 K G v R Q o M B s m 0 1 D O 5 W Z N 1 m v g 3 r 4 8 K G 1 O 2 0 H U 1 Y P m C Q 7 A B R S 2 M P T O g f / 5 S Z K 1 x G N x T y z N 4 C i 2 D T / j 1 d 9 o f c q z p J Y r 9 x D / h W R Q F l D 6 l C v r m c H H N Q f u 3 a i X r v 2 E f X 0 B w V o U G J x q U c m W R 6 v v 6 E A c F i p 6 f Z r X 0 k 3 T S N 3 7 5 b N 1 g a 9 S U 6 M m q b z b C P q Q x l + E L s W 4 y Y 6 n 1 c W K 7 p p q u 8 T a c B m u S 4 B 3 B T P y A K Q C U i w h L k o b y t / I F j v Z T F L Y 9 I J K f G 2 V e 3 Y f v 1 A g p w t o P P q F x I K e P Z y 4 p n p 1 I 8 n V f L E E w D k p u J 6 7 N i J t 1 R S 2 6 X l t h H z X E X 5 c t U S u 1 m x Y + 5 u f X w X u h V Q a r c v 2 R j M 0 g a D I 3 N p s x u g I A A F k O A 3 n g C Y B i q + / 8 Z A S N H x e G o T I n l 6 H f T 6 b v + z d O P w 8 N C X b 8 A A m 2 D K Q O T M K K Z D G v N 9 t v X x T a S W O U P X i i 2 d y 2 6 w b / f 3 y 4 C R R f / 8 l j o A W q a t M l C R o 9 e s k n b E j 2 + v v Y 0 S d S r a Q G 9 k j r N W a u r r s r j Z U A x z V C F n g Q g f O Y s L a d x 0 i + b N 8 v / Z 9 1 4 U M D S k Z M R c S + t 6 Q f Q R w R 3 2 w s D H Z E 6 L 4 M 1 E f U h O I Y / x Q d O y d y B B H O b 2 0 F K 6 t f O B 5 I b z g B / r M g F f u 3 r 8 B k w Q v z j f 6 X y W D Z G N T o I 2 4 H n Y m u q z / D u Z m / k c f c A T L U c C S k F 9 g r Z L K Q X q 3 A 4 a P Z V / o n 6 + 1 H v 6 m b 3 q G Z v 0 / t 8 H 7 R Q 2 R 8 V O p H r Z U b Y o J g j E f M X q 7 j Y 4 5 B 1 H Z E O V d x N w S z D j Y 4 l B 7 v c H v p i Q p 2 0 M B g M P j / M k j K P j Q 2 u 2 Z M J t + C Y w l g N J Z i G L 8 l i c B 2 P j 5 H s S q R j k t j b y O / N C R Z l s Z E a T R c 6 8 U E b 8 z o G W Q L C k / p S u 0 e H 7 A y J Y J G n Z a o x 9 8 q L 5 T O e m u X o 3 g R m A E m E c h h d W L + 1 5 I I J k V X k y 7 p d V C A j k 1 Q Z 9 I I x N k m w o v 5 D 2 e n 1 g e B 0 I y m c y q Q D S Q f 3 m 1 L J N w v R n S Q k 7 O 2 F C 0 l c k 5 Y 6 Y 2 x I Y y C e E 1 G o H / T T u q 8 Z p E G b F Z J T q A B + n g g Y w V 6 S J H l p N Z l 4 G p m 1 E 3 b C W O p 4 K V 7 C O + G g / i G U q L 6 x d W 9 i T / Z o 9 b M v M l 3 W y I o l X F 8 B 2 D 9 t z / / 5 A Z n y 1 z H h F A n B P 5 i X 1 I O C E S c l 6 s o X q q 0 o y X t T x j n T n s D m q 9 2 9 q c + s c i z H F F B 9 C 0 f n c y v v f b + Q P c J B N P u g P 7 f d f / 9 7 D 4 Q A p i 2 Y R i C D L n I n d 7 P w s c w A w w V x E 7 n j l N 0 w 9 r r s r Y f a x k r c f n q 6 / u Z 7 c z 5 J G F U 9 5 x j r + F I v 8 9 o L H 1 m 7 u b b m / t J C 0 E Y s V 0 U p o A F K V 0 E w n v T + J c a q + X Z n 7 Y z K 7 y D L 4 x 9 G F / b q + Z 1 h y t A v / k B 4 o B 4 H 9 s V u 0 c Z j z N U e P 2 q k k 3 4 W 8 7 y R 4 h s O h z 1 f 5 + i r 1 G x S J I V / O x s 6 Q X 9 b U / w I H 0 U C 2 E O h P z / w 6 r o d n v c 1 q o h S 8 M 2 8 j 6 N h h 8 6 l r q m 3 k 9 5 V A o L + c 2 f 1 f z g U J w M S c Z b w z o K p 7 R e l 4 u 9 x K 3 7 4 h r I n u 9 L X A N 9 B v N Q m e J 3 Y x L N n z S 1 2 v P s z a d B e 6 0 8 Q u R B I i C 8 A K k c w H n s / 0 A a B A g r J 5 C E G K D 5 E C 2 w j m J C / v D 9 / 8 w c G A m U d g Y T Q a p W A R A 2 V z L x B a i Y M s B L 6 v 8 v h O X Z c B 8 E M 6 E 0 q l K 7 t C s b f d z b L K w + v y p 3 z 5 R 4 E A h T S X l W R W N 9 + Y m 5 v 9 s 5 C / N p Z G K n l W O m u n i g L X 1 L U a U c x G v e W a i c W B g K 2 g a z s y b 7 + e D u y w r E G D k c X J t J t y M d + f 9 3 L 2 q w c k p O 4 + D t n c l C / a v B I x L K r O e + y o p L 7 8 b j q y l t p R 1 H v 2 4 I i X 8 j O l Q z k X H i C R W F V S H / i l r m V J u i 3 L 5 L s a C G J 8 M V n x i x G C t I F 6 Q J T H b w D O y 1 4 f 7 j u q W t v A B O G v M j X B A / R q x Y Z r c p t d 2 O O D s v q w J D 9 N f t b N Q / g e 3 R l Q d E A v y p s / T 2 q 6 s I A o D V 9 6 p b f U e g s x A O T 9 E a R w p v E W r 3 / c k W g n w p 1 b c i n 3 Z l E b + y 0 A n p 9 / 9 X P 3 m R h w B s B X s f L E D T r N r 1 0 6 4 J D Y 6 W a U b x f d f Q x 5 t C s e e Z 4 d N d s G q l R C q / 1 E A d O u 8 w l g + o X f i j L 5 8 D 0 w p T b 7 l E 1 i W P V L n h 9 P e j 8 f P b P e 5 M Q G w 7 5 v / R W t h g K d 2 i O G z K Q 8 j E 2 2 x H k 4 s Y J 8 D V K K m D 9 z z S z P f r 4 g P z M 1 A b e N A f W B Y G i O r O 7 M 0 f m q Y U z T D U B l l P p R B T u X T 9 f W e T R 0 r j p 7 b p + + 5 3 4 e s G D / C f 0 G q J j n 4 1 l b Z a k s M k D e l K k q 4 B s j J L k / Y 8 n 1 A J o f P b t E P M Q y F c q g P j 7 O W 9 q z S Q h X B C B 7 0 c O L p F y 1 5 G s 3 a k w / F H w N 4 G y d B f / + K G 6 n O w M K Q j B M h d 7 h P G / R V D a 5 G k G M w v e S u K U R T j r H k y 5 l f r F 0 3 p M t 1 z X 2 T r y l D J 7 0 Q F L k c C Z 1 v w 6 j l i R h w 1 h l y t R 5 d N z x P b o x 4 S B 8 K g e V p J 9 3 t o A D o 7 s m Q p L D d G K M q 0 z x Q e T V J w w u T V G Q V h B t L q F n 8 A m n + 7 o j 1 R v 3 C U l N t I v I I J G z Q i 7 d A J P q c K 1 r X D H j Q l z H C l k k K x v H T F h f h F 0 n K g q Q A K U i I N b K p C L J 0 V h T R Z q s G 0 s T i 3 m q x T S A w D H H m V / N r C F v f 1 M b w r R v w Z O C P t X m 6 X w W 5 7 k g k u D y f k M g b i G 0 1 X k 0 s w N p r G g x 8 W T Z u u p G / Z i f Y s W v B 1 U S m a 9 Y a m K f N D i 0 c q 2 B l v K 6 S E j x S r Y K A R B M T B 8 7 H 0 c R 9 d R B G 6 g n p t 8 2 k F 8 l x o n r u C d g p e z M b G Q s W E j L d B G B C 8 L 1 a x a 9 k Q r / 6 7 / + N 7 9 h 0 0 q V e 2 c i h X S 0 K t h 8 p Y G S M v f Q + h 1 M B w + h Y z K m Q s p D 6 0 m E 2 t G / G 0 x J G s f D C 8 g 4 7 k 7 S h z B z T G I 5 4 K r E f i t l G j o U a U o n I 7 0 A F s 9 f Y j B g b C Y c m X h m n 7 r c Q g e 8 u b 4 t G p Q l C 9 T j L k B j k I j 6 8 W R 2 n s 2 L + c V I A G D B y B k 1 A x N C 9 G p m O i H m 5 T K 2 O C d T b g k T j h x E 1 M t D 6 p b 3 Z 0 6 N f S c m I p L U 0 4 z n W T E p z G N K A f J m n X l P p I 9 n H u 4 F 6 a N C + Y 7 M 8 I p M T f Y 4 J / o H O Q O r j p i Q 9 B l 9 5 J / 1 H s b z + u u V P L + M c a 8 j W K o 3 D 9 0 E x O x D c w I m N o F h 8 S D C j I e D s 7 u S B 6 3 W B w s t 8 6 t y a l a y 6 6 4 s j 2 y B p A N J 7 w E b 7 2 F + D o Q O Q Z E s 0 f e m e m X E W N F e 2 s m D I V g r x / V Z 3 / E C T w M q 9 v M n l / U 2 K v x v / + 7 f / I b Y v u o s S a 8 b r H / Y l T g / E h O Q j t Q q q c H 4 V R u D e R v B s B 5 G h 3 E B o / 4 t J y D s e o 3 H f A L S o y U F h L b s T / P + B E b S + P f r b N q v k 9 Y N Q f K z d J v N H s 9 P z n V t y Y q J w K Z b E F V b 2 d J K 8 q F K 6 j n q j c b 0 x X X q a B i V 1 a v O g D c A f D u p P S q P 5 R g w E h K X Z / P y n C j 2 r C B 7 v S w T F J + n X T 1 Q P e Q D 6 B o Y l t 8 5 x E 4 u v d n M J S 8 R z u J D N N P m t m Y w B A q Q e 9 U q L X f s r 0 b J q D m y o h u H 1 s S 0 X W s U r 5 + 0 d v q g g r f + C Q y G O Z U 9 K w r C z A J A M C s H n 6 + a p F c J H y a S d s G X C + h 3 B M J G 3 T C P W f Z P S N + t B A m i d v V I b d i X u Z i O B 2 D n G u 7 N e Z j 1 P I w c 0 x X w O b j W R x Z t d G D e U K + M A B Q E q 9 D u D J y b 1 / K W y G e S 6 9 t g x t y V h N s N l B u P + 2 h 1 o S + d 4 G N G u i 9 T a i T z l O 9 3 J R z c r + q x P d 5 X 5 3 / k E o 4 s u w J m K T X I l 0 v t 4 m 1 l 4 k c 5 m K Y y 4 W Q H H 7 d 1 j Q b K J 6 D X 5 + u j T N S p v T p 9 6 c + H O t g / 8 A H C y S e U T C e S + I m T j 0 b T b T U o X C 6 A y c 9 g i Q p r n n i s K K b q d X W 5 j Z y B Z H q N Z 0 N d X r B 6 j d W 5 e W c 0 X 9 w 4 O 1 P / n 1 s c C c k i t J e H 2 X U O U p 0 l H S N J d L Q W f Q M h t X n I N a C q N e p q / 8 9 8 s e F V w r f o C V A X 0 h h 1 a a M j M i b U L w C p e 3 n p W f d o K R h o X X Q K m H V D q Q O M u k m 7 M O 1 3 0 6 F M v q r f c x v R b j S t 3 0 f / 2 E f C / U t 8 J v m 4 t J P 9 N A A K b Y V Z s T T Q k E Q Y b w P 1 T Z S 1 j X L Z b s 7 7 G T 7 Q v a 7 S T M D + / 1 7 N r D t q u + C 7 j h x Q 6 / d O d C Z S H 2 n / h 3 O z M 5 l W u 1 K z n N i v 6 n O f I y h 3 t n f g z q Q 6 w M i e C 6 g G 4 M C X G p I g 9 d T 8 2 S Q m D N k c v 7 C O G v p r p l H W r R t P J n Z y c u K / P 3 w o 0 6 h W 9 4 F 8 2 5 F V a Y 3 3 O 9 J J Z T D I G b g Y b L S q 7 8 N w h 0 e d A q h R 1 B U j B x r E N B M j m 2 Q m d Y l 9 L B j c B f d B A a l c n g L K Q 7 Y 5 h 7 + 0 O e t G i Q h D L 6 R 9 h U 8 / b 7 / + 0 A 5 q T / w 3 f C 5 o 0 5 9 a q A 6 n 0 d T G i 7 l 9 U a 5 Z K O a k 7 Z n 5 d p U 5 r 3 6 + C / F o 1 N + P + / a 3 L U n Z H S g 1 J 1 O z m I f i 8 W A F D 0 C o X o w R 4 K K 9 a F J 8 O A e U x m x b v X e h D F B u F U h D w Q v Z Q + m u E g L p 5 e C P N o k q d j F 6 6 o 9 z 2 k Z v 9 e + a q B c C m P m m / + q L N N 1 j 1 7 q O 5 c d c S m 0 v J d 7 n F 3 O P n G y M / d 2 I e k j T V Q 7 F d P s y F 6 Q C 2 b O C 5 S G u R d Y H Q F u M F l a q y g z h U Z q 6 J j M d / a C F O p B k M C 8 d l 0 n g V M q j k f A b U v 9 g K 1 G c A M q D 5 C o H F a s e V 1 1 z Y h q G F 6 H N e a z M e e g H d d o k n j m V 7 R p L Y K E f n v n C R O 7 r C / p Q n y J M Q 3 L X O t U H V q s 2 v T 3 0 u / t U B D F o q 5 d 9 p U N 1 D n g B O z B b d 3 Q i / / J b a U L d a 3 Z q 3 e l L Y x / A T K M x L / S o I o m v s s 5 D e V U q G w 0 N w 7 o W 0 k 0 3 j 4 8 h f B r M v e z e N x F 9 T / 2 J v F 7 6 z l T p Z p w O G J U D U R / A A 8 O T O j a d T t x U u 9 r n H 0 S 3 t F V Q l u m e t 6 8 O 9 u 2 / + f L 6 3 Z M L / / b f / p t r o 3 x o e C 7 E 8 S d 0 u A v N B K q 9 d s 4 a 8 m X Y m k q 9 m d q 0 V 8 y F u x B A A h Q 8 a Q L + Y 2 G j B w 0 E W G b d W Y J d J P P i h l s g 1 c i c Q A s x 4 Y v k 8 + i R B h K H l C y J z P b O B v A m A m D k M 6 I x m U / j v Q c b Z G q 6 x F R Z + m S D 8 F S g 6 j t T n Q 2 + s 0 g m F 0 E H e X a q i 3 w 3 J L C Y H B + r U d 6 T a c f S d a T x O i C y Z I c g t X c t u f 3 e a m f G 7 K n k 1 v f i K Z Z k 8 Z 6 l + y T s E g 4 e z L o S d F 2 P q p E v S D 0 8 4 q n y z i b p j k 8 5 M T L M 6 + D c o e 2 7 0 l x C a r S I b V / m 5 U 1 E n Q A F J l 7 a r p x r H + p C X 2 6 S / 7 6 u p 3 r d g y b 0 F 0 f W J 5 t E 2 d u + h 9 S 7 q U X A + O s V P n D f U D x y 9 R o m g W s a I + b I 8 O H Z q H M k K 0 5 d p 3 u s T x L d C C g I H B C W B l S 7 k M b J I y K s A V r g 8 M 7 U I N 2 V c j K G v Q u h 5 R K B B 6 Y l S A F 4 M L f c l 9 F n z D s O O v l a U o P p e B Y V N l s t X x t U W j u f d B 6 d i L S 7 K h F 3 J c q h b Q 5 q E W a q W M T m y d T 3 l 5 v F E z n Z N R u O 5 T u p L p K x D q B s M n m z T 3 x e R L 5 c V c A i 2 k U 5 n p + H F J a 2 4 n O a e P v 2 G s y R t A g B X A B J p y H U h l V e 4 A k d j L l 8 4 n M 7 O s M m Z I m H Q 2 v L p M K i R / M V d W S S 3 t u z U a c P I U r y p f j y n a 7 z n 5 x o l u p H I A S m Z i x Y J E m / Z K b e V f K 6 i c + w T A D M I k J A 6 T y C S A i 1 z S M S / + j V r 3 M m 9 L c p 6 W v A R F C G P m S q J d P W V w m z O d u E l C L Y 8 4 L g F / s M g g + A B e V P B r L f x 2 m e n s / r p E r l D V E H 0 L g x f r c S 5 Z B w + U 8 n O f v 9 s G Q n s 6 I / P t Q f r U K w Y E f y R X r M c 6 1 B l J G H 2 1 W h N 2 H 3 m 0 h t Y a A Y J B 8 w d R g 5 d J C H X t c M T S e + y a 3 7 C H K t R S A l F q B G Y h K 1 G x B N o 5 E Y u W 7 T p Y C l V + w 0 7 r n t f k S 7 i A i y W p f 1 W J i 7 H G Q X s L Q e J q J d v O K L + W J O m X z M 7 r f r B 9 Z q 8 E j S R 8 Y m k c z V 4 G O O J 2 M b T M 8 l V X u + D w W 5 d V U J v J 8 1 O 9 b P E Y 4 G f G m G P v 1 0 n f n L P f k t + 5 3 P 2 b F J a H + 0 0 6 H q f x N x H h q T p f k E G j I B h + m 3 r d x N I h C D M E 3 Y Y o l u h C e u H v q e 5 5 b x M M A F c 5 4 S G q 7 t d a R 8 k e Y 2 V m R G Z t p p F 1 L R v g r j r 4 4 T + 5 U O 4 g Y E p f O / E 9 P / i 5 j / n 1 8 J A D p + q 4 N t m c 5 H 6 W Q W b h C P A 7 1 R A 2 w h U M v 1 Q z l v Z 6 F U s w Y P A B C W j v v y H Z h v u o l g G F 8 v t I M G u o b o P A a G n D O S Z C H m M 5 i p 3 y R 1 u z q V 5 Q 0 3 D + A u R C 7 f 3 K Y W l c Z m J U m 9 Z d s K M f u Y i 0 F W d b u Y f G F R c i w / I F 3 a z r 2 3 E e V M Y z E / + w N q 9 I j 2 Z a d S R e p J f Z 0 x S B g Q s W N v n T V V z S e 2 1 z i 0 / d a x 7 T c J w D R l O c j k H f X s v P t C 4 O p 7 d G 2 V z C 3 Q u P B I H A I a c 5 v 4 d l 8 8 Z B s m p + y r 5 P f d Y E h / l X j O 3 m d E y D z t 2 Z u J M c J M p Y 3 4 R v i 6 Z K 7 o W w f t d e M B W J K C z t I N C l I X C D K s l q s H J j n b T P N A Q B 5 m 4 d M i q i t 8 Q R A C 7 Q S g t p l 5 u x A g 4 i E H / 8 U j A e t B Y o X / 7 n / 8 + 9 + w t g T N x M G C r o G 0 1 a V M P C J 8 7 V r i k 6 j T j 9 i q C X U 4 J l u d l K U 4 b 4 2 q O l q I W 0 7 V k W r 0 1 o b o K 5 c m U t d 0 z F 2 J g Z i F M + t e d P 3 Z U M x f E B p u N O r v r I X i l X N 5 d d 8 C K X U F c H c h U o 7 O J 9 / 5 f n Q M O O o p C X W P W e D Z J Z W A V J + i f F P C 9 N f 3 K f U R 2 z o Q 6 Q v 2 Q / e H W m N a e H e o X P X P U i Z 1 n r Q l C a u g U l e 5 R + 6 b I S D Q g O l k a s s n i e f y 3 8 T + n u 4 T V G q u 8 d B i U z H Y 6 3 B s 4 7 B n Z V U 5 K F X d F M o E D / f J + g s m n 8 k 8 Z u k G c G H S F c b E B 2 V u K P N l + M u y J L J r t 5 F H K b l W D I 2 G c n N L d Y D R H W D X M P q c B 3 d L M 7 H f O a F u T D V A 9 h 7 p K 6 8 P / q j 6 a D 6 Q B j Z Z K / L v s F b Q 4 N y H e 9 9 U z 5 u I y z I T 8 D 1 O R S B I Q 7 7 R L v / 0 M u 9 z U 9 v l x G 5 E e T 1 p u d c y L 5 / 1 8 / Y f T 4 p 2 s i h b p M 6 L L i Q J O W E b U d N r J F R G 1 0 k w B p 6 H B J y c v b a Z m L s k w V C o S o r m 5 z J J e z 4 f N F + w y 6 k 6 m A i f m M o d 8 4 + g S I 7 r 2 e S Z O 7 A 8 n Y L A w H j Z s 1 J D 4 F F / d s p D 2 6 + / l h Y Z i P H W R v c 1 R B Y B W Q 8 P m r + 0 B 4 1 f a K B S 5 k b A o J H m 6 s 8 F a / Y k o g E G P i u T x J i L m 4 Q / x h M 0 K A v C D W B + K 1 d Y e Z C C C O B X 9 Z b 9 u n U o x j y 0 S 4 F 2 J S H A n B T b V L N d N W Y g w M m O W C D g K f A 4 8 W g X D y D I Z G T b g E 2 t g u 8 0 9 f h / S n w P g J h Q 5 9 U F p v o d s z W d A 0 u F m 1 9 / A 3 P z M z t s 4 V c T V H L Q 3 S C c I C 9 X f 0 S O o 6 4 6 U G Y w W R F M X S B E P x R M m 0 T 8 5 N Z c P r S X 2 v 2 9 E Z 2 B J j w f S w P O C o 5 q 1 l c V 8 J E 2 O m U x l h y Z L P y x l l f 9 J K r D Y J B d z n I N f 8 B Y N E / t b n 2 P 2 c A g s e y d Z x p Z c S 5 G S q N f I 5 k 7 o 7 B r g 9 m F T e W Y 8 0 x c 5 m s i c W i 0 H K t s / I l 0 b u g u n Y w 2 O R 9 / q 3 t g H 6 c D C L P g v 8 R y m l f s + p M A C z F N S R J S f / F y 7 g B A q m 8 j 1 W D 9 m y Q x y z b m 4 7 R e 0 n x F l p M L / 8 x T Y V 4 V S j z W R T 4 X D 0 y 7 U l 7 q K y x s E g 0 l p X W N G F C 1 k 9 A c + 9 I F 9 l O v e J v Z 0 z 0 W E M p W k + 8 D s y G 5 A R R B A z Q J O W 8 e t p Z W y H 7 3 8 t R e 7 u H 1 4 4 8 x 0 3 d j a f 2 6 K o q v 5 G C S A A v D y M / j G g C K V o K p s 4 i e j + 0 s X W H N b 6 6 1 N k n X u X 9 a A p x p M v R t 4 0 U f c G 6 q o d X 6 i b h I Q 0 U q W p 5 5 v t t 8 8 R 3 p g 5 J j v y 9 i w 8 x H h 2 Q m I 3 X T y V I 6 B f + K S F l l X x 0 q N b 1 J A P x 8 K C a d j W 3 Y 7 3 k o f D q Z + Z J 3 9 k 0 g 2 3 w 2 S 5 d u M H B I p e P j B x b U K U u m C 4 c k O u r e n y Y h a U z U a z L R t Q s 2 t B 8 6 Y 3 g o W o z h f p W G I S X V x f l E 9 Z V W 4 z V j j E k 4 8 E f g 4 E d k g A d M b C e 2 y i + s 2 q j K v J K Z R e 5 j f u r Z D u y U R E 7 b d e t / M k J b s c 9 3 v G I 2 U Y P P L k F q R + p b 5 d M 8 v u D Y 9 o K H f u 5 V g p l h X J 7 D u 0 h C v y 4 j U p o I 1 x P B i l X 3 U K A p S e v 5 A 9 w E U j f F 1 F f M K d F W 3 7 u P 5 F Q J L Q 7 u 7 8 y s M q N 5 u o G m 7 + W n v n y t / t 8 D 9 S o X h i Y v D 7 O a A A D A J L 0 J X 9 G j n W g Z y t E f / Q m Y e B R P B q q s n 9 G A A J s p m S h J l 9 7 o J / 2 m o V E d O O 8 9 0 m 9 c R 3 n 0 h R 8 S c E F b l k N J v p X 8 K s i 1 H E P N Q X m U t a W 4 m + h H A x S x / L 9 5 m D 5 v i s C D B y l U e Q Z o 3 m U B o j p q i 9 T 4 9 i J n / / n Z 3 L r d v s X j C 5 k b N S v J g B 0 M L 8 S 4 P O c p F B O n s + k M X l W + w v H B I 2 s 3 D s Q U m A Z 5 K x c D a 1 Y P f E O T R q X j m 9 p X g 7 p v 8 E g d J l O i Y E P f B y F e R N I M 8 j 9 k H j o j S / o D G j e D Z B 6 5 5 N N v 5 6 M X Y l o m G V M w 4 e t w p O u c J G F Z l i 4 z q 1 p o y 3 / M 2 V K m J 9 q n J m a + D V A Q p h u L C c u F u k c A c / K D V j I b A Y f / V m r 7 H M k 2 c k C p n g Q c e M L I p n k E A 7 O F M 8 C S i J B G k W 8 i T V K V C Z Z N I 3 A + / h Q A Y 3 y u a g 1 n P H E 0 j + Z B i 9 I H f R 7 P I + H R U L O 5 N 6 Y Z 2 f C s A P A 1 T w I K v l i z m e 6 J 6 O V R L R 0 O H v U h 4 8 d 7 6 s D v f I d g m I c a W w n O M k J S v / M A B c C W A W + T + E z 7 P c i i c 1 i y T x 1 o E 9 q y U q 1 4 t g u T 9 I T X m a b x n Y E l D N 0 V o T 5 3 0 F 4 / G q B w 4 j w q o n 6 k E d j E N I y O o W G e Y n S F k P w E T U 7 6 8 o / G o Q Y v 1 v U a q L K 0 W S N n p a p M h w o 7 r c p n q D U t q J X T l b r V w L U R D M f y A Q 4 m U B l Y J B s B C / w P E k v R I q W y 7 O o 8 i + T E u P J e M J U m c t g j D Q A m g w N J g + g D r w L Q V q F M x q Q g 7 q H + K h M w Y Y 5 h y m Y P D 9 A Q u e 9 R t Z b 7 W J V K X d q h 4 4 D Y l Q C z a y z V l z 3 8 M B k R E C U d a L F t 5 H 0 K q N R O z 1 X T / d A M + t b / 3 M + S u S h 2 t J G 0 + 1 g a u q H z y g I A 9 a a d K a j W 2 u g K 0 0 I I G t o 3 j U e + / / t Y 3 1 W X a M + i Q C O w b 5 i H 3 m 8 C B 1 q K P D 0 v V + V n l P 3 O K w I L A s j U 1 Z 9 C w u 9 S 1 o 2 9 h p d L Y I H z 0 E I Q 4 A U 8 O t 3 b z i t B D u 7 / 1 l 8 C U O y x I a G B t m X 9 k S 7 3 S X q i y q L V N L U 2 S P j e l X 4 0 Q K m / p C E E L F Q 4 G 7 e I 6 Z g v W M p 3 I q 3 n T f r Q B v G R V P r e T C b F U i a K N M t o L E Z e d Q W i g u 1 3 H k j y 8 W R 0 + V J F S a R 8 K H t Z T r F A B + P B O I V E n S c g u W m k O r w b Z Y K x A o G N x 2 E 2 r R Y 0 x R B 1 g U 1 S T B 0 / m 4 8 0 C K H 7 X L V q X c x Z 8 w E B r D W d x + t c r L R 2 e 7 y + m X S D Q T S S 0 k h N 1 z R M V u c W A o b g x Y B u M t R 1 h K S F c a g v 6 5 4 w F x E M C A g m g d E 2 2 y g D P Q G N V u P Q r 4 n F k W S 0 Q / h n A C I o q D 2 q 5 3 y 1 s J E A h z Z n r i p l w J T S q Q W a c u V e M p 3 R Y p Q 1 D e W b 6 V 4 B 0 c S A v m k 4 0 3 N N d i A Y a A c d R U D C N d Q G c Q 7 f Z S Y e Y 0 O f 4 i 9 X N E b 5 p c z S V p o N n w E 9 8 6 H x X b E W s C I Y n 1 Q 7 r V w r Z o C i T 0 g 3 y 6 K T f I d A Z x z 8 3 g C Y d i J I N u Z A b y J f u / Z 9 A Q o T j m e n 8 q q + c m T f R D D d k 6 Y Y X U 5 R s Z H O I T i I x B Q r k k N l A q K 1 f C I Y z U t D a Z x O I V o Y J w w C a T n 6 Q s 5 1 z o b G E 9 t r s s e b t U N 1 r H w B O d o E C f B V 2 O 5 r 0 S v Y R V c d J 5 O Q c p B 4 P K u V D m T 1 6 R s 7 n g 5 V B f 1 V g 0 U 0 j C 2 x M B + r l Z a 0 m B h Z 7 7 N 9 x j m K 0 h b z 1 V T 3 m / m a H 3 w S N I L P 1 o t v k Z h + n q c b V S y y i U 1 X A 1 + + k J O A c F + A S u 1 A 1 A s m S e u G 2 Z P W + z o C T H N p c / r W d 8 I V A 6 O B m e C F 0 b i 2 W d l 3 L e e + E p p M I O + J 2 c 5 Z X i + N T A Y / G s h N W b 2 X o h Y S V a L 4 P I w n n g X P S m X 3 Q R N Z D q W W t e v 7 1 p a l g C D b r J 9 H A g G u G J 4 l I u 6 L 6 b 6 b 5 O f r H 8 D j f A A F S B A o y U S 8 t p / 6 P y 5 D 1 k W n 4 5 C a q Y B w K g F I F J O M E c D k w B V Q K J u D M e a Z V Z i M m V n 5 p p 5 i Y M w + + N R N 9 h 2 I n Z 0 + G l D c n 0 T a X 7 c X 9 m W w s K d H r F a V 5 o l i a + A z C G R V + R G B B u F R d S k N o A G Q K V A v J f a 0 E l t Z Y C K d y B s p a Y 5 6 z d R u C j I 1 R g 3 j 2 V N I l Z w 6 h M W E L I p k g R z B h V j a K p F U X L I E X D q C v c T b y S M T v 1 o l h y a R R J a f c 9 k P 7 I + z h k c X + x M x m K 7 J y b z B y Y a h r w 5 q R t 7 5 + g 1 g s d c D D 3 X O M i z e H P p D C 9 b F m E T N 3 K x k f 7 p q W 4 x 1 J J + k K Y 0 k x l q q A y S 5 Z w s N d j K 1 Z W H u y b K 5 q b 5 X m z A 9 K O 8 6 k q 7 x e 3 v Y W Z 8 5 1 0 0 6 / W V 1 u U o w F y F t z L 3 M B w L w h P V 1 t e 3 V n 2 g 8 W E e V t g N Q M X n Y 0 f k t A X a k v n v J k h O k v P z I + V Q + T G / h A m 8 x J B q 7 t H g W y 2 c a e / m U h c 8 4 z F X s Y Y 1 d j N 7 W y T X D 2 g e l H q z 6 z Z j 8 K l E X w J R p K U y 0 g v q w L K Y q N 9 5 O D 3 i 9 J Y w A U 5 J P T d n h 5 N J G 8 Y W u i + V n y / y X A A S 4 G X E N 9 0 d z A l Q + c / 0 7 d Z U w h H b V U K w k + O C H B W R E W t K / O l 5 Y 3 U W W h I E 0 C 6 r S l 2 / o d T H l e 0 l n 7 F D V d a F B G E 7 0 W d 9 2 9 m V m 3 f C w 5 E 1 i I B Z D a R l S k f i M t q o W 7 F I d / J + e y b S L + l a a / 9 5 a B 7 E / k f B R 9 V / Z 7 y 5 y Y m S z n z f k Z 6 n j f n t R s v P 1 J v V I 2 e J y Y g e F s T 2 u l 2 z / o C k n 9 / 0 Q / c c Q j O C v u h f v 2 b o 4 n I T u / 7 B 1 8 7 I Y r p l J t r c Y v L E 8 S j U F 9 d g Y 2 E g a e C n V g C b q z l 5 Z p S A h U W x Y N B O T S X C 9 2 W R m L W U 5 Y M a M 2 P w E j Y a 5 R J S O 8 2 A u J q H x u 9 z 8 X R P 9 D F g H / b 6 u m V u 9 k e 7 9 z p T w 6 8 n Q K j L L a 5 L 4 h W X B S i 0 x o c x u 2 m C S T / M h K R s w q n x h a c X v c h P f F / C w L e 6 Q 1 U F C M 5 H G p Z h + O O x b Z 0 9 t 3 d g x a R u h 5 Y k c I h B o I 8 5 Z c B B c O 0 7 d y U v r j k 4 F c P n k q s f B 3 i M J j C M H z n s E f w q o P M w b M G W 7 X v l P 0 q D s z Y / V 5 P 7 V D s Q e 9 x + l o W j S X i 2 x L 8 S w j D / 7 l 5 P 5 4 H N H q o h X R k z P 4 U m t O k g B q X e K V t O B J t q V Y D D S S 0 q k k e g o 1 Z D 2 M h s k H a e r k o 1 D A W 4 Z 2 G L U t U 6 9 4 b 7 K T I Z V d x 7 Y y b R k r 8 Y F + Q W S Y B u M x n q d 2 a q g M U L 6 z a W z 8 R t 0 x o a I y R j T v 1 I n Y 3 5 i j l K f 2 0 w 0 P 2 c N D B Y z n v d e + R P O w 3 A i p p L J p n F y y S q T C J M S c y m U 1 g x z Y w c Y S 9 / Z K e h s + q 1 8 k q F r F E x K g I B 5 t c p J Y k u g Y c r M J u n K V 0 g s n d 6 X W 6 / b 8 k b K S z N 4 v f S H S b w t D Q t Q 4 e z D w E z s u u + h 8 3 j U 5 3 w Q W T 0 s u 5 C Y y w 8 L Z 2 L 2 f u T z O n n 1 Z a U d W H l P J q W E w m G z Y S 9 m Y 2 t G 0 r p Y H x p v T H g Y F a B U q g L G u g + 5 Z / o m P a i H / 6 O u i Q 6 W n 4 N X t j A Q j z m I 0 0 v f I c y 3 0 b S r B u e s 3 m r Y Q f 2 h z G w J 0 S 3 n Q q n m Y 7 e l N F M j G y / G m W g f 5 t 6 u Q p a g l w M q K + O u x H 2 + O m J h I X f X Z 8 w V O u g D y 7 s T c R s B l m U I p b m k l 3 y S s n w C N i Q 5 r B 3 7 7 H 2 9 R R R H j C a E L H I a R P l d P N n h D W k Q c 3 I k 5 z L D u l H J B n L S Z 1 M x t M z B R D 5 H T m U T K i d 8 6 o m 6 o a S s w I S k Z Y 0 S 0 b u b Q A W T u G Z F C s 4 m N u h 1 1 W e g S P d V N Y g A M o A F m Y r N / K G x k U l + U b J 5 g T k q t a f I I 0 A B S c 7 9 w D W n 6 R q + E k A S M f N 6 3 w k G f T i 9 9 C d 6 e F q R T g J E M A s 7 4 u J 8 4 / i g m W B m 6 u X M q v q / Y S L I y x c k Y V j d D o e d + R v 3 T d R u z D W 6 U F 6 l V d k V V v V d R P r e B Z E E J x u g u g l P O X n 1 + 8 r y E q I 1 b H 8 1 v R h I k G K t S B h G o Y Q Y A o o 0 N G k w k l 1 J K v a F n E T 3 9 M 9 X G 6 h 8 W c d y B y R M J V Q J Y o E / 5 i i 9 7 o C Q F 7 W X J G Q y P N r N j j T T A w k q a T V + 5 5 T N d o q 4 B 9 o P r c Q k t Y 8 N 5 6 7 B R F s p e F e T z 4 N e / 8 u / / v v f N C u J / A M G V u W p Q A T x L l Q P z H 5 1 r I J g H H X Q X T T O 9 0 H q T q 9 v S Y N W K s c e 2 j 5 6 s G / V d s 1 q z a r V 5 D t 1 a h U d M l 3 K 0 k M C D I 9 G Y Y f Q t H P F d O u U n r w Y N 1 4 U b B i X b I j P V u p L Y p F Q S y A h N U t Y o c s i w 6 I 0 L p c D M M q 5 K s F g V o / I S W O Q Z j M d T z 0 h l S 2 S 2 Q m I y V 3 J W J M c t 8 I K T Z u 3 V k E d K T O q n F S l O e S n 5 Q P P e i i Z t C 7 T A 0 n F I 4 9 I Q f L z K v q t S H 4 f X K h W M O n L h p L 4 c f z O 5 D R p V Y C K q B f A I a y / 4 E n 3 A k K 2 g 1 H m v 2 w y W / a Z 3 6 F I p i L E M o m F t M V i L r 9 T f b W K 8 2 5 y 9 1 S P c a 5 s Y 7 W l J + b p i x H 7 4 c K P U O + H q g d 5 i x H T D e J Y G e g m p S X / m s A N e 1 j E z s A l A Q a h j A b u j S 6 t v E q D J N k U C o z t T 3 H R P 1 Y u + F Y J A h s W A y Y m + x M S Y S R E 3 q z L j 6 3 I l x N m 0 Y h L a U Y N y R t w Y Z 2 Q X Y O g 8 Y 1 d 2 D V W A g M + p l z f o E d 9 w D 3 v t P H Q R a + v L l K n S R q o v 3 z p x c t + u o y D r X k h t u 1 i 4 a B b P D q I E 1 T L i f 1 C 2 u l R W 8 y j y i K 5 y Z O 6 S W L / O Y h 7 k 1 U x k R 1 8 c X F h S V G 9 p i q w 7 q m l o 1 Z L J / E W y 7 m d j V / b + d B s H H U s j O v 6 j k W G K g S B o N 7 m K E j q k 2 e 3 V z u 1 d n 1 k 1 a B m R 4 2 n H m r O m M 4 B o w 5 3 v 0 D t L l U F D O x s / a y S / D d s f g / X 6 v e R N M e 8 I h N N v o N H / d T X p b L M V z F h X g O p g q 3 T l F b N d f Q b m s N v 4 2 W 5 0 H B Q o N U k 8 Z G e q j T + t V j C u s v n + j 9 l e L R m U Y B s l Y / d n O N 8 w s T u b O t 3 t N w w u p A P 1 r T i q u K R P x 7 G x j k e u t 9 o X 6 h 7 z g S A U G 3 I I R j 0 n a + Q H c e 2 n 6 9 Z X c c g K t o f E v l X A g O N 9 z S p P B q M M d C h a 5 i A L s h v 2 p e i O G 6 q f h I + r w b S u D L f f i F g H O w V b K n + R l u w H g n B R e J t b 9 C V 5 d N K + 1 3 X r K T F F q W i W p q 3 u d q 5 W O Q t G i / 1 X n 1 X T e y w s X R N T V o Z 2 T L 4 h o e N x 2 7 S o t U g + s d 9 J P U f k 8 2 M E U K v I R c B A Y d C A E D 0 O d b P h 9 B 7 e 0 r I B L V v L 1 N t x R a 9 F M t q X b Z Q U p s c a G z a X p d W 8 + x a n Q D T I C X w b / y C H 5 J U e 3 c g V b l x b 2 y j w c j i Y u y q 3 B + o J l B V g j S C 5 w w 1 u 1 R / V m U a s F N S U Z + b s j 4 k G X M a h K J M x 9 J Q b Z 9 Z k B + J 2 S W 9 5 H Q f d b 7 w O S n s b L 8 X D C Z G Q 7 q x K W V O k j r o y J l R 2 3 2 + R 4 P F n A h a g P U v k + L F G 6 Z n P R N U Y v D o Z K e c r w Z 9 2 P y l v 4 e 4 D 4 y d M T m A 6 o 3 M v u u l Y + D b W x U T q 6 7 O b N k 8 8 U 1 k u I a n H w b W s Q 7 z T d n + 7 P y p n H R J y F C C c y r t 1 1 J l c 5 4 p z u a O g M 6 Z T d S V C Y 1 W a T g Q x f x q D 6 u j L 3 u R L Y b y r w S m S A w 7 k U a d u Y b P W O j 6 w a + W l / b L o 6 W s h Z X 9 5 5 d F C Z m C N Q S 6 n 7 M H S V s m t k D H H G A 0 S u x 8 m r e u g 3 Q p 3 0 3 a Q + B O 1 F e R A B u q z p J X G r N U w K u L B N b E f r a 3 s m Z F o F t N 3 U f l 0 U W H r U e + u S l m J s R j d S I J Y J a y L 9 f B D o R W j Q h g S b 6 + h N w N T d i J 3 g M U B H A Y R z R R R p y E y u S V 3 z J F x C A S 0 s Z 5 K 8 h W / j E J z T A f z 2 1 w O b S R p B V M v X + w 7 4 + v c e k n S Z e p c k w h J P D l h G x z J P 5 M 7 R 6 I q Z i v k S Q T o x D B C g o N D S h Z y T L F J M k J 9 2 a z 7 h m z y 9 6 x S p N d U C X F B x N C H B 7 a Z a + / a D m S d h r L / B I z h j i 5 u r f u w a X p w X / 0 Z 8 E e t 3 7 t E 7 T b C C b 6 h + 9 y 1 p U v A R N x W V 4 g q i W x P a 2 / 0 l g J 4 A U J k s J U W r Y s J n t s j R p p P W l U M y P p O t f W + F o w F P 3 Q a E h Y S E M B K J K K v 5 0 M b S 8 I r F 0 i U 4 R 7 r + y 8 P 7 f f n U g 7 s J m o f I V E k v 8 9 x r m B q G 9 d v v a h r J 7 z c d 4 m c 0 o 2 q 6 m 3 D n N T q 8 o c D S U K e t K c M z l p 7 P m 4 5 j b 5 Z m J 7 F U C 7 t x E W t 6 x H F / D V k t p T U r s i W R g t 1 p 2 x u 5 V M + d B s H E o o 6 N 7 p V E 5 k T Z 1 3 2 G a O U W M p X v f 5 N d 1 n M + p 5 V 9 o K q L u Q m 1 y T h Z X 3 3 s 4 L / N g 0 n 8 R 2 9 u 2 p z J Z Q R 2 S t T s u D F N W q A C J G 2 V z v 5 H 5 C O r a S e m v 1 I U q l e j p T T x I n G o l v e W V P C o D A g X l C 5 K k k T b W Q 3 T y N J h b I 9 s f x X o l J 5 r W x z F B J T m m z S O D 1 e T Z J W + k S z x N M d M 9 s 4 n C v + l j H Q 3 9 / l Q D U / / s 8 z d K / S l / s f 2 0 N + Y i F u c Z A / t h S 9 9 u v P 7 J 6 9 d 1 n B 2 e E e T U c o Y m l W c l r U z s 8 E 0 F E 0 i l B n L L 8 l k x g R D J T f / s y s d P R + 2 X d l S j y H W D o Q / r E C w k b j U t u W 3 h 7 R 8 p 6 h j 0 7 i H D k 5 N s R L k d Q c E 8 / 1 u e s J E z 9 k T j t v P 3 i W M K z O J Z w f e Z g O q w / 1 b m y u n S s Z F K Q F J D u c K u x 0 j h X S w 8 F S j j k f f p e A M X x Y z 7 y c x s x P z M 6 H 9 m g N 7 R J I q Z W K / 3 Z U J W K s c C w 3 q h L q r 0 v B J D g P C K G v e 2 w w + k c j w Z J K x H x 8 j k c D X w 6 S G l u G S D L G J O M 9 2 a j 5 Y D h s T Y 8 + d z L l S n o a U 7 0 F + a c D n y 7 c l C y R p D m 9 l F 2 J 3 i c m j O p s P R B 4 z i T K f S P r 9 l o 0 Y t 7 h 1 q 1 S / m y 3 1 p O J l h + G l i l 3 J C p 2 3 l n X m W T M E s x V 1 n J D M N l T 2 q k s S y b 8 Y n 1 9 a J O z K q v T 3 A D E A J / G c S 4 E K S g A w F p u z Y V E F Y 2 m N b U n r R d L k i 9 R T l r V X P 2 6 w c S v s t v p L 2 J z V 9 P o / B Q f v j P 7 H H H 7 M v 9 9 A F w m b X G 2 H w v g G L f B x 5 M v R W y P x a p V f F I T v U k t I U k d h j P r N f r y W e Y S W M 1 7 c H R A 5 k E b Q f B J j E X d D r + g w a i 6 B t L t o J D N / 9 g Q g i 5 B J N y H Y N C S B r T k q x n m B N A t V Q u p h 3 7 N q T h b l 2 3 1 n b Y 7 J i m f s h J b t Q 6 t t 9 g 2 Q U B h 5 X 8 O v k P U n p k g t A I x h 1 X i 3 0 / t o E J e t R 5 K Y 3 E n n 7 s B p W z + u p A J k 3 L q q 0 g 3 R H 3 a h R S f w g J 6 s M 8 E w m q m L P k F x K 2 Z p 4 v C y 6 x / 9 y / / + N 2 I P + l U L 0 S y W e U K x D K w J T Q u U o 0 9 V F 7 Z v X g O 4 1 T O l 7 X 0 W z e s B e 9 v 1 I n p m v 5 C N y x g 3 E 2 R r f u e r Q L L Q k R q l K 7 5 j z 9 I K T 6 4 G i S b 1 d I U P 3 Y / n n r j y 5 l F U 2 k R Z q e R w a e n M G k 0 l H z v d l L i 2 U m u s r X K 0 v P W b j n E S x A K m 3 E + Q D q j f T X C 7 u Z j m Y D m U v p P u G E p t n H A V D 5 A s Z F R a / s Y l S w k h x w C g N U S F D W M 2 F q R D I d / 0 X a 4 E w D M 5 G g J L O e Y x J d 7 z 9 A D 5 o F O 2 5 W 5 f O R T x h q H O T f l D Q m s n z y Y i C m s g D I m w i s X l w g 0 A 5 9 J L z O R K i f L 8 c 8 y 6 4 m o v j 8 U n 7 b j j t e f a o U L 4 s 2 i y t v t N N V o m v H U d E t h 2 p 5 p L 6 5 o b P V Y 4 P Z k c 6 V f y w P g c 2 N z k Y 5 O x 2 w 0 Z G z w s c R g 0 Q G A 7 F + 3 9 j y U y K 1 j k A J 7 A D o 2 Y 0 0 X M r M C d g v 7 k w O / g v f C L I 3 O / H X S x 2 z + K 2 E 4 u F m w + j c Q 8 1 z m Q L s U Q H z o Z F Y L E e g 4 W I c 2 r c X S 0 m t x C 5 m s t t L z G s I w A I g P h k a r D + t 2 4 v L A 3 v e P b S X 3 Q P r z + S D 4 d j r H o A N G 3 0 u j f G i b 5 K i N 4 N n k 9 C Q 5 d z C 9 m t l C 6 S R a q U 9 a S Z p X f 3 N V g M b F 8 8 t K c v + l y a K p 7 p P i N B Q 4 f o H o D A x M Y H R T q Q l E Q U T J p 2 Y Q v n j e R r i / h y I h 1 0 P w n 1 p 5 L 3 1 N + 8 T 5 1 y O H 0 m 7 v 6 v l M I u X 6 z H 7 a E D B r a n N L V D J 9 C P i J / f h k y A A H g 9 l B k n b k C k x G P e t F E i z S G P h s w z D r o N l G J 3 5 N s g c S O 1 N I t W H J x K O f X 6 D 1 a j p m h 6 A N Z 6 O 7 K Q 3 s h c X c 0 n x o o 2 i f d u r P / I J W X w o w D S R i d A d P 9 R r y 6 Z R W d K t J m n W l j a r 6 J w 0 l N 0 P B / a 7 s 6 U 9 k z b Y F U w Q f k J R G j G h 7 t K Q R C D J d K 8 G T W k + g W I 5 s U V e d W 6 o z t I 8 z J v N + 3 P f 6 R Z T 3 Y l Y y 0 z 1 m C X e J 2 h m J D U b 8 3 y n + r C 3 y O d C q 1 V B 4 / h I / b A 9 w D b V G I 5 m 1 w M O + n h A i T I t x Y w 2 f g H 7 j D P j / G O S R x 8 F p p x c O 6 J e w 8 l Q z D W x S l A S q I r S W P p e g G O y L / M n r i O 0 C K l A c D t m H k s 9 M B e D c u D P e C V j p F q b e x p W N g G M 1 k G 2 T y N S i t 4 N h c / m J X v V 7 Q h c T T s f t + 1 3 J x 1 7 1 W c J + v q E O 9 A k z t v X Y v z L W d c I P B M m r l e b q t O e 8 Z T D 7 B l V T D y T X 8 e B + Q u w w p P I L Y t i p e j L w X N B G n i 4 l M n J k w 3 / k v 2 m D 6 W 5 T P P x N V p q O N u / 1 m z M 6 K O D E l c J k 4 I U D j R V q b U O v c J Z 3 E U H T E x 4 2 R / c L M 3 G c g z A x 8 C 6 7 h T h R P v s e I T z n l 4 K s 4 n v p R 1 k 5 z b S J F k v j 7 Q S H X k B 2 p c w q 2 y f 5 d a 5 O N c L m U S D w d B e v P r O l r K P m x 0 m O 2 W O c a 6 U K a 7 R m w M z S H 6 g 1 / k K L V X H R p 6 l G X L 4 q + l a K N d 8 D s b E R v M L a Y d 0 s V 9 K S P y 5 r 9 3 6 + o x 1 W W / L p I 9 Y r 4 V z k y N U n H 9 3 r m h X c v N N 9 6 H k o D S z J / v P 5 I A X b L + a a s m U 8 j J l 1 D a 9 Y 0 J e y l X v E z F O Y p H G i S 3 d o M k s t J A M g 6 B h z 7 p F e y 0 N d R d t + V O i U j G y p / u / k 6 / 7 r n p + 3 v 2 1 B G R z / W k 7 f e + A A h P / + D J n T T H M f m V p J / I L G D K k H c c k K d h E j j m y k I e 0 V W W K Y Z 9 M 5 F M 0 J E y b F Z 3 H Y I c r 6 8 Y y U / B F d B 0 Z H J R N N O V X l V C O u F h J 4 A S U R T n l R K g A a 6 V T T h m N m + q Y T q b 2 8 s V L N 9 P 2 D j o s 1 H K / i B w y 3 0 Q l 5 W u 4 0 3 c S Q m d n g E I b + Q a T I k B T K 7 a t s u p 4 9 g X 5 f d l 5 z F U M Z D Z 2 x M j 4 L 5 t E n f / v Z + x z u P 5 i g 6 j n N v D e n c g y 4 G H U K 3 u 8 1 7 U v O n U r 5 R r 2 e r S U p k H i r t u j F 6 a b e I 1 p t 7 5 j L R t j c T G M d b 1 8 r D y b n j B p + 3 3 U 6 y + T C E q 0 q l 3 1 z Y X 6 d S b + I 6 k 6 J z P 4 S 4 / y 3 U S 5 w b B P V s d O 5 B J L / U x X 8 5 b P H D A N g 0 Q 5 f P 5 P L / K 6 u T 7 r O y J F 3 z d x r w f 1 l a S x X o U R m I Q A Y y p 9 3 x J Z 1 f 3 + w M 7 O z n y u h c f Y s O M O m / f 3 w l f y g 9 i 4 P 6 0 g g F n N / a 1 r K 2 8 n Z a L t x P T M G 7 H 5 f p B v W y P Q U W 0 7 S C F / K n s S + + 5 B V 4 n + + J e z R P 6 R 2 F b v / x x E l k Q z Y G l H W Y w w k G Q t W H / a k Y N d 0 z 0 3 e + R 6 Y p 6 M 4 I V P r m b R y 8 + Q c r m V l Q u k J D F e R H I J L J H z K S H j f X l z f + b + 8 d t B s l e X h B N v k H D J c d 0 l M 2 n A k a Q d v w M U w o Z o D g 5 y y 3 i q I C H h 3 i R n 3 5 z / + U 0 G g M V 9 q 6 X 0 8 S J f 7 E u L b F h P J E m + f v n a R u O R 7 e 3 t 2 d H x k f w e g g G J H M y B 7 / B K h r a b q W I m 6 i s r z s F D Y A W 3 S o r T i e 9 R J n l p 1 3 K + Y Y 8 P v x K Q U y 2 F x q u V e K 7 t d m c 2 l O b 8 D 8 8 S D 8 3 e 0 6 d N 5 H M + 6 v x J v F 6 X S d x w I U W w Y s E j S v V 6 G + X + j / 9 r m J D o 6 v l N O l j K w Y Q V u V F Z O B 6 Q A S Z i 7 Y R R H U R i s E 2 n F Z B x X l m A Y j d T z v 8 h C W 3 4 q J P Y E x 3 Z s 3 u Y M 7 o 4 v / S n b h B I O D g 8 s E 4 7 1 S y E x 8 8 m f 1 I b 0 o q m 4 B f U s l e B i j 3 1 H G D 4 W m C B R o p q p Z Y 9 P v i F m 3 1 8 R 8 i 9 H R x f C y j o 9 2 d T + 8 N 5 5 t f c 0 6 d K B W m k / c a J 7 d X O x M d 5 + c H M X x U k F G s y k 5 m 3 J G W s K o F c 9 + + v 0 j t L 4 G F C N B X A Q v K / B V T i A G G C k c x z B P i n S G g s l u T / 4 o g c r V T r s N k l W z K f n c r H 2 e v Y 8 Z G 0 V F C R o 3 7 u y 8 k B z z Z y r U U E k O C F T E H 2 1 + M G a C w i e Y 8 6 v / T U J B J N 8 Z / I w W M S + D r 6 + n x o 3 5 x l A Y t 7 + p Q J E / q o / V I u x V B j m k Z r 0 U 4 A D M A B s t 7 k g Q 2 m B + k F G 3 T j n h I U x I 8 A L Z X c f x m E b / X X D 9 K n L 9 K C 8 W h s z 5 5 9 5 9 k R a K l 6 v e q T u e z U g 8 l 3 L e l y f C y A R f u z q G A 5 K N t x 8 6 k / X J k n F D K J W y t 3 1 F / 0 2 P s E O P / D d 1 O 7 H N / s 0 N 7 T p 0 P F w t w q 8 q W C M r v N s g a L 1 d P 4 V E s J V F L + e Q z U o / X Z b + l G 7 z P D 0 F 8 S m C D S d v 7 5 J F 0 o i Y 9 D 4 i f b i / F I G / a O Y O + 4 V u X A t Q o 5 d t e S 8 O F h d J Z c L H P G x i i c j p k 4 n F + q k 0 l 8 x f 8 M r g U T N A i l x W b p f N A 9 / W X Q Q r 7 T Z N 5 0 T d S f H o u n W j L z m j Y O O z 5 R 3 5 0 c r 8 9 8 l 3 6 y 4 R x S Z w b i d + a X m c i s N W o y / 0 L f f / v 1 8 B s P S G C i E U z Y h f I y + X j M C x n n + G M A k j 0 f m n o t X b O G C W I / v m 8 v C 9 J 0 P 9 m u / k k T 2 u l q p J T v t v l P 0 E 9 2 l P H z S J / 5 0 1 l i o / H c x s O x t d t k g Q M y M h / G A t W 3 k k K 9 9 R X b S C p e o P M 9 + N R / 0 2 h s D 1 t f 2 X 7 t i f F 4 m F Q r X a + Z 5 s t Y v l N o 5 y P m d e 7 p c 6 C f t N g k g P L N 6 c p + + y K 2 l 5 e h 5 d m + u B q s f 7 2 Z y P 4 m m r c X P L J y T p q J O a h S w z d H Y S t l f r + J W O V 6 O l x 4 S t F i d a + d P h f 6 y Y 8 0 6 r k b l u 1 y d W z n U U O + 5 P W h 7 Y z Q P G w m u V d 9 5 C Z h 2 R r W K B x a p 3 n o P t l N / l J G w 2 h h L / p F C + O N i b F 7 + s n T T x 5 Q L P o r V + t W r u 1 Z b 9 6 w r 8 8 q v u v R T R k E b p 7 p 5 5 w V j A y K o j R U o 7 p n P P u V H L 7 b 0 o W m 8 5 W 9 6 O X k w N 5 P 5 H 5 u 9 F n Y I r 6 V V K k s 7 V S w 8 3 H J L o a P H V T X + T / g h c f o k 8 v H X J a n G C V M + j J p T c o E J 2 0 / 2 I f g Z E R S b P H e 1 P s M 6 b M c c e Y U 4 v i p H T V + Y V X 5 S e + T k C F U k a J E y J 2 D J R 7 s S M o r B 1 k Y i 0 W a t r R J k / n c X v b x o e 7 B 9 D n S Z z n q Q G A q 3 y Z e t g S o x n t z U S y y 4 9 E k s 7 j v 2 o n l G u y 7 g L Y C T C z k A 1 x s M s / n D F T x M r Z v z i Y y 9 a 4 P o 9 / T T 5 s + W z F K m h K a a J s / B M B 4 J E u j c u h m H 6 D i l S d X s D E k O y B B A A x w O d B 0 f H v J o 0 H 3 / b d 7 + j z p s w Q U G P L M + D x A Y D H U u 8 R m k 5 1 a u h N R R o C K P f 1 Y C 8 X 2 X H W 2 3 i q V U l A t E n v Z M 3 t 2 W f W o 4 j 1 9 v v R Z j j 4 W 2 s X Y 7 I 8 X M x t H Q z f x N g k g s d f D J q H J A B X + V P o 0 P K J 9 m H k r e 9 5 N 7 P d n B b 2 / e W 7 q n n 7 6 9 N m K U 5 a e s D 3 W K H q / C 9 g / o j 8 7 t c X q / U 0 P f R 5 K 9 i J P u x h E f X v R m 9 u z i 5 X A 9 G 5 w 4 p 4 + T / q s 7 Z P 5 M r B w X r O r y 7 0 9 K B E P / B G P V z U V N F 9 E d j G 9 t O 5 s q t e 8 R b 7 w 7 H 1 f 7 J 4 + P / p s A c V C s U p x t t 6 L 4 X 3 t w p L w c d R L d z v a o N 7 s 3 L 7 r n d t J v 2 x n o y c C U 0 e m 4 P 0 E 7 j 2 l 9 N k C i k V k e / V T X 0 R 2 H c X L 0 G b R Q O Z h u m Y K M / D 3 p 3 n 7 9 u K h D W b p M 6 b Y C f Z e O 9 1 T R p 8 l o A o C U 6 v a s 1 q Z J 8 e z H L 7 m 6 1 0 w A Z e e l v 8 W I O O 4 L 7 P u h Z 2 O / y S N d G b 9 y b 5 M Q p Z G 7 5 Z k e 0 + f F 3 3 0 U + D / M o l F g Z E V i 7 H F i 7 L A Q c I s I E p k B k Z 2 1 H x h Q W V s B b Y 4 2 y A 0 0 r O L v z G e 5 H A f H r + n b f S Z c k X O t R G b F r I / w F u N x K N Q A 3 s 9 + L k N p k e u i T a J X U X x v T 7 n P e v u 6 W a 6 F 7 N b a L k q 2 i j s O L g 2 C a 2 G z 3 V T p v o 9 f d 5 0 D 6 h r i C 2 j r u 4 S G p Q n 7 n / d 0 z 1 d R / e A u o Y I V k Q x z 3 h 6 m / 2 w k O a a + L K P e 7 q n 7 X Q P q G s p J w C x W + j b F b e j 6 Y G x L e 8 9 3 d N 1 d A + o G y i K a 2 7 2 4 T O h q S 6 n 2 x 8 o f U / 3 l N E 9 o K 5 Q P r e 0 v f q 5 1 S s j n 5 P y + a l F Y N 0 t T 6 6 7 p 3 u 6 S v e A u k L 1 Y G i H z Z d 2 0 H j l j z I Z R 2 0 7 G 3 1 h / e m h f r 2 P 7 t 3 T z X Q P q H c o s U a l L 9 g w 1 5 2 z U j 7 2 u a i p t N R 1 G x v e 0 z 1 t 0 j 2 g r h C P 7 7 w c P b Z z H W z F e 0 / 3 d B e 6 B 9 Q 7 l L P + 5 M h 6 0 6 N 1 M O K + e + 7 p b n T P M V c I 0 + 4 + T + + e P p Q + W 8 5 h + T q P M L 0 P M 9 z T 9 0 d m / z 8 z N B p J H p H K y A A A A A B J R U 5 E r k J g g g = = < / I m a g e > < / F r a m e > < L a y e r s C o n t e n t > & l t ; ? x m l   v e r s i o n = " 1 . 0 "   e n c o d i n g = " u t f - 1 6 " ? & g t ; & l t ; S e r i a l i z e d L a y e r M a n a g e r   x m l n s : x s i = " h t t p : / / w w w . w 3 . o r g / 2 0 0 1 / X M L S c h e m a - i n s t a n c e "   x m l n s : x s d = " h t t p : / / w w w . w 3 . o r g / 2 0 0 1 / X M L S c h e m a "   P l a y F r o m I s N u l l = " t r u e "   P l a y F r o m T i c k s = " 0 "   P l a y T o I s N u l l = " t r u e "   P l a y T o T i c k s = " 0 "   D a t a S c a l e = " N a N "   D i m n S c a l e = " N a N "   x m l n s = " h t t p : / / m i c r o s o f t . d a t a . v i s u a l i z a t i o n . g e o 3 d / 1 . 0 " & g t ; & l t ; L a y e r D e f i n i t i o n s & g t ; & l t ; L a y e r D e f i n i t i o n   N a m e = " C a p a   1 "   G u i d = " 4 c 8 7 a 6 e 0 - 3 4 d c - 4 a f 6 - a 0 3 1 - 9 c 3 f 6 2 8 2 b 5 3 a "   R e v = " 3 "   R e v G u i d = " 2 2 d 2 b 9 b b - c d 4 8 - 4 d c 0 - b f 7 d - f 3 4 3 4 7 9 1 9 9 9 9 "   V i s i b l e = " t r u e "   I n s t O n l y = " f a l s e "   G e o D a t a G u i d = " b a c 5 3 9 d 1 - f 4 3 0 - 4 3 e 6 - b 3 b 7 - 5 9 c 4 5 3 9 7 8 3 9 1 " & g t ; & l t ; G e o V i s   V i s i b l e = " t r u e "   L a y e r C o l o r S e t = " t r u e "   R e g i o n S h a d i n g M o d e S e t = " f a l s e "   R e g i o n S h a d i n g M o d e = " G l o b a l "   V i s u a l T y p e = " P o i n t M a r k e r C h a r t "   N u l l s = " f a l s e "   Z e r o s = " t r u e "   N e g a t i v e s = " t r u e "   V i s u a l S h a p e = " I n v e r t e d P y r a m i d "   L a y e r S h a p e S e t = " f a l s e "   L a y e r S h a p e = " I n v e r t e d P y r a m i d "   H i d d e n M e a s u r e = " f a l s e " & g t ; & l t ; L o c k e d V i e w S c a l e s & g t ; & l t ; L o c k e d V i e w S c a l e & g t ; N a N & l t ; / L o c k e d V i e w S c a l e & g t ; & l t ; L o c k e d V i e w S c a l e & g t ; N a N & l t ; / L o c k e d V i e w S c a l e & g t ; & l t ; L o c k e d V i e w S c a l e & g t ; N a N & l t ; / L o c k e d V i e w S c a l e & g t ; & l t ; L o c k e d V i e w S c a l e & g t ; N a N & l t ; / L o c k e d V i e w S c a l e & g t ; & l t ; / L o c k e d V i e w S c a l e s & g t ; & l t ; L a y e r C o l o r & g t ; & l t ; R & g t ; 1 & l t ; / R & g t ; & l t ; G & g t ; 1 & l t ; / G & g t ; & l t ; B & g t ; 0 . 4 & l t ; / B & g t ; & l t ; A & g t ; 1 & l t ; / A & g t ; & l t ; / L a y e r C o l o r & g t ; & l t ; C o l o r I n d i c e s & g t ; & l t ; C o l o r I n d e x & g t ; 0 & l t ; / C o l o r I n d e x & g t ; & l t ; / C o l o r I n d i c e s & g t ; & l t ; G e o F i e l d W e l l D e f i n i t i o n   A c c u m u l a t e = " f a l s e "   D e c a y = " N o n e "   D e c a y T i m e I s N u l l = " t r u e "   D e c a y T i m e T i c k s = " 0 "   V M T i m e A c c u m u l a t e = " f a l s e "   V M T i m e P e r s i s t = " f a l s e "   U s e r N o t M a p B y = " t r u e "   S e l T i m e S t g = " N o n e "   C h o o s i n g G e o F i e l d s = " t r u e " & g t ; & l t ; G e o E n t i t y   N a m e = " U n u s e d "   V i s i b l e = " f a l s e " & g t ; & l t ; G e o C o l u m n s   / & g t ; & l t ; / G e o E n t i t y & g t ; & l t ; M e a s u r e s   / & g t ; & l t ; M e a s u r e A F s   / & g t ; & l t ; C o l o r A F & g t ; N o n e & l t ; / C o l o r A F & g t ; & l t ; C h o s e n F i e l d s & g t ; & l t ; C h o s e n F i e l d   N a m e = " P r o v i n c i a "   V i s i b l e = " t r u e "   D a t a T y p e = " S t r i n g "   M o d e l Q u e r y N a m e = " ' R a n g o ' [ P r o v i n c i a ] " & g t ; & l t ; T a b l e   M o d e l N a m e = " R a n g o "   N a m e I n S o u r c e = " R a n g o "   V i s i b l e = " t r u e "   L a s t R e f r e s h = " 0 0 0 1 - 0 1 - 0 1 T 0 0 : 0 0 : 0 0 "   / & g t ; & l t ; / C h o s e n F i e l d & g t ; & l t ; C h o s e n F i e l d   N a m e = " A F P   P o p u l a r "   V i s i b l e = " t r u e "   D a t a T y p e = " L o n g "   M o d e l Q u e r y N a m e = " ' R a n g o ' [ A F P   P o p u l a r ] " & g t ; & l t ; T a b l e   M o d e l N a m e = " R a n g o "   N a m e I n S o u r c e = " R a n g o "   V i s i b l e = " t r u e "   L a s t R e f r e s h = " 0 0 0 1 - 0 1 - 0 1 T 0 0 : 0 0 : 0 0 "   / & g t ; & l t ; / C h o s e n F i e l d & g t ; & l t ; C h o s e n F i e l d   N a m e = " R e s e r v a s "   V i s i b l e = " t r u e "   D a t a T y p e = " L o n g "   M o d e l Q u e r y N a m e = " ' R a n g o ' [ R e s e r v a s ] " & g t ; & l t ; T a b l e   M o d e l N a m e = " R a n g o "   N a m e I n S o u r c e = " R a n g o "   V i s i b l e = " t r u e "   L a s t R e f r e s h = " 0 0 0 1 - 0 1 - 0 1 T 0 0 : 0 0 : 0 0 "   / & g t ; & l t ; / C h o s e n F i e l d & g t ; & l t ; C h o s e n F i e l d   N a m e = " R o m a n a "   V i s i b l e = " t r u e "   D a t a T y p e = " D o u b l e "   M o d e l Q u e r y N a m e = " ' R a n g o ' [ R o m a n a ] " & g t ; & l t ; T a b l e   M o d e l N a m e = " R a n g o "   N a m e I n S o u r c e = " R a n g o "   V i s i b l e = " t r u e "   L a s t R e f r e s h = " 0 0 0 1 - 0 1 - 0 1 T 0 0 : 0 0 : 0 0 "   / & g t ; & l t ; / C h o s e n F i e l d & g t ; & l t ; C h o s e n F i e l d   N a m e = " S c o t i a   C r e c e r "   V i s i b l e = " t r u e "   D a t a T y p e = " L o n g "   M o d e l Q u e r y N a m e = " ' R a n g o ' [ S c o t i a   C r e c e r ] " & g t ; & l t ; T a b l e   M o d e l N a m e = " R a n g o "   N a m e I n S o u r c e = " R a n g o "   V i s i b l e = " t r u e "   L a s t R e f r e s h = " 0 0 0 1 - 0 1 - 0 1 T 0 0 : 0 0 : 0 0 "   / & g t ; & l t ; / C h o s e n F i e l d & g t ; & l t ; C h o s e n F i e l d   N a m e = " S i e m b r a "   V i s i b l e = " t r u e "   D a t a T y p e = " L o n g "   M o d e l Q u e r y N a m e = " ' R a n g o ' [ S i e m b r a ] " & g t ; & l t ; T a b l e   M o d e l N a m e = " R a n g o "   N a m e I n S o u r c e = " R a n g o "   V i s i b l e = " t r u e "   L a s t R e f r e s h = " 0 0 0 1 - 0 1 - 0 1 T 0 0 : 0 0 : 0 0 "   / & g t ; & l t ; / C h o s e n F i e l d & g t ; & l t ; / C h o s e n F i e l d s & g t ; & l t ; C h u n k B y & g t ; N o n e & l t ; / C h u n k B y & g t ; & l t ; C h o s e n G e o M a p p i n g s & g t ; & l t ; G e o M a p p i n g T y p e & g t ; S t a t e & l t ; / G e o M a p p i n g T y p e & g t ; & l t ; G e o M a p p i n g T y p e & g t ; N o n e & l t ; / G e o M a p p i n g T y p e & g t ; & l t ; G e o M a p p i n g T y p e & g t ; N o n e & l t ; / G e o M a p p i n g T y p e & g t ; & l t ; G e o M a p p i n g T y p e & g t ; N o n e & l t ; / G e o M a p p i n g T y p e & g t ; & l t ; G e o M a p p i n g T y p e & g t ; N o n e & l t ; / G e o M a p p i n g T y p e & g t ; & l t ; G e o M a p p i n g T y p e & g t ; N o n e & l t ; / G e o M a p p i n g T y p e & g t ; & l t ; / C h o s e n G e o M a p p i n g s & g t ; & l t ; / G e o F i e l d W e l l D e f i n i t i o n & g t ; & l t ; P r o p e r t i e s   / & g t ; & l t ; C h a r t V i s u a l i z a t i o n s   / & g t ; & l t ; O p a c i t y F a c t o r s & g t ; & l t ; O p a c i t y F a c t o r & g t ; 1 & l t ; / O p a c i t y F a c t o r & g t ; & l t ; O p a c i t y F a c t o r & g t ; 1 & l t ; / O p a c i t y F a c t o r & g t ; & l t ; O p a c i t y F a c t o r & g t ; 1 & l t ; / O p a c i t y F a c t o r & g t ; & l t ; O p a c i t y F a c t o r & g t ; 1 & l t ; / O p a c i t y F a c t o r & g t ; & l t ; / O p a c i t y F a c t o r s & g t ; & l t ; D a t a S c a l e s & g t ; & l t ; D a t a S c a l e & g t ; 1 & l t ; / D a t a S c a l e & g t ; & l t ; D a t a S c a l e & g t ; 1 & l t ; / D a t a S c a l e & g t ; & l t ; D a t a S c a l e & g t ; 1 & l t ; / D a t a S c a l e & g t ; & l t ; D a t a S c a l e & g t ; 1 & l t ; / D a t a S c a l e & g t ; & l t ; / D a t a S c a l e s & g t ; & l t ; D i m n S c a l e s & g t ; & l t ; D i m n S c a l e & g t ; 0 . 3 7 4 9 9 9 9 9 9 9 9 9 9 9 9 9 4 & l t ; / D i m n S c a l e & g t ; & l t ; D i m n S c a l e & g t ; 1 & l t ; / D i m n S c a l e & g t ; & l t ; D i m n S c a l e & g t ; 1 & l t ; / D i m n S c a l e & g t ; & l t ; D i m n S c a l e & g t ; 1 & l t ; / D i m n S c a l e & g t ; & l t ; / D i m n S c a l e s & g t ; & l t ; / G e o V i s & g t ; & l t ; / L a y e r D e f i n i t i o n & g t ; & l t ; / L a y e r D e f i n i t i o n s & g t ; & l t ; D e c o r a t o r s   / & g t ; & l t ; / S e r i a l i z e d L a y e r M a n a g e r & g t ; < / L a y e r s C o n t e n t > < / S c e n e > < / S c e n e s > < / T o u r > 
</file>

<file path=customXml/itemProps1.xml><?xml version="1.0" encoding="utf-8"?>
<ds:datastoreItem xmlns:ds="http://schemas.openxmlformats.org/officeDocument/2006/customXml" ds:itemID="{12C0D08D-E686-4AE7-BFA1-EB4C274009BD}">
  <ds:schemaRefs>
    <ds:schemaRef ds:uri="http://www.w3.org/2001/XMLSchema"/>
    <ds:schemaRef ds:uri="http://microsoft.data.visualization.Client.Excel.LState/1.0"/>
  </ds:schemaRefs>
</ds:datastoreItem>
</file>

<file path=customXml/itemProps2.xml><?xml version="1.0" encoding="utf-8"?>
<ds:datastoreItem xmlns:ds="http://schemas.openxmlformats.org/officeDocument/2006/customXml" ds:itemID="{32B16BF3-E4EA-4FDA-A6A8-FD37396AA2F9}">
  <ds:schemaRefs>
    <ds:schemaRef ds:uri="http://www.w3.org/2001/XMLSchema"/>
    <ds:schemaRef ds:uri="http://microsoft.data.visualization.Client.Excel/1.0"/>
  </ds:schemaRefs>
</ds:datastoreItem>
</file>

<file path=customXml/itemProps3.xml><?xml version="1.0" encoding="utf-8"?>
<ds:datastoreItem xmlns:ds="http://schemas.openxmlformats.org/officeDocument/2006/customXml" ds:itemID="{1FFC9235-044D-4B0A-8C9F-81DBB93CDED0}">
  <ds:schemaRefs>
    <ds:schemaRef ds:uri="http://www.w3.org/2001/XMLSchema"/>
    <ds:schemaRef ds:uri="http://microsoft.data.visualization.engine.tours/1.0"/>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159</vt:i4>
      </vt:variant>
      <vt:variant>
        <vt:lpstr>Rangos con nombre</vt:lpstr>
      </vt:variant>
      <vt:variant>
        <vt:i4>159</vt:i4>
      </vt:variant>
    </vt:vector>
  </HeadingPairs>
  <TitlesOfParts>
    <vt:vector size="318" baseType="lpstr">
      <vt:lpstr>Present. </vt:lpstr>
      <vt:lpstr>Contenido</vt:lpstr>
      <vt:lpstr>I.1. Ley 87-01 (2)</vt:lpstr>
      <vt:lpstr>I.2. Org. SDSS</vt:lpstr>
      <vt:lpstr>I.3. Reg. y Seg.</vt:lpstr>
      <vt:lpstr>I.4. Seg. y Ben.</vt:lpstr>
      <vt:lpstr>II.SDSS</vt:lpstr>
      <vt:lpstr>II.1. SDSS.Definición</vt:lpstr>
      <vt:lpstr>II.2.Analisis SDSS</vt:lpstr>
      <vt:lpstr>II.3. Empl x sector </vt:lpstr>
      <vt:lpstr> II.4.Empr x No. de empl</vt:lpstr>
      <vt:lpstr>II.5 Salario prom.</vt:lpstr>
      <vt:lpstr>II.6.Empl xsexoy edad</vt:lpstr>
      <vt:lpstr>III.1.SFS</vt:lpstr>
      <vt:lpstr>III.1.1a. Def. Afil. SFS1</vt:lpstr>
      <vt:lpstr>III.1.1b.Def. de Afili. SFS2  </vt:lpstr>
      <vt:lpstr>III.1.2.Analisis SFS</vt:lpstr>
      <vt:lpstr>III.1.3.Afil.SFSPob.Nac.</vt:lpstr>
      <vt:lpstr>III.1.4.Afil. SFS</vt:lpstr>
      <vt:lpstr>III.1.5.Cob.Afil. SFS </vt:lpstr>
      <vt:lpstr>III.1.6.Afil. SFS x sexo</vt:lpstr>
      <vt:lpstr>III.1.7.Proy. afil.Vs pobl.</vt:lpstr>
      <vt:lpstr>III.2. SFS.RC</vt:lpstr>
      <vt:lpstr>III.2.1.Afil. SFS.RC </vt:lpstr>
      <vt:lpstr>III.2.2. Afil. SFS RC Anual </vt:lpstr>
      <vt:lpstr>III.2.3. Afil. SFS RC Mensual</vt:lpstr>
      <vt:lpstr>III.2.4.Cob.Afil. SFS RC Anual</vt:lpstr>
      <vt:lpstr> III.2.5.Cob.Afil.SFSRC Mens</vt:lpstr>
      <vt:lpstr>III.2.6.Afil. SFS RC X sex.tipo</vt:lpstr>
      <vt:lpstr>III.3.SFS.RS</vt:lpstr>
      <vt:lpstr>III.3.1.Analis.Afil. SFS.RS1  </vt:lpstr>
      <vt:lpstr>III.3.2. Afil anual SFS RS </vt:lpstr>
      <vt:lpstr> III.3.3.Afil.mensual SFS RS </vt:lpstr>
      <vt:lpstr>III.3.4.Cob.Afil anual SFS RS</vt:lpstr>
      <vt:lpstr>III.3.5.Cob.Afil.mens.SFS RS </vt:lpstr>
      <vt:lpstr>III.3.6.Afil.SFSRSsex tipo </vt:lpstr>
      <vt:lpstr>III.3.7. Afil. SFS RS Vs pob.</vt:lpstr>
      <vt:lpstr>III.4.Afil.RET</vt:lpstr>
      <vt:lpstr>III.4.1.Afil.RET1</vt:lpstr>
      <vt:lpstr> III.4.2.Afil. SFSP Anual.</vt:lpstr>
      <vt:lpstr> III.4.3.Afil. SFSP Mensual</vt:lpstr>
      <vt:lpstr> III.4.4.Cob.Afil. SFSP Mensual</vt:lpstr>
      <vt:lpstr>III.5.SVDS</vt:lpstr>
      <vt:lpstr>III.5.1.Definición Afil. SVDS</vt:lpstr>
      <vt:lpstr>III.5.2.Analisis Afil. SVDS</vt:lpstr>
      <vt:lpstr>III.5.3.Afil. SVDS</vt:lpstr>
      <vt:lpstr>III.5.4.Afil. SVDS mensual</vt:lpstr>
      <vt:lpstr>III.5.5.Afil. cotiz.</vt:lpstr>
      <vt:lpstr>III.5.6.Cotiz. x rango de edad</vt:lpstr>
      <vt:lpstr>III.5.7.Cotiz x sal. min. cot.</vt:lpstr>
      <vt:lpstr>III.5.8.Cotiz.x AFP y fondos</vt:lpstr>
      <vt:lpstr>III.5.9.PEA_Pensiones_Género</vt:lpstr>
      <vt:lpstr>III.5.10.Cot.Afil X Sexo</vt:lpstr>
      <vt:lpstr>III.5.11.Traspasos anual</vt:lpstr>
      <vt:lpstr>III.5.12.Trasp. recibidos</vt:lpstr>
      <vt:lpstr>III.5.13.Trasp. cedidos</vt:lpstr>
      <vt:lpstr>III.5.14.Trasp. netos</vt:lpstr>
      <vt:lpstr>III.5.15.Afil. SVDSxprov.</vt:lpstr>
      <vt:lpstr>III.6.SRL</vt:lpstr>
      <vt:lpstr>III.6.1.Definición Afil. SRL</vt:lpstr>
      <vt:lpstr>III.6.2.Afil. SRL.RC1 </vt:lpstr>
      <vt:lpstr>III.6.3.Afil. SRL</vt:lpstr>
      <vt:lpstr>III.6.4.Afil. SRL x sexoy edad</vt:lpstr>
      <vt:lpstr>III.6.5.Afil. ARL x riesgo</vt:lpstr>
      <vt:lpstr>III.6.6.ID. Accidentabilidad</vt:lpstr>
      <vt:lpstr>IV. ING._ EGR</vt:lpstr>
      <vt:lpstr>IV.1a.Definición Ing.Gastos)</vt:lpstr>
      <vt:lpstr>IV.1b.Definición Ing.Gastos</vt:lpstr>
      <vt:lpstr>IV.1.2. Analisis Ing.Egr</vt:lpstr>
      <vt:lpstr>IV.1.3. Ingr y egr SDSS</vt:lpstr>
      <vt:lpstr>IV.1.4. Recaudo x sector</vt:lpstr>
      <vt:lpstr>IV.1.5 Rec. x origen</vt:lpstr>
      <vt:lpstr>IV.1.6 Aport.Gob.SS</vt:lpstr>
      <vt:lpstr>IV.2.1 AnálisisIng.Egr.Seg</vt:lpstr>
      <vt:lpstr>IV.2.2. Pagos SFS A</vt:lpstr>
      <vt:lpstr>IV.2.3.Pagos_SFS M</vt:lpstr>
      <vt:lpstr>IV.2.4.Pagos x ARS</vt:lpstr>
      <vt:lpstr>IV.2.5.Pagos x ARS</vt:lpstr>
      <vt:lpstr>IV.2.6.INV_SFS x Entidad</vt:lpstr>
      <vt:lpstr>IV.2.7.INV_SFS x cuentas</vt:lpstr>
      <vt:lpstr>IV.2.8.Aport. GOB. y Pagos RS</vt:lpstr>
      <vt:lpstr>IV.2.9.Saldos RS mensual</vt:lpstr>
      <vt:lpstr>IV.2.10 Pagos.SFS Pens.</vt:lpstr>
      <vt:lpstr>IV.2.11.Pagos.SFS Pens.Mens.</vt:lpstr>
      <vt:lpstr>IV.3.1.AnálisisIng.Eg.SVDS</vt:lpstr>
      <vt:lpstr>IV.3.2.Pagos_ SVDS</vt:lpstr>
      <vt:lpstr>IV.3.3.Pagos anuales x cuentas</vt:lpstr>
      <vt:lpstr>IV.3.4.Pago Entidades</vt:lpstr>
      <vt:lpstr>IV.3.5.Patrim. fp anual</vt:lpstr>
      <vt:lpstr>IV.3.6.Cartera de inv fp</vt:lpstr>
      <vt:lpstr>IV.3.7. Comp. Cartera</vt:lpstr>
      <vt:lpstr>IV.3.8. Rent. nom. de los FP</vt:lpstr>
      <vt:lpstr>IV.3.9.Rentab.Real</vt:lpstr>
      <vt:lpstr>IV.4.1. Analisis </vt:lpstr>
      <vt:lpstr>IV.4.2.Pagos ARL A</vt:lpstr>
      <vt:lpstr>IV.4.3.Pagos_ARL M</vt:lpstr>
      <vt:lpstr>V.BENEFICIOS</vt:lpstr>
      <vt:lpstr>V.1a SFS_EI</vt:lpstr>
      <vt:lpstr>V.1b. Def. EI</vt:lpstr>
      <vt:lpstr>V.1.2.AnalisEI</vt:lpstr>
      <vt:lpstr>V.1.3.Afil.EI</vt:lpstr>
      <vt:lpstr>V.1.4.Afil.EI</vt:lpstr>
      <vt:lpstr>V.2.SUBSIDIO_SFS</vt:lpstr>
      <vt:lpstr>V.2.1.SUBSIDIO_SFS Def.</vt:lpstr>
      <vt:lpstr>V.2.2.Análisis</vt:lpstr>
      <vt:lpstr> V.2.3.Benef. subsid </vt:lpstr>
      <vt:lpstr>V.2.4. Monto subsid.</vt:lpstr>
      <vt:lpstr>V.3.PENSIONES_SVDS</vt:lpstr>
      <vt:lpstr>V.3.1. Def-Análisis pens.</vt:lpstr>
      <vt:lpstr>V.3.2 Pensiones por año</vt:lpstr>
      <vt:lpstr>V.3.3.Pens.Disc. AFP</vt:lpstr>
      <vt:lpstr>V.3.4.Pensiones Sob.Disc</vt:lpstr>
      <vt:lpstr>V.4.SOLIC_BEN_ARL</vt:lpstr>
      <vt:lpstr>V.4.1.Def-Analisis   </vt:lpstr>
      <vt:lpstr>V.4.2.NA. Reportes ARL</vt:lpstr>
      <vt:lpstr>V.4.3. NA.Cant. accid x región</vt:lpstr>
      <vt:lpstr>V.4.4.NA.Cant. accid x Prov</vt:lpstr>
      <vt:lpstr>V.4.5.NA.Cant. accid x Proced.</vt:lpstr>
      <vt:lpstr>V.4.6. NA.Cant. accid x sector</vt:lpstr>
      <vt:lpstr>V.4.7. Accid x sexo</vt:lpstr>
      <vt:lpstr>V.4.8. Accid x rango de edad</vt:lpstr>
      <vt:lpstr>V.4.9.Accid x Escolaridad</vt:lpstr>
      <vt:lpstr>V.4.10.Accid x sector </vt:lpstr>
      <vt:lpstr>V.4.11.Accid x sexo</vt:lpstr>
      <vt:lpstr>V.4.12.Accid x edad</vt:lpstr>
      <vt:lpstr>V.4.13.EC. Accid. Lab</vt:lpstr>
      <vt:lpstr>V.4.14.EC. Accid. Lab.</vt:lpstr>
      <vt:lpstr>V.4.15.EC. Accid. Lab x tipo</vt:lpstr>
      <vt:lpstr>V.4.16. EC. Accid. Lab x Lesión</vt:lpstr>
      <vt:lpstr>V.4.17. Accid.Lab suceso</vt:lpstr>
      <vt:lpstr>V.4.18. EC. x Agente daño</vt:lpstr>
      <vt:lpstr>V.4.19. EC. x  lugar de accid.</vt:lpstr>
      <vt:lpstr>V.4.20.EC. Accid incapac.</vt:lpstr>
      <vt:lpstr>V.4.21. EC. Enferm. Prof (R)</vt:lpstr>
      <vt:lpstr>V.4.22.EC. Accid Lab.(R)</vt:lpstr>
      <vt:lpstr>V.4.23. Accid. Aprobxtipo</vt:lpstr>
      <vt:lpstr>V.4.24. Accid. Aprob xLesión </vt:lpstr>
      <vt:lpstr>V.4.25.Accid.Aprob Según suc.</vt:lpstr>
      <vt:lpstr>VI.1.Analisis CMNR</vt:lpstr>
      <vt:lpstr>VI.2.Status</vt:lpstr>
      <vt:lpstr>VI.3.Apelaciones1</vt:lpstr>
      <vt:lpstr>VI.4. Entidad Receptora Origen</vt:lpstr>
      <vt:lpstr>VII.CBSS</vt:lpstr>
      <vt:lpstr>VII.1. Analisis CBSS</vt:lpstr>
      <vt:lpstr>VII.2.CBSS Tram.</vt:lpstr>
      <vt:lpstr>VII.3.CBSS-Benef</vt:lpstr>
      <vt:lpstr>VII.4.CBSS-Tramit.</vt:lpstr>
      <vt:lpstr>VII.5.CBSS-Rel.Concl. </vt:lpstr>
      <vt:lpstr>VII.6.CBSS-Cert.</vt:lpstr>
      <vt:lpstr>VII.7.CBSS.Sex</vt:lpstr>
      <vt:lpstr>VIII.ENFT_BC</vt:lpstr>
      <vt:lpstr>VIII.1 Ocup. formal</vt:lpstr>
      <vt:lpstr>VIII.2 Pob. econ.</vt:lpstr>
      <vt:lpstr>IX.1.a SDSS Definiciones</vt:lpstr>
      <vt:lpstr>IX.1.b  SDSS Definiciones </vt:lpstr>
      <vt:lpstr>IX.1.c SDSS Definiciones</vt:lpstr>
      <vt:lpstr>IX.1.d SDSS Definiciones</vt:lpstr>
      <vt:lpstr>IX.2a.Logros </vt:lpstr>
      <vt:lpstr>IX.2b. Logros1</vt:lpstr>
      <vt:lpstr>' II.4.Empr x No. de empl'!Área_de_impresión</vt:lpstr>
      <vt:lpstr>' III.2.5.Cob.Afil.SFSRC Mens'!Área_de_impresión</vt:lpstr>
      <vt:lpstr>' III.3.3.Afil.mensual SFS RS '!Área_de_impresión</vt:lpstr>
      <vt:lpstr>' III.4.2.Afil. SFSP Anual.'!Área_de_impresión</vt:lpstr>
      <vt:lpstr>' III.4.3.Afil. SFSP Mensual'!Área_de_impresión</vt:lpstr>
      <vt:lpstr>' III.4.4.Cob.Afil. SFSP Mensual'!Área_de_impresión</vt:lpstr>
      <vt:lpstr>' V.2.3.Benef. subsid '!Área_de_impresión</vt:lpstr>
      <vt:lpstr>Contenido!Área_de_impresión</vt:lpstr>
      <vt:lpstr>'I.1. Ley 87-01 (2)'!Área_de_impresión</vt:lpstr>
      <vt:lpstr>'I.2. Org. SDSS'!Área_de_impresión</vt:lpstr>
      <vt:lpstr>'I.3. Reg. y Seg.'!Área_de_impresión</vt:lpstr>
      <vt:lpstr>'I.4. Seg. y Ben.'!Área_de_impresión</vt:lpstr>
      <vt:lpstr>'II.1. SDSS.Definición'!Área_de_impresión</vt:lpstr>
      <vt:lpstr>'II.2.Analisis SDSS'!Área_de_impresión</vt:lpstr>
      <vt:lpstr>'II.3. Empl x sector '!Área_de_impresión</vt:lpstr>
      <vt:lpstr>'II.5 Salario prom.'!Área_de_impresión</vt:lpstr>
      <vt:lpstr>'II.6.Empl xsexoy edad'!Área_de_impresión</vt:lpstr>
      <vt:lpstr>II.SDSS!Área_de_impresión</vt:lpstr>
      <vt:lpstr>'III.1.1a. Def. Afil. SFS1'!Área_de_impresión</vt:lpstr>
      <vt:lpstr>'III.1.1b.Def. de Afili. SFS2  '!Área_de_impresión</vt:lpstr>
      <vt:lpstr>'III.1.2.Analisis SFS'!Área_de_impresión</vt:lpstr>
      <vt:lpstr>III.1.3.Afil.SFSPob.Nac.!Área_de_impresión</vt:lpstr>
      <vt:lpstr>'III.1.4.Afil. SFS'!Área_de_impresión</vt:lpstr>
      <vt:lpstr>'III.1.5.Cob.Afil. SFS '!Área_de_impresión</vt:lpstr>
      <vt:lpstr>'III.1.6.Afil. SFS x sexo'!Área_de_impresión</vt:lpstr>
      <vt:lpstr>'III.1.7.Proy. afil.Vs pobl.'!Área_de_impresión</vt:lpstr>
      <vt:lpstr>III.1.SFS!Área_de_impresión</vt:lpstr>
      <vt:lpstr>'III.2. SFS.RC'!Área_de_impresión</vt:lpstr>
      <vt:lpstr>'III.2.1.Afil. SFS.RC '!Área_de_impresión</vt:lpstr>
      <vt:lpstr>'III.2.2. Afil. SFS RC Anual '!Área_de_impresión</vt:lpstr>
      <vt:lpstr>'III.2.3. Afil. SFS RC Mensual'!Área_de_impresión</vt:lpstr>
      <vt:lpstr>'III.2.4.Cob.Afil. SFS RC Anual'!Área_de_impresión</vt:lpstr>
      <vt:lpstr>'III.2.6.Afil. SFS RC X sex.tipo'!Área_de_impresión</vt:lpstr>
      <vt:lpstr>'III.3.1.Analis.Afil. SFS.RS1  '!Área_de_impresión</vt:lpstr>
      <vt:lpstr>'III.3.2. Afil anual SFS RS '!Área_de_impresión</vt:lpstr>
      <vt:lpstr>'III.3.4.Cob.Afil anual SFS RS'!Área_de_impresión</vt:lpstr>
      <vt:lpstr>'III.3.5.Cob.Afil.mens.SFS RS '!Área_de_impresión</vt:lpstr>
      <vt:lpstr>'III.3.6.Afil.SFSRSsex tipo '!Área_de_impresión</vt:lpstr>
      <vt:lpstr>'III.3.7. Afil. SFS RS Vs pob.'!Área_de_impresión</vt:lpstr>
      <vt:lpstr>III.3.SFS.RS!Área_de_impresión</vt:lpstr>
      <vt:lpstr>III.4.1.Afil.RET1!Área_de_impresión</vt:lpstr>
      <vt:lpstr>III.4.Afil.RET!Área_de_impresión</vt:lpstr>
      <vt:lpstr>'III.5.1.Definición Afil. SVDS'!Área_de_impresión</vt:lpstr>
      <vt:lpstr>'III.5.10.Cot.Afil X Sexo'!Área_de_impresión</vt:lpstr>
      <vt:lpstr>'III.5.11.Traspasos anual'!Área_de_impresión</vt:lpstr>
      <vt:lpstr>'III.5.12.Trasp. recibidos'!Área_de_impresión</vt:lpstr>
      <vt:lpstr>'III.5.13.Trasp. cedidos'!Área_de_impresión</vt:lpstr>
      <vt:lpstr>'III.5.14.Trasp. netos'!Área_de_impresión</vt:lpstr>
      <vt:lpstr>'III.5.15.Afil. SVDSxprov.'!Área_de_impresión</vt:lpstr>
      <vt:lpstr>'III.5.2.Analisis Afil. SVDS'!Área_de_impresión</vt:lpstr>
      <vt:lpstr>'III.5.3.Afil. SVDS'!Área_de_impresión</vt:lpstr>
      <vt:lpstr>'III.5.4.Afil. SVDS mensual'!Área_de_impresión</vt:lpstr>
      <vt:lpstr>'III.5.5.Afil. cotiz.'!Área_de_impresión</vt:lpstr>
      <vt:lpstr>'III.5.6.Cotiz. x rango de edad'!Área_de_impresión</vt:lpstr>
      <vt:lpstr>'III.5.7.Cotiz x sal. min. cot.'!Área_de_impresión</vt:lpstr>
      <vt:lpstr>'III.5.8.Cotiz.x AFP y fondos'!Área_de_impresión</vt:lpstr>
      <vt:lpstr>III.5.9.PEA_Pensiones_Género!Área_de_impresión</vt:lpstr>
      <vt:lpstr>III.5.SVDS!Área_de_impresión</vt:lpstr>
      <vt:lpstr>'III.6.1.Definición Afil. SRL'!Área_de_impresión</vt:lpstr>
      <vt:lpstr>'III.6.2.Afil. SRL.RC1 '!Área_de_impresión</vt:lpstr>
      <vt:lpstr>'III.6.3.Afil. SRL'!Área_de_impresión</vt:lpstr>
      <vt:lpstr>'III.6.4.Afil. SRL x sexoy edad'!Área_de_impresión</vt:lpstr>
      <vt:lpstr>'III.6.5.Afil. ARL x riesgo'!Área_de_impresión</vt:lpstr>
      <vt:lpstr>'III.6.6.ID. Accidentabilidad'!Área_de_impresión</vt:lpstr>
      <vt:lpstr>III.6.SRL!Área_de_impresión</vt:lpstr>
      <vt:lpstr>'IV. ING._ EGR'!Área_de_impresión</vt:lpstr>
      <vt:lpstr>'IV.1.2. Analisis Ing.Egr'!Área_de_impresión</vt:lpstr>
      <vt:lpstr>'IV.1.3. Ingr y egr SDSS'!Área_de_impresión</vt:lpstr>
      <vt:lpstr>'IV.1.4. Recaudo x sector'!Área_de_impresión</vt:lpstr>
      <vt:lpstr>'IV.1.5 Rec. x origen'!Área_de_impresión</vt:lpstr>
      <vt:lpstr>'IV.1.6 Aport.Gob.SS'!Área_de_impresión</vt:lpstr>
      <vt:lpstr>'IV.1a.Definición Ing.Gastos)'!Área_de_impresión</vt:lpstr>
      <vt:lpstr>'IV.1b.Definición Ing.Gastos'!Área_de_impresión</vt:lpstr>
      <vt:lpstr>'IV.2.1 AnálisisIng.Egr.Seg'!Área_de_impresión</vt:lpstr>
      <vt:lpstr>'IV.2.10 Pagos.SFS Pens.'!Área_de_impresión</vt:lpstr>
      <vt:lpstr>'IV.2.11.Pagos.SFS Pens.Mens.'!Área_de_impresión</vt:lpstr>
      <vt:lpstr>'IV.2.2. Pagos SFS A'!Área_de_impresión</vt:lpstr>
      <vt:lpstr>'IV.2.3.Pagos_SFS M'!Área_de_impresión</vt:lpstr>
      <vt:lpstr>'IV.2.4.Pagos x ARS'!Área_de_impresión</vt:lpstr>
      <vt:lpstr>'IV.2.5.Pagos x ARS'!Área_de_impresión</vt:lpstr>
      <vt:lpstr>'IV.2.6.INV_SFS x Entidad'!Área_de_impresión</vt:lpstr>
      <vt:lpstr>'IV.2.7.INV_SFS x cuentas'!Área_de_impresión</vt:lpstr>
      <vt:lpstr>'IV.2.8.Aport. GOB. y Pagos RS'!Área_de_impresión</vt:lpstr>
      <vt:lpstr>'IV.2.9.Saldos RS mensual'!Área_de_impresión</vt:lpstr>
      <vt:lpstr>IV.3.1.AnálisisIng.Eg.SVDS!Área_de_impresión</vt:lpstr>
      <vt:lpstr>'IV.3.2.Pagos_ SVDS'!Área_de_impresión</vt:lpstr>
      <vt:lpstr>'IV.3.3.Pagos anuales x cuentas'!Área_de_impresión</vt:lpstr>
      <vt:lpstr>'IV.3.4.Pago Entidades'!Área_de_impresión</vt:lpstr>
      <vt:lpstr>'IV.3.5.Patrim. fp anual'!Área_de_impresión</vt:lpstr>
      <vt:lpstr>'IV.3.6.Cartera de inv fp'!Área_de_impresión</vt:lpstr>
      <vt:lpstr>'IV.3.7. Comp. Cartera'!Área_de_impresión</vt:lpstr>
      <vt:lpstr>'IV.3.8. Rent. nom. de los FP'!Área_de_impresión</vt:lpstr>
      <vt:lpstr>IV.3.9.Rentab.Real!Área_de_impresión</vt:lpstr>
      <vt:lpstr>'IV.4.1. Analisis '!Área_de_impresión</vt:lpstr>
      <vt:lpstr>'IV.4.2.Pagos ARL A'!Área_de_impresión</vt:lpstr>
      <vt:lpstr>'IV.4.3.Pagos_ARL M'!Área_de_impresión</vt:lpstr>
      <vt:lpstr>'IX.1.a SDSS Definiciones'!Área_de_impresión</vt:lpstr>
      <vt:lpstr>'IX.1.b  SDSS Definiciones '!Área_de_impresión</vt:lpstr>
      <vt:lpstr>'IX.1.c SDSS Definiciones'!Área_de_impresión</vt:lpstr>
      <vt:lpstr>'IX.1.d SDSS Definiciones'!Área_de_impresión</vt:lpstr>
      <vt:lpstr>'IX.2a.Logros '!Área_de_impresión</vt:lpstr>
      <vt:lpstr>'IX.2b. Logros1'!Área_de_impresión</vt:lpstr>
      <vt:lpstr>'Present. '!Área_de_impresión</vt:lpstr>
      <vt:lpstr>V.1.2.AnalisEI!Área_de_impresión</vt:lpstr>
      <vt:lpstr>V.1.3.Afil.EI!Área_de_impresión</vt:lpstr>
      <vt:lpstr>V.1.4.Afil.EI!Área_de_impresión</vt:lpstr>
      <vt:lpstr>'V.1a SFS_EI'!Área_de_impresión</vt:lpstr>
      <vt:lpstr>'V.1b. Def. EI'!Área_de_impresión</vt:lpstr>
      <vt:lpstr>'V.2.1.SUBSIDIO_SFS Def.'!Área_de_impresión</vt:lpstr>
      <vt:lpstr>V.2.2.Análisis!Área_de_impresión</vt:lpstr>
      <vt:lpstr>'V.2.4. Monto subsid.'!Área_de_impresión</vt:lpstr>
      <vt:lpstr>V.2.SUBSIDIO_SFS!Área_de_impresión</vt:lpstr>
      <vt:lpstr>'V.3.1. Def-Análisis pens.'!Área_de_impresión</vt:lpstr>
      <vt:lpstr>'V.3.2 Pensiones por año'!Área_de_impresión</vt:lpstr>
      <vt:lpstr>'V.3.3.Pens.Disc. AFP'!Área_de_impresión</vt:lpstr>
      <vt:lpstr>'V.3.4.Pensiones Sob.Disc'!Área_de_impresión</vt:lpstr>
      <vt:lpstr>V.3.PENSIONES_SVDS!Área_de_impresión</vt:lpstr>
      <vt:lpstr>'V.4.1.Def-Analisis   '!Área_de_impresión</vt:lpstr>
      <vt:lpstr>'V.4.10.Accid x sector '!Área_de_impresión</vt:lpstr>
      <vt:lpstr>'V.4.11.Accid x sexo'!Área_de_impresión</vt:lpstr>
      <vt:lpstr>'V.4.12.Accid x edad'!Área_de_impresión</vt:lpstr>
      <vt:lpstr>'V.4.13.EC. Accid. Lab'!Área_de_impresión</vt:lpstr>
      <vt:lpstr>'V.4.14.EC. Accid. Lab.'!Área_de_impresión</vt:lpstr>
      <vt:lpstr>'V.4.15.EC. Accid. Lab x tipo'!Área_de_impresión</vt:lpstr>
      <vt:lpstr>'V.4.16. EC. Accid. Lab x Lesión'!Área_de_impresión</vt:lpstr>
      <vt:lpstr>'V.4.17. Accid.Lab suceso'!Área_de_impresión</vt:lpstr>
      <vt:lpstr>'V.4.18. EC. x Agente daño'!Área_de_impresión</vt:lpstr>
      <vt:lpstr>'V.4.19. EC. x  lugar de accid.'!Área_de_impresión</vt:lpstr>
      <vt:lpstr>'V.4.2.NA. Reportes ARL'!Área_de_impresión</vt:lpstr>
      <vt:lpstr>'V.4.20.EC. Accid incapac.'!Área_de_impresión</vt:lpstr>
      <vt:lpstr>'V.4.21. EC. Enferm. Prof (R)'!Área_de_impresión</vt:lpstr>
      <vt:lpstr>'V.4.22.EC. Accid Lab.(R)'!Área_de_impresión</vt:lpstr>
      <vt:lpstr>'V.4.23. Accid. Aprobxtipo'!Área_de_impresión</vt:lpstr>
      <vt:lpstr>'V.4.24. Accid. Aprob xLesión '!Área_de_impresión</vt:lpstr>
      <vt:lpstr>'V.4.25.Accid.Aprob Según suc.'!Área_de_impresión</vt:lpstr>
      <vt:lpstr>'V.4.3. NA.Cant. accid x región'!Área_de_impresión</vt:lpstr>
      <vt:lpstr>'V.4.4.NA.Cant. accid x Prov'!Área_de_impresión</vt:lpstr>
      <vt:lpstr>'V.4.5.NA.Cant. accid x Proced.'!Área_de_impresión</vt:lpstr>
      <vt:lpstr>'V.4.6. NA.Cant. accid x sector'!Área_de_impresión</vt:lpstr>
      <vt:lpstr>'V.4.7. Accid x sexo'!Área_de_impresión</vt:lpstr>
      <vt:lpstr>'V.4.8. Accid x rango de edad'!Área_de_impresión</vt:lpstr>
      <vt:lpstr>'V.4.9.Accid x Escolaridad'!Área_de_impresión</vt:lpstr>
      <vt:lpstr>V.4.SOLIC_BEN_ARL!Área_de_impresión</vt:lpstr>
      <vt:lpstr>V.BENEFICIOS!Área_de_impresión</vt:lpstr>
      <vt:lpstr>'VI.1.Analisis CMNR'!Área_de_impresión</vt:lpstr>
      <vt:lpstr>VI.2.Status!Área_de_impresión</vt:lpstr>
      <vt:lpstr>VI.3.Apelaciones1!Área_de_impresión</vt:lpstr>
      <vt:lpstr>'VI.4. Entidad Receptora Origen'!Área_de_impresión</vt:lpstr>
      <vt:lpstr>'VII.1. Analisis CBSS'!Área_de_impresión</vt:lpstr>
      <vt:lpstr>'VII.2.CBSS Tram.'!Área_de_impresión</vt:lpstr>
      <vt:lpstr>'VII.3.CBSS-Benef'!Área_de_impresión</vt:lpstr>
      <vt:lpstr>'VII.4.CBSS-Tramit.'!Área_de_impresión</vt:lpstr>
      <vt:lpstr>'VII.5.CBSS-Rel.Concl. '!Área_de_impresión</vt:lpstr>
      <vt:lpstr>'VII.6.CBSS-Cert.'!Área_de_impresión</vt:lpstr>
      <vt:lpstr>VII.7.CBSS.Sex!Área_de_impresión</vt:lpstr>
      <vt:lpstr>VII.CBSS!Área_de_impresión</vt:lpstr>
      <vt:lpstr>'VIII.1 Ocup. formal'!Área_de_impresión</vt:lpstr>
      <vt:lpstr>'VIII.2 Pob. econ.'!Área_de_impresión</vt:lpstr>
      <vt:lpstr>VIII.ENFT_BC!Área_de_impresión</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Belisa Rivas</dc:creator>
  <cp:lastModifiedBy>Gilma Gisselle Santana</cp:lastModifiedBy>
  <cp:lastPrinted>2016-02-09T19:07:00Z</cp:lastPrinted>
  <dcterms:created xsi:type="dcterms:W3CDTF">2010-04-06T13:07:55Z</dcterms:created>
  <dcterms:modified xsi:type="dcterms:W3CDTF">2016-02-09T19:09:03Z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icrosoft.ReportingServices.InteractiveReport.Excel.SheetName">
    <vt:i4>2</vt:i4>
  </property>
</Properties>
</file>